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ichael\Knowledge\Skills\Excel\Projects\DCF\Nvidia\"/>
    </mc:Choice>
  </mc:AlternateContent>
  <xr:revisionPtr revIDLastSave="0" documentId="13_ncr:1_{EDFD5731-E40B-4CFB-9BE7-A5B73CC613A7}" xr6:coauthVersionLast="47" xr6:coauthVersionMax="47" xr10:uidLastSave="{00000000-0000-0000-0000-000000000000}"/>
  <bookViews>
    <workbookView xWindow="-120" yWindow="-120" windowWidth="29040" windowHeight="15720" tabRatio="829" activeTab="9" xr2:uid="{00000000-000D-0000-FFFF-FFFF00000000}"/>
  </bookViews>
  <sheets>
    <sheet name="Plan" sheetId="10" r:id="rId1"/>
    <sheet name="Revenue Streams" sheetId="11" r:id="rId2"/>
    <sheet name="Income Statement" sheetId="7" r:id="rId3"/>
    <sheet name="Balance Sheet" sheetId="8" r:id="rId4"/>
    <sheet name="Cash Flows" sheetId="12" r:id="rId5"/>
    <sheet name="Working Capital" sheetId="13" r:id="rId6"/>
    <sheet name="Debt" sheetId="14" r:id="rId7"/>
    <sheet name="Fixed Assets" sheetId="16" r:id="rId8"/>
    <sheet name="WACC" sheetId="2" r:id="rId9"/>
    <sheet name="DCF" sheetId="1" r:id="rId10"/>
  </sheets>
  <definedNames>
    <definedName name="ExternalData_1" localSheetId="2" hidden="1">'Income Statement'!$A$1:$G$25</definedName>
    <definedName name="ExternalData_2" localSheetId="3" hidden="1">'Balance Sheet'!$A$1:$J$39</definedName>
    <definedName name="ExternalData_2" localSheetId="2" hidden="1">'Income Statement'!$H$1:$H$25</definedName>
    <definedName name="ExternalData_3" localSheetId="3" hidden="1">'Balance Sheet'!#REF!</definedName>
    <definedName name="ExternalData_3" localSheetId="2" hidden="1">'Income Statement'!#REF!</definedName>
    <definedName name="ExternalData_4" localSheetId="2" hidden="1">'Income Statement'!#REF!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6  Page 3   2_06001978-1fae-4e26-8a8f-157ea72d1522" name="Table006  Page 3   2" connection="Query - Q2 IS 2023"/>
          <x15:modelTable id="Table010  Page 5   2_f23a301e-8563-4ecf-9ba9-6eb47886d0fc" name="Table010  Page 5   2" connection="Query - Q2 BS 2023"/>
          <x15:modelTable id="Table006  Page 3_9fc54943-1e4f-460e-afea-6c48c1398c12" name="Table006  Page 3" connection="Query - Q3 IS 2023"/>
          <x15:modelTable id="Table011  Page 5_fefdc890-e6d0-404a-96e6-5a982f374b31" name="Table011  Page 5" connection="Query - Q3 BS 202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6" i="1" l="1"/>
  <c r="AB52" i="1"/>
  <c r="P38" i="1" s="1"/>
  <c r="AA52" i="1"/>
  <c r="AB50" i="1"/>
  <c r="H38" i="1" s="1"/>
  <c r="AA50" i="1"/>
  <c r="Z52" i="1"/>
  <c r="Z50" i="1"/>
  <c r="E83" i="1"/>
  <c r="E84" i="1"/>
  <c r="U77" i="1"/>
  <c r="V77" i="1" s="1"/>
  <c r="D43" i="1"/>
  <c r="Z65" i="1"/>
  <c r="R13" i="1"/>
  <c r="R16" i="1" s="1"/>
  <c r="AB49" i="1"/>
  <c r="S58" i="1"/>
  <c r="AA33" i="1"/>
  <c r="AB32" i="1"/>
  <c r="AB72" i="1" s="1"/>
  <c r="AA32" i="1"/>
  <c r="AA72" i="1" s="1"/>
  <c r="Z32" i="1"/>
  <c r="Z72" i="1" s="1"/>
  <c r="Z29" i="1"/>
  <c r="Z69" i="1" s="1"/>
  <c r="Q28" i="1"/>
  <c r="Q29" i="1" s="1"/>
  <c r="Q69" i="1" s="1"/>
  <c r="W16" i="1"/>
  <c r="W19" i="1" s="1"/>
  <c r="V17" i="1"/>
  <c r="U17" i="1"/>
  <c r="T17" i="1"/>
  <c r="S17" i="1"/>
  <c r="AB17" i="1"/>
  <c r="AA17" i="1"/>
  <c r="Y16" i="1"/>
  <c r="Z19" i="1"/>
  <c r="AA19" i="1"/>
  <c r="AB19" i="1"/>
  <c r="AA29" i="1"/>
  <c r="AA69" i="1" s="1"/>
  <c r="AB29" i="1"/>
  <c r="AB69" i="1" s="1"/>
  <c r="Z55" i="1"/>
  <c r="AA55" i="1"/>
  <c r="AB55" i="1"/>
  <c r="Z56" i="1"/>
  <c r="AA56" i="1"/>
  <c r="Z58" i="1"/>
  <c r="AA58" i="1"/>
  <c r="AB58" i="1"/>
  <c r="Z61" i="1"/>
  <c r="AA61" i="1"/>
  <c r="AB61" i="1"/>
  <c r="AB11" i="1"/>
  <c r="AA11" i="1"/>
  <c r="Q21" i="13"/>
  <c r="Y50" i="1"/>
  <c r="X50" i="1"/>
  <c r="X61" i="1"/>
  <c r="V61" i="1"/>
  <c r="Y61" i="1"/>
  <c r="W61" i="1"/>
  <c r="S61" i="1"/>
  <c r="P10" i="14"/>
  <c r="Y19" i="1"/>
  <c r="V19" i="1"/>
  <c r="U19" i="1"/>
  <c r="T19" i="1"/>
  <c r="S19" i="1"/>
  <c r="R49" i="1"/>
  <c r="Y56" i="1"/>
  <c r="X56" i="1"/>
  <c r="W56" i="1"/>
  <c r="V56" i="1"/>
  <c r="U56" i="1"/>
  <c r="T56" i="1"/>
  <c r="Y58" i="1"/>
  <c r="X58" i="1"/>
  <c r="W58" i="1"/>
  <c r="V58" i="1"/>
  <c r="U58" i="1"/>
  <c r="T58" i="1"/>
  <c r="S56" i="1"/>
  <c r="P16" i="16"/>
  <c r="F2" i="13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G9" i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X52" i="1"/>
  <c r="W52" i="1"/>
  <c r="V52" i="1"/>
  <c r="U52" i="1"/>
  <c r="T52" i="1"/>
  <c r="S52" i="1"/>
  <c r="W50" i="1"/>
  <c r="V50" i="1"/>
  <c r="U50" i="1"/>
  <c r="T50" i="1"/>
  <c r="S50" i="1"/>
  <c r="P5" i="16"/>
  <c r="R21" i="13"/>
  <c r="S21" i="13"/>
  <c r="T21" i="13"/>
  <c r="U21" i="13"/>
  <c r="V21" i="13"/>
  <c r="W21" i="13"/>
  <c r="X21" i="13"/>
  <c r="Y10" i="1"/>
  <c r="Z33" i="1" s="1"/>
  <c r="X10" i="1"/>
  <c r="F10" i="1"/>
  <c r="W10" i="1"/>
  <c r="E21" i="13"/>
  <c r="N12" i="14"/>
  <c r="M12" i="14"/>
  <c r="Q6" i="14"/>
  <c r="P6" i="14"/>
  <c r="O6" i="14"/>
  <c r="O12" i="14" s="1"/>
  <c r="W12" i="14" s="1"/>
  <c r="W10" i="14" s="1"/>
  <c r="O10" i="14"/>
  <c r="X16" i="1"/>
  <c r="X19" i="1" s="1"/>
  <c r="P17" i="13"/>
  <c r="P11" i="13"/>
  <c r="P21" i="13"/>
  <c r="P14" i="13"/>
  <c r="V11" i="1"/>
  <c r="U11" i="1"/>
  <c r="Q16" i="1"/>
  <c r="Q54" i="1" s="1"/>
  <c r="P16" i="1"/>
  <c r="P54" i="1" s="1"/>
  <c r="O16" i="1"/>
  <c r="O54" i="1" s="1"/>
  <c r="N16" i="1"/>
  <c r="N54" i="1" s="1"/>
  <c r="M16" i="1"/>
  <c r="M54" i="1" s="1"/>
  <c r="L16" i="1"/>
  <c r="L54" i="1" s="1"/>
  <c r="K16" i="1"/>
  <c r="K54" i="1" s="1"/>
  <c r="J16" i="1"/>
  <c r="J54" i="1" s="1"/>
  <c r="I16" i="1"/>
  <c r="I54" i="1" s="1"/>
  <c r="H16" i="1"/>
  <c r="G16" i="1"/>
  <c r="G54" i="1" s="1"/>
  <c r="F16" i="1"/>
  <c r="Q13" i="1"/>
  <c r="Q14" i="1" s="1"/>
  <c r="P13" i="1"/>
  <c r="O13" i="1"/>
  <c r="N13" i="1"/>
  <c r="M13" i="1"/>
  <c r="L13" i="1"/>
  <c r="K13" i="1"/>
  <c r="J13" i="1"/>
  <c r="I13" i="1"/>
  <c r="H13" i="1"/>
  <c r="G13" i="1"/>
  <c r="F13" i="1"/>
  <c r="E18" i="13" s="1"/>
  <c r="T11" i="1"/>
  <c r="S11" i="1"/>
  <c r="R11" i="1"/>
  <c r="D4" i="13"/>
  <c r="N28" i="1"/>
  <c r="N68" i="1" s="1"/>
  <c r="J28" i="1"/>
  <c r="J68" i="1" s="1"/>
  <c r="F28" i="1"/>
  <c r="F68" i="1" s="1"/>
  <c r="M11" i="12"/>
  <c r="L11" i="12"/>
  <c r="K11" i="12"/>
  <c r="J11" i="12"/>
  <c r="I11" i="12"/>
  <c r="H11" i="12"/>
  <c r="G11" i="12"/>
  <c r="F11" i="12"/>
  <c r="E11" i="12"/>
  <c r="D11" i="12"/>
  <c r="C11" i="12"/>
  <c r="B11" i="12"/>
  <c r="P28" i="1"/>
  <c r="P68" i="1" s="1"/>
  <c r="O28" i="1"/>
  <c r="O68" i="1" s="1"/>
  <c r="M28" i="1"/>
  <c r="M68" i="1" s="1"/>
  <c r="L28" i="1"/>
  <c r="L68" i="1" s="1"/>
  <c r="K28" i="1"/>
  <c r="K68" i="1" s="1"/>
  <c r="I28" i="1"/>
  <c r="I68" i="1" s="1"/>
  <c r="H28" i="1"/>
  <c r="H68" i="1" s="1"/>
  <c r="G28" i="1"/>
  <c r="G68" i="1" s="1"/>
  <c r="F25" i="1"/>
  <c r="F10" i="2"/>
  <c r="N29" i="2"/>
  <c r="F15" i="2" s="1"/>
  <c r="O27" i="2"/>
  <c r="O26" i="2"/>
  <c r="O25" i="2"/>
  <c r="O24" i="2"/>
  <c r="O23" i="2"/>
  <c r="O22" i="2"/>
  <c r="O21" i="2"/>
  <c r="O29" i="2" s="1"/>
  <c r="P29" i="2" s="1"/>
  <c r="O20" i="2"/>
  <c r="D12" i="14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D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C25" i="11"/>
  <c r="D10" i="13"/>
  <c r="D11" i="13"/>
  <c r="D5" i="13"/>
  <c r="D6" i="13"/>
  <c r="L12" i="14"/>
  <c r="K12" i="14"/>
  <c r="J12" i="14"/>
  <c r="I12" i="14"/>
  <c r="H12" i="14"/>
  <c r="G12" i="14"/>
  <c r="F12" i="14"/>
  <c r="E12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N10" i="14"/>
  <c r="M10" i="14"/>
  <c r="L10" i="14"/>
  <c r="K10" i="14"/>
  <c r="J10" i="14"/>
  <c r="I10" i="14"/>
  <c r="H10" i="14"/>
  <c r="G10" i="14"/>
  <c r="F10" i="14"/>
  <c r="E10" i="14"/>
  <c r="D10" i="14"/>
  <c r="Q8" i="14"/>
  <c r="R6" i="14" s="1"/>
  <c r="R8" i="14" s="1"/>
  <c r="S6" i="14" s="1"/>
  <c r="S8" i="14" s="1"/>
  <c r="T6" i="14" s="1"/>
  <c r="T8" i="14" s="1"/>
  <c r="U6" i="14" s="1"/>
  <c r="U8" i="14" s="1"/>
  <c r="V6" i="14" s="1"/>
  <c r="V8" i="14" s="1"/>
  <c r="W6" i="14" s="1"/>
  <c r="W8" i="14" s="1"/>
  <c r="P8" i="14"/>
  <c r="D6" i="14"/>
  <c r="D19" i="16"/>
  <c r="O19" i="16"/>
  <c r="O18" i="16" s="1"/>
  <c r="O22" i="16" s="1"/>
  <c r="N19" i="16"/>
  <c r="M19" i="16"/>
  <c r="M18" i="16" s="1"/>
  <c r="M22" i="16" s="1"/>
  <c r="L19" i="16"/>
  <c r="K19" i="16"/>
  <c r="K18" i="16" s="1"/>
  <c r="K17" i="16" s="1"/>
  <c r="J19" i="16"/>
  <c r="I19" i="16"/>
  <c r="H19" i="16"/>
  <c r="H18" i="16" s="1"/>
  <c r="G19" i="16"/>
  <c r="F19" i="16"/>
  <c r="E19" i="16"/>
  <c r="E18" i="16" s="1"/>
  <c r="E17" i="16" s="1"/>
  <c r="Q23" i="1"/>
  <c r="Q65" i="1" s="1"/>
  <c r="P23" i="1"/>
  <c r="P65" i="1" s="1"/>
  <c r="O23" i="1"/>
  <c r="O65" i="1" s="1"/>
  <c r="M23" i="1"/>
  <c r="M65" i="1" s="1"/>
  <c r="L23" i="1"/>
  <c r="L65" i="1" s="1"/>
  <c r="K23" i="1"/>
  <c r="K65" i="1" s="1"/>
  <c r="I23" i="1"/>
  <c r="I65" i="1" s="1"/>
  <c r="H23" i="1"/>
  <c r="H65" i="1" s="1"/>
  <c r="G23" i="1"/>
  <c r="G65" i="1" s="1"/>
  <c r="Q25" i="1"/>
  <c r="P25" i="1"/>
  <c r="O25" i="1"/>
  <c r="N25" i="1"/>
  <c r="M25" i="1"/>
  <c r="L25" i="1"/>
  <c r="K25" i="1"/>
  <c r="J25" i="1"/>
  <c r="I25" i="1"/>
  <c r="H25" i="1"/>
  <c r="G25" i="1"/>
  <c r="Q19" i="1"/>
  <c r="Q20" i="1" s="1"/>
  <c r="P19" i="1"/>
  <c r="P20" i="1" s="1"/>
  <c r="O19" i="1"/>
  <c r="O20" i="1" s="1"/>
  <c r="N19" i="1"/>
  <c r="N20" i="1" s="1"/>
  <c r="M19" i="1"/>
  <c r="M20" i="1" s="1"/>
  <c r="L19" i="1"/>
  <c r="L20" i="1" s="1"/>
  <c r="K19" i="1"/>
  <c r="K20" i="1" s="1"/>
  <c r="J19" i="1"/>
  <c r="J20" i="1" s="1"/>
  <c r="I19" i="1"/>
  <c r="I20" i="1" s="1"/>
  <c r="H19" i="1"/>
  <c r="H20" i="1" s="1"/>
  <c r="G19" i="1"/>
  <c r="G20" i="1" s="1"/>
  <c r="F19" i="1"/>
  <c r="F20" i="1" s="1"/>
  <c r="N23" i="1"/>
  <c r="N65" i="1" s="1"/>
  <c r="J23" i="1"/>
  <c r="J65" i="1" s="1"/>
  <c r="F23" i="1"/>
  <c r="F65" i="1" s="1"/>
  <c r="P10" i="1"/>
  <c r="O10" i="1"/>
  <c r="N10" i="1"/>
  <c r="M10" i="1"/>
  <c r="M48" i="1" s="1"/>
  <c r="L10" i="1"/>
  <c r="L48" i="1" s="1"/>
  <c r="K10" i="1"/>
  <c r="K48" i="1" s="1"/>
  <c r="J10" i="1"/>
  <c r="J48" i="1" s="1"/>
  <c r="I10" i="1"/>
  <c r="H10" i="1"/>
  <c r="G10" i="1"/>
  <c r="G48" i="1" s="1"/>
  <c r="F48" i="1"/>
  <c r="O16" i="16"/>
  <c r="N16" i="16"/>
  <c r="M16" i="16"/>
  <c r="L16" i="16"/>
  <c r="K16" i="16"/>
  <c r="J16" i="16"/>
  <c r="I16" i="16"/>
  <c r="H16" i="16"/>
  <c r="G16" i="16"/>
  <c r="F16" i="16"/>
  <c r="E16" i="16"/>
  <c r="D16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O5" i="16"/>
  <c r="N5" i="16"/>
  <c r="M5" i="16"/>
  <c r="L5" i="16"/>
  <c r="K5" i="16"/>
  <c r="J5" i="16"/>
  <c r="I5" i="16"/>
  <c r="H5" i="16"/>
  <c r="G5" i="16"/>
  <c r="F5" i="16"/>
  <c r="E5" i="16"/>
  <c r="D5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E2" i="16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C8" i="14"/>
  <c r="N6" i="14"/>
  <c r="M6" i="14"/>
  <c r="L6" i="14"/>
  <c r="K6" i="14"/>
  <c r="J6" i="14"/>
  <c r="I6" i="14"/>
  <c r="H6" i="14"/>
  <c r="G6" i="14"/>
  <c r="F6" i="14"/>
  <c r="E6" i="14"/>
  <c r="O8" i="14"/>
  <c r="O7" i="14" s="1"/>
  <c r="N8" i="14"/>
  <c r="M8" i="14"/>
  <c r="M7" i="14" s="1"/>
  <c r="L8" i="14"/>
  <c r="K8" i="14"/>
  <c r="J8" i="14"/>
  <c r="I8" i="14"/>
  <c r="I7" i="14" s="1"/>
  <c r="H8" i="14"/>
  <c r="H7" i="14" s="1"/>
  <c r="G8" i="14"/>
  <c r="F8" i="14"/>
  <c r="F7" i="14" s="1"/>
  <c r="E8" i="14"/>
  <c r="E7" i="14" s="1"/>
  <c r="D8" i="14"/>
  <c r="D7" i="14" s="1"/>
  <c r="E2" i="14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L6" i="13"/>
  <c r="L5" i="13"/>
  <c r="L4" i="13"/>
  <c r="O11" i="13"/>
  <c r="O21" i="13" s="1"/>
  <c r="N11" i="13"/>
  <c r="N21" i="13" s="1"/>
  <c r="M11" i="13"/>
  <c r="M21" i="13" s="1"/>
  <c r="L11" i="13"/>
  <c r="L21" i="13" s="1"/>
  <c r="K11" i="13"/>
  <c r="K21" i="13" s="1"/>
  <c r="J11" i="13"/>
  <c r="J21" i="13" s="1"/>
  <c r="I11" i="13"/>
  <c r="I21" i="13" s="1"/>
  <c r="H11" i="13"/>
  <c r="H21" i="13" s="1"/>
  <c r="G11" i="13"/>
  <c r="G21" i="13" s="1"/>
  <c r="F11" i="13"/>
  <c r="F21" i="13" s="1"/>
  <c r="E11" i="13"/>
  <c r="P10" i="13"/>
  <c r="O10" i="13"/>
  <c r="O12" i="13" s="1"/>
  <c r="N10" i="13"/>
  <c r="M10" i="13"/>
  <c r="L10" i="13"/>
  <c r="K10" i="13"/>
  <c r="J10" i="13"/>
  <c r="I10" i="13"/>
  <c r="H10" i="13"/>
  <c r="H12" i="13" s="1"/>
  <c r="G10" i="13"/>
  <c r="F10" i="13"/>
  <c r="F12" i="13" s="1"/>
  <c r="E10" i="13"/>
  <c r="F4" i="13"/>
  <c r="G4" i="13"/>
  <c r="H4" i="13"/>
  <c r="I4" i="13"/>
  <c r="J4" i="13"/>
  <c r="K4" i="13"/>
  <c r="M4" i="13"/>
  <c r="N4" i="13"/>
  <c r="O4" i="13"/>
  <c r="P4" i="13"/>
  <c r="F5" i="13"/>
  <c r="G5" i="13"/>
  <c r="H5" i="13"/>
  <c r="I5" i="13"/>
  <c r="J5" i="13"/>
  <c r="K5" i="13"/>
  <c r="M5" i="13"/>
  <c r="N5" i="13"/>
  <c r="O5" i="13"/>
  <c r="P5" i="13"/>
  <c r="F6" i="13"/>
  <c r="G6" i="13"/>
  <c r="H6" i="13"/>
  <c r="I6" i="13"/>
  <c r="J6" i="13"/>
  <c r="K6" i="13"/>
  <c r="M6" i="13"/>
  <c r="N6" i="13"/>
  <c r="O6" i="13"/>
  <c r="P6" i="13"/>
  <c r="P19" i="13" s="1"/>
  <c r="E5" i="13"/>
  <c r="E6" i="13"/>
  <c r="E4" i="13"/>
  <c r="J44" i="12"/>
  <c r="B44" i="12"/>
  <c r="C44" i="12" s="1"/>
  <c r="D44" i="12" s="1"/>
  <c r="E44" i="12" s="1"/>
  <c r="K44" i="12"/>
  <c r="L44" i="12" s="1"/>
  <c r="M44" i="12" s="1"/>
  <c r="F44" i="12"/>
  <c r="G44" i="12" s="1"/>
  <c r="H44" i="12" s="1"/>
  <c r="I44" i="12" s="1"/>
  <c r="X49" i="1"/>
  <c r="W49" i="1"/>
  <c r="V49" i="1"/>
  <c r="U49" i="1"/>
  <c r="T49" i="1"/>
  <c r="S49" i="1"/>
  <c r="C3" i="11"/>
  <c r="G47" i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G35" i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G22" i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C12" i="11"/>
  <c r="C9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R3" i="11"/>
  <c r="F3" i="11"/>
  <c r="E3" i="11"/>
  <c r="D3" i="11"/>
  <c r="Q3" i="11"/>
  <c r="P3" i="11"/>
  <c r="O3" i="11"/>
  <c r="N3" i="11"/>
  <c r="M3" i="11"/>
  <c r="L3" i="11"/>
  <c r="K3" i="11"/>
  <c r="J3" i="11"/>
  <c r="I3" i="11"/>
  <c r="H3" i="11"/>
  <c r="G3" i="11"/>
  <c r="C43" i="11"/>
  <c r="C41" i="11" s="1"/>
  <c r="S43" i="11"/>
  <c r="S29" i="11" s="1"/>
  <c r="R43" i="11"/>
  <c r="R29" i="11" s="1"/>
  <c r="Q43" i="11"/>
  <c r="Q29" i="11" s="1"/>
  <c r="P43" i="11"/>
  <c r="P41" i="11" s="1"/>
  <c r="O43" i="11"/>
  <c r="O41" i="11" s="1"/>
  <c r="N43" i="11"/>
  <c r="N33" i="11" s="1"/>
  <c r="M43" i="11"/>
  <c r="M33" i="11" s="1"/>
  <c r="L43" i="11"/>
  <c r="L33" i="11" s="1"/>
  <c r="K43" i="11"/>
  <c r="K25" i="11" s="1"/>
  <c r="J43" i="11"/>
  <c r="J25" i="11" s="1"/>
  <c r="I43" i="11"/>
  <c r="I37" i="11" s="1"/>
  <c r="H43" i="11"/>
  <c r="H37" i="11" s="1"/>
  <c r="G43" i="11"/>
  <c r="G29" i="11" s="1"/>
  <c r="F43" i="11"/>
  <c r="F29" i="11" s="1"/>
  <c r="E43" i="11"/>
  <c r="E29" i="11" s="1"/>
  <c r="D43" i="11"/>
  <c r="D41" i="11" s="1"/>
  <c r="N18" i="11"/>
  <c r="Z11" i="1" l="1"/>
  <c r="O20" i="13"/>
  <c r="H29" i="1"/>
  <c r="H69" i="1" s="1"/>
  <c r="H22" i="16"/>
  <c r="H17" i="16"/>
  <c r="K22" i="16"/>
  <c r="E22" i="16"/>
  <c r="F22" i="16"/>
  <c r="I18" i="16"/>
  <c r="I17" i="16" s="1"/>
  <c r="J18" i="16"/>
  <c r="J17" i="16" s="1"/>
  <c r="L18" i="16"/>
  <c r="L17" i="16" s="1"/>
  <c r="M17" i="16"/>
  <c r="N18" i="16"/>
  <c r="N17" i="16" s="1"/>
  <c r="O17" i="16"/>
  <c r="D18" i="16"/>
  <c r="D17" i="16" s="1"/>
  <c r="F18" i="16"/>
  <c r="F17" i="16" s="1"/>
  <c r="G18" i="16"/>
  <c r="G17" i="16" s="1"/>
  <c r="R17" i="1"/>
  <c r="R19" i="1"/>
  <c r="W77" i="1"/>
  <c r="V78" i="1"/>
  <c r="U78" i="1"/>
  <c r="T77" i="1"/>
  <c r="Y11" i="1"/>
  <c r="W17" i="1"/>
  <c r="Y17" i="1"/>
  <c r="Z17" i="1"/>
  <c r="AA49" i="1"/>
  <c r="X17" i="1"/>
  <c r="P48" i="1"/>
  <c r="Q68" i="1"/>
  <c r="AB26" i="1"/>
  <c r="AB66" i="1" s="1"/>
  <c r="AA26" i="1"/>
  <c r="AA66" i="1" s="1"/>
  <c r="AA65" i="1"/>
  <c r="AB33" i="1"/>
  <c r="AB71" i="1"/>
  <c r="AA71" i="1"/>
  <c r="AB68" i="1"/>
  <c r="AA68" i="1"/>
  <c r="Z68" i="1"/>
  <c r="Z71" i="1"/>
  <c r="T61" i="1"/>
  <c r="R61" i="1"/>
  <c r="U61" i="1"/>
  <c r="N20" i="13"/>
  <c r="F19" i="13"/>
  <c r="F24" i="1"/>
  <c r="D8" i="16" s="1"/>
  <c r="D7" i="16" s="1"/>
  <c r="H18" i="13"/>
  <c r="H20" i="13"/>
  <c r="N24" i="1"/>
  <c r="G20" i="13"/>
  <c r="M18" i="13"/>
  <c r="K20" i="13"/>
  <c r="L20" i="13"/>
  <c r="M19" i="13"/>
  <c r="Q11" i="13"/>
  <c r="E20" i="13"/>
  <c r="J18" i="13"/>
  <c r="I20" i="13"/>
  <c r="K18" i="13"/>
  <c r="J20" i="13"/>
  <c r="N18" i="13"/>
  <c r="M20" i="13"/>
  <c r="L18" i="13"/>
  <c r="O18" i="13"/>
  <c r="P18" i="13"/>
  <c r="L19" i="13"/>
  <c r="P20" i="13"/>
  <c r="I19" i="13"/>
  <c r="F18" i="13"/>
  <c r="G18" i="13"/>
  <c r="F20" i="13"/>
  <c r="I18" i="13"/>
  <c r="X11" i="1"/>
  <c r="P12" i="14"/>
  <c r="Q12" i="14"/>
  <c r="Q10" i="14" s="1"/>
  <c r="R12" i="14"/>
  <c r="R10" i="14" s="1"/>
  <c r="S12" i="14"/>
  <c r="S10" i="14" s="1"/>
  <c r="T12" i="14"/>
  <c r="T10" i="14" s="1"/>
  <c r="U12" i="14"/>
  <c r="U10" i="14" s="1"/>
  <c r="V12" i="14"/>
  <c r="V10" i="14" s="1"/>
  <c r="J24" i="1"/>
  <c r="W11" i="1"/>
  <c r="D7" i="13"/>
  <c r="M17" i="13"/>
  <c r="F17" i="1"/>
  <c r="F55" i="1" s="1"/>
  <c r="H24" i="1"/>
  <c r="F8" i="16" s="1"/>
  <c r="F7" i="16" s="1"/>
  <c r="F11" i="16" s="1"/>
  <c r="P29" i="1"/>
  <c r="P69" i="1" s="1"/>
  <c r="G19" i="13"/>
  <c r="M24" i="1"/>
  <c r="O24" i="1"/>
  <c r="M8" i="16" s="1"/>
  <c r="M7" i="16" s="1"/>
  <c r="N19" i="13"/>
  <c r="F29" i="1"/>
  <c r="F69" i="1" s="1"/>
  <c r="H17" i="13"/>
  <c r="G24" i="1"/>
  <c r="E8" i="16" s="1"/>
  <c r="K24" i="1"/>
  <c r="I8" i="16" s="1"/>
  <c r="I7" i="16" s="1"/>
  <c r="I11" i="16" s="1"/>
  <c r="H19" i="13"/>
  <c r="K19" i="13"/>
  <c r="P24" i="1"/>
  <c r="N29" i="1"/>
  <c r="N69" i="1" s="1"/>
  <c r="J19" i="13"/>
  <c r="Q24" i="1"/>
  <c r="K29" i="1"/>
  <c r="K69" i="1" s="1"/>
  <c r="E17" i="13"/>
  <c r="O17" i="13"/>
  <c r="M29" i="1"/>
  <c r="M69" i="1" s="1"/>
  <c r="E19" i="13"/>
  <c r="I24" i="1"/>
  <c r="O29" i="1"/>
  <c r="O69" i="1" s="1"/>
  <c r="F54" i="1"/>
  <c r="G29" i="1"/>
  <c r="G69" i="1" s="1"/>
  <c r="O19" i="13"/>
  <c r="J17" i="13"/>
  <c r="L24" i="1"/>
  <c r="L29" i="1"/>
  <c r="L69" i="1" s="1"/>
  <c r="G17" i="13"/>
  <c r="N17" i="13"/>
  <c r="K17" i="13"/>
  <c r="S22" i="1"/>
  <c r="T22" i="1" s="1"/>
  <c r="U22" i="1" s="1"/>
  <c r="V22" i="1" s="1"/>
  <c r="W22" i="1" s="1"/>
  <c r="X22" i="1" s="1"/>
  <c r="Y22" i="1" s="1"/>
  <c r="J29" i="1"/>
  <c r="J69" i="1" s="1"/>
  <c r="I29" i="1"/>
  <c r="I69" i="1" s="1"/>
  <c r="F17" i="2"/>
  <c r="F9" i="2"/>
  <c r="F20" i="2" s="1"/>
  <c r="L42" i="1" s="1"/>
  <c r="F16" i="2"/>
  <c r="N4" i="11"/>
  <c r="N13" i="11"/>
  <c r="N16" i="11"/>
  <c r="N10" i="11"/>
  <c r="N7" i="11"/>
  <c r="F18" i="11"/>
  <c r="F4" i="11" s="1"/>
  <c r="I17" i="13"/>
  <c r="F17" i="13"/>
  <c r="H7" i="13"/>
  <c r="H14" i="13" s="1"/>
  <c r="L17" i="13"/>
  <c r="D12" i="13"/>
  <c r="D14" i="13" s="1"/>
  <c r="K7" i="13"/>
  <c r="J7" i="13"/>
  <c r="G12" i="13"/>
  <c r="M12" i="13"/>
  <c r="E7" i="13"/>
  <c r="L7" i="13"/>
  <c r="N12" i="13"/>
  <c r="N7" i="13"/>
  <c r="P12" i="13"/>
  <c r="F7" i="13"/>
  <c r="F14" i="13" s="1"/>
  <c r="O7" i="13"/>
  <c r="O14" i="13" s="1"/>
  <c r="J12" i="13"/>
  <c r="K12" i="13"/>
  <c r="M7" i="13"/>
  <c r="I12" i="13"/>
  <c r="P7" i="13"/>
  <c r="E12" i="13"/>
  <c r="L12" i="13"/>
  <c r="G7" i="13"/>
  <c r="I7" i="13"/>
  <c r="G7" i="14"/>
  <c r="K7" i="14"/>
  <c r="L7" i="14"/>
  <c r="J7" i="14"/>
  <c r="N7" i="14"/>
  <c r="H14" i="1"/>
  <c r="H26" i="1"/>
  <c r="H66" i="1" s="1"/>
  <c r="H17" i="1"/>
  <c r="H55" i="1" s="1"/>
  <c r="I14" i="1"/>
  <c r="I26" i="1"/>
  <c r="I66" i="1" s="1"/>
  <c r="J14" i="1"/>
  <c r="J26" i="1"/>
  <c r="J66" i="1" s="1"/>
  <c r="J17" i="1"/>
  <c r="J55" i="1" s="1"/>
  <c r="O14" i="1"/>
  <c r="K14" i="1"/>
  <c r="K26" i="1"/>
  <c r="K66" i="1" s="1"/>
  <c r="L14" i="1"/>
  <c r="L26" i="1"/>
  <c r="L66" i="1" s="1"/>
  <c r="M26" i="1"/>
  <c r="M66" i="1" s="1"/>
  <c r="M17" i="1"/>
  <c r="M55" i="1" s="1"/>
  <c r="P14" i="1"/>
  <c r="N26" i="1"/>
  <c r="N66" i="1" s="1"/>
  <c r="N17" i="1"/>
  <c r="N55" i="1" s="1"/>
  <c r="O17" i="1"/>
  <c r="N14" i="1"/>
  <c r="P26" i="1"/>
  <c r="P66" i="1" s="1"/>
  <c r="P17" i="1"/>
  <c r="O26" i="1"/>
  <c r="O66" i="1" s="1"/>
  <c r="Q26" i="1"/>
  <c r="Q66" i="1" s="1"/>
  <c r="Q17" i="1"/>
  <c r="Q55" i="1" s="1"/>
  <c r="F14" i="1"/>
  <c r="F26" i="1"/>
  <c r="F66" i="1" s="1"/>
  <c r="G14" i="1"/>
  <c r="G26" i="1"/>
  <c r="G66" i="1" s="1"/>
  <c r="K17" i="1"/>
  <c r="K55" i="1" s="1"/>
  <c r="H54" i="1"/>
  <c r="L17" i="1"/>
  <c r="L55" i="1" s="1"/>
  <c r="M14" i="1"/>
  <c r="G17" i="1"/>
  <c r="G55" i="1" s="1"/>
  <c r="I17" i="1"/>
  <c r="I55" i="1" s="1"/>
  <c r="Q11" i="1"/>
  <c r="Q49" i="1" s="1"/>
  <c r="P11" i="1"/>
  <c r="P49" i="1" s="1"/>
  <c r="G11" i="1"/>
  <c r="G49" i="1" s="1"/>
  <c r="H11" i="1"/>
  <c r="H49" i="1" s="1"/>
  <c r="N11" i="1"/>
  <c r="N49" i="1" s="1"/>
  <c r="Q48" i="1"/>
  <c r="R48" i="1" s="1"/>
  <c r="O48" i="1"/>
  <c r="N48" i="1"/>
  <c r="K11" i="1"/>
  <c r="K49" i="1" s="1"/>
  <c r="J11" i="1"/>
  <c r="J49" i="1" s="1"/>
  <c r="M11" i="1"/>
  <c r="M49" i="1" s="1"/>
  <c r="H48" i="1"/>
  <c r="I48" i="1"/>
  <c r="I11" i="1"/>
  <c r="I49" i="1" s="1"/>
  <c r="L11" i="1"/>
  <c r="L49" i="1" s="1"/>
  <c r="O11" i="1"/>
  <c r="O49" i="1" s="1"/>
  <c r="L25" i="11"/>
  <c r="M37" i="11"/>
  <c r="H18" i="11"/>
  <c r="H16" i="11" s="1"/>
  <c r="Q25" i="11"/>
  <c r="I41" i="11"/>
  <c r="M25" i="11"/>
  <c r="E41" i="11"/>
  <c r="C18" i="11"/>
  <c r="C10" i="11" s="1"/>
  <c r="P25" i="11"/>
  <c r="H41" i="11"/>
  <c r="H29" i="11"/>
  <c r="Q41" i="11"/>
  <c r="M18" i="11"/>
  <c r="M4" i="11" s="1"/>
  <c r="J18" i="11"/>
  <c r="J4" i="11" s="1"/>
  <c r="L29" i="11"/>
  <c r="C33" i="11"/>
  <c r="L18" i="11"/>
  <c r="L7" i="11" s="1"/>
  <c r="F33" i="11"/>
  <c r="O33" i="11"/>
  <c r="R33" i="11"/>
  <c r="D25" i="11"/>
  <c r="J37" i="11"/>
  <c r="E25" i="11"/>
  <c r="Q18" i="11"/>
  <c r="Q10" i="11" s="1"/>
  <c r="N37" i="11"/>
  <c r="R18" i="11"/>
  <c r="R7" i="11" s="1"/>
  <c r="N25" i="11"/>
  <c r="I29" i="11"/>
  <c r="D33" i="11"/>
  <c r="P33" i="11"/>
  <c r="K37" i="11"/>
  <c r="F41" i="11"/>
  <c r="R41" i="11"/>
  <c r="O25" i="11"/>
  <c r="J29" i="11"/>
  <c r="E33" i="11"/>
  <c r="Q33" i="11"/>
  <c r="L37" i="11"/>
  <c r="G41" i="11"/>
  <c r="S41" i="11"/>
  <c r="K29" i="11"/>
  <c r="G33" i="11"/>
  <c r="F25" i="11"/>
  <c r="R25" i="11"/>
  <c r="M29" i="11"/>
  <c r="H33" i="11"/>
  <c r="C37" i="11"/>
  <c r="O37" i="11"/>
  <c r="J41" i="11"/>
  <c r="G25" i="11"/>
  <c r="S25" i="11"/>
  <c r="N29" i="11"/>
  <c r="I33" i="11"/>
  <c r="D37" i="11"/>
  <c r="P37" i="11"/>
  <c r="K41" i="11"/>
  <c r="H25" i="11"/>
  <c r="C29" i="11"/>
  <c r="O29" i="11"/>
  <c r="J33" i="11"/>
  <c r="E37" i="11"/>
  <c r="Q37" i="11"/>
  <c r="L41" i="11"/>
  <c r="I25" i="11"/>
  <c r="D29" i="11"/>
  <c r="P29" i="11"/>
  <c r="K33" i="11"/>
  <c r="F37" i="11"/>
  <c r="R37" i="11"/>
  <c r="M41" i="11"/>
  <c r="S33" i="11"/>
  <c r="G37" i="11"/>
  <c r="S37" i="11"/>
  <c r="N41" i="11"/>
  <c r="E18" i="11"/>
  <c r="E13" i="11" s="1"/>
  <c r="D18" i="11"/>
  <c r="D7" i="11" s="1"/>
  <c r="O18" i="11"/>
  <c r="O16" i="11" s="1"/>
  <c r="P18" i="11"/>
  <c r="P10" i="11" s="1"/>
  <c r="K18" i="11"/>
  <c r="K13" i="11" s="1"/>
  <c r="I18" i="11"/>
  <c r="I10" i="11" s="1"/>
  <c r="G18" i="11"/>
  <c r="G10" i="11" s="1"/>
  <c r="S14" i="1" l="1"/>
  <c r="P42" i="1"/>
  <c r="H42" i="1"/>
  <c r="D42" i="1"/>
  <c r="J22" i="16"/>
  <c r="N22" i="16"/>
  <c r="R22" i="16" s="1"/>
  <c r="L22" i="16"/>
  <c r="I22" i="16"/>
  <c r="G22" i="16"/>
  <c r="P17" i="16"/>
  <c r="U22" i="16"/>
  <c r="S22" i="16"/>
  <c r="V22" i="16"/>
  <c r="W22" i="16"/>
  <c r="D22" i="16"/>
  <c r="Q22" i="16"/>
  <c r="S77" i="1"/>
  <c r="T78" i="1"/>
  <c r="X77" i="1"/>
  <c r="W78" i="1"/>
  <c r="Z49" i="1"/>
  <c r="U14" i="1"/>
  <c r="U13" i="1" s="1"/>
  <c r="AB65" i="1"/>
  <c r="Z26" i="1"/>
  <c r="Z66" i="1" s="1"/>
  <c r="S13" i="1"/>
  <c r="R11" i="13" s="1"/>
  <c r="T14" i="1"/>
  <c r="T13" i="1" s="1"/>
  <c r="X18" i="13"/>
  <c r="W18" i="13"/>
  <c r="V18" i="13"/>
  <c r="U18" i="13"/>
  <c r="R18" i="13"/>
  <c r="T18" i="13"/>
  <c r="S18" i="13"/>
  <c r="Q18" i="13"/>
  <c r="Q20" i="13"/>
  <c r="Q10" i="13" s="1"/>
  <c r="Q12" i="13" s="1"/>
  <c r="W17" i="13"/>
  <c r="V17" i="13"/>
  <c r="U17" i="13"/>
  <c r="T17" i="13"/>
  <c r="S17" i="13"/>
  <c r="R17" i="13"/>
  <c r="Q17" i="13"/>
  <c r="X17" i="13"/>
  <c r="S19" i="13"/>
  <c r="R19" i="13"/>
  <c r="Q19" i="13"/>
  <c r="Q6" i="13" s="1"/>
  <c r="X19" i="13"/>
  <c r="W19" i="13"/>
  <c r="V19" i="13"/>
  <c r="U19" i="13"/>
  <c r="T19" i="13"/>
  <c r="S48" i="1"/>
  <c r="L8" i="16"/>
  <c r="L7" i="16" s="1"/>
  <c r="L6" i="16" s="1"/>
  <c r="H8" i="16"/>
  <c r="H7" i="16" s="1"/>
  <c r="H13" i="16" s="1"/>
  <c r="V20" i="13"/>
  <c r="U20" i="13"/>
  <c r="R20" i="13"/>
  <c r="R10" i="13" s="1"/>
  <c r="S20" i="13"/>
  <c r="S10" i="13" s="1"/>
  <c r="T20" i="13"/>
  <c r="W20" i="13"/>
  <c r="X20" i="13"/>
  <c r="P55" i="1"/>
  <c r="O55" i="1"/>
  <c r="S11" i="13"/>
  <c r="K8" i="16"/>
  <c r="K7" i="16" s="1"/>
  <c r="K6" i="16" s="1"/>
  <c r="J23" i="13"/>
  <c r="N8" i="16"/>
  <c r="J8" i="16"/>
  <c r="J7" i="16" s="1"/>
  <c r="E7" i="16"/>
  <c r="E11" i="16" s="1"/>
  <c r="E23" i="13"/>
  <c r="G8" i="16"/>
  <c r="O8" i="16"/>
  <c r="N23" i="13"/>
  <c r="P23" i="13"/>
  <c r="G23" i="13"/>
  <c r="F23" i="13"/>
  <c r="D13" i="16"/>
  <c r="D6" i="16"/>
  <c r="M13" i="16"/>
  <c r="M6" i="16"/>
  <c r="I13" i="16"/>
  <c r="I6" i="16"/>
  <c r="D11" i="16"/>
  <c r="M11" i="16"/>
  <c r="F13" i="16"/>
  <c r="F6" i="16"/>
  <c r="I23" i="13"/>
  <c r="F13" i="11"/>
  <c r="F10" i="11"/>
  <c r="R13" i="11"/>
  <c r="M10" i="11"/>
  <c r="F7" i="11"/>
  <c r="R4" i="11"/>
  <c r="F16" i="11"/>
  <c r="G16" i="11"/>
  <c r="J7" i="11"/>
  <c r="K23" i="13"/>
  <c r="H23" i="13"/>
  <c r="N14" i="13"/>
  <c r="M23" i="13"/>
  <c r="O23" i="13"/>
  <c r="L23" i="13"/>
  <c r="M14" i="13"/>
  <c r="G14" i="13"/>
  <c r="J14" i="13"/>
  <c r="I14" i="13"/>
  <c r="K14" i="13"/>
  <c r="L14" i="13"/>
  <c r="E14" i="13"/>
  <c r="L4" i="11"/>
  <c r="P16" i="11"/>
  <c r="E10" i="11"/>
  <c r="O10" i="11"/>
  <c r="P13" i="11"/>
  <c r="H4" i="11"/>
  <c r="D16" i="11"/>
  <c r="Q7" i="11"/>
  <c r="I16" i="11"/>
  <c r="Q16" i="11"/>
  <c r="D4" i="11"/>
  <c r="E16" i="11"/>
  <c r="L13" i="11"/>
  <c r="E7" i="11"/>
  <c r="C7" i="11"/>
  <c r="G4" i="11"/>
  <c r="K7" i="11"/>
  <c r="H10" i="11"/>
  <c r="K16" i="11"/>
  <c r="D13" i="11"/>
  <c r="M7" i="11"/>
  <c r="M16" i="11"/>
  <c r="H13" i="11"/>
  <c r="K4" i="11"/>
  <c r="I7" i="11"/>
  <c r="E4" i="11"/>
  <c r="C13" i="11"/>
  <c r="D10" i="11"/>
  <c r="L10" i="11"/>
  <c r="H7" i="11"/>
  <c r="K10" i="11"/>
  <c r="R10" i="11"/>
  <c r="G13" i="11"/>
  <c r="O13" i="11"/>
  <c r="C16" i="11"/>
  <c r="P4" i="11"/>
  <c r="O7" i="11"/>
  <c r="Q13" i="11"/>
  <c r="J16" i="11"/>
  <c r="R16" i="11"/>
  <c r="Q4" i="11"/>
  <c r="J13" i="11"/>
  <c r="I4" i="11"/>
  <c r="I13" i="11"/>
  <c r="L16" i="11"/>
  <c r="P7" i="11"/>
  <c r="C4" i="11"/>
  <c r="J10" i="11"/>
  <c r="G7" i="11"/>
  <c r="M13" i="11"/>
  <c r="O4" i="11"/>
  <c r="T22" i="16" l="1"/>
  <c r="P22" i="16"/>
  <c r="Q17" i="16"/>
  <c r="R17" i="16" s="1"/>
  <c r="S17" i="16" s="1"/>
  <c r="T17" i="16" s="1"/>
  <c r="U17" i="16" s="1"/>
  <c r="P18" i="16"/>
  <c r="Y77" i="1"/>
  <c r="X78" i="1"/>
  <c r="R77" i="1"/>
  <c r="R78" i="1" s="1"/>
  <c r="S78" i="1"/>
  <c r="V14" i="1"/>
  <c r="V13" i="1" s="1"/>
  <c r="U10" i="13" s="1"/>
  <c r="H6" i="16"/>
  <c r="W14" i="1"/>
  <c r="W13" i="1" s="1"/>
  <c r="V11" i="13" s="1"/>
  <c r="H11" i="16"/>
  <c r="V23" i="13"/>
  <c r="U23" i="13"/>
  <c r="T23" i="13"/>
  <c r="S23" i="13"/>
  <c r="R23" i="13"/>
  <c r="Q23" i="13"/>
  <c r="X23" i="13"/>
  <c r="W23" i="13"/>
  <c r="T48" i="1"/>
  <c r="L13" i="16"/>
  <c r="L11" i="16"/>
  <c r="K13" i="16"/>
  <c r="K11" i="16"/>
  <c r="E13" i="16"/>
  <c r="R4" i="13"/>
  <c r="R5" i="13"/>
  <c r="Q5" i="13"/>
  <c r="O7" i="16"/>
  <c r="Q4" i="13"/>
  <c r="R12" i="13"/>
  <c r="S12" i="13"/>
  <c r="T11" i="13"/>
  <c r="T10" i="13"/>
  <c r="E6" i="16"/>
  <c r="G7" i="16"/>
  <c r="J11" i="16"/>
  <c r="J13" i="16"/>
  <c r="J6" i="16"/>
  <c r="N7" i="16"/>
  <c r="N15" i="13"/>
  <c r="O31" i="1" s="1"/>
  <c r="O71" i="1" s="1"/>
  <c r="G15" i="13"/>
  <c r="H31" i="1" s="1"/>
  <c r="H71" i="1" s="1"/>
  <c r="O15" i="13"/>
  <c r="P31" i="1" s="1"/>
  <c r="P71" i="1" s="1"/>
  <c r="K15" i="13"/>
  <c r="L31" i="1" s="1"/>
  <c r="L71" i="1" s="1"/>
  <c r="P15" i="13"/>
  <c r="Q31" i="1" s="1"/>
  <c r="Q71" i="1" s="1"/>
  <c r="I15" i="13"/>
  <c r="J31" i="1" s="1"/>
  <c r="J71" i="1" s="1"/>
  <c r="M15" i="13"/>
  <c r="N31" i="1" s="1"/>
  <c r="N71" i="1" s="1"/>
  <c r="H15" i="13"/>
  <c r="I31" i="1" s="1"/>
  <c r="I71" i="1" s="1"/>
  <c r="J15" i="13"/>
  <c r="K31" i="1" s="1"/>
  <c r="K71" i="1" s="1"/>
  <c r="L15" i="13"/>
  <c r="M31" i="1" s="1"/>
  <c r="M71" i="1" s="1"/>
  <c r="F15" i="13"/>
  <c r="G31" i="1" s="1"/>
  <c r="G71" i="1" s="1"/>
  <c r="E15" i="13"/>
  <c r="F31" i="1" s="1"/>
  <c r="F71" i="1" s="1"/>
  <c r="U11" i="13" l="1"/>
  <c r="U12" i="13" s="1"/>
  <c r="V10" i="13"/>
  <c r="V12" i="13" s="1"/>
  <c r="X14" i="1"/>
  <c r="X13" i="1" s="1"/>
  <c r="W10" i="13" s="1"/>
  <c r="P19" i="16"/>
  <c r="R25" i="1" s="1"/>
  <c r="Z77" i="1"/>
  <c r="Y78" i="1"/>
  <c r="Y14" i="1"/>
  <c r="Y13" i="1" s="1"/>
  <c r="X10" i="13" s="1"/>
  <c r="O6" i="16"/>
  <c r="O13" i="16"/>
  <c r="U48" i="1"/>
  <c r="R6" i="13"/>
  <c r="R7" i="13" s="1"/>
  <c r="R14" i="13" s="1"/>
  <c r="Q7" i="13"/>
  <c r="Q14" i="13" s="1"/>
  <c r="Q15" i="13" s="1"/>
  <c r="R31" i="1" s="1"/>
  <c r="V17" i="16"/>
  <c r="W17" i="16" s="1"/>
  <c r="O11" i="16"/>
  <c r="N11" i="16"/>
  <c r="N6" i="16"/>
  <c r="S5" i="13"/>
  <c r="T5" i="13"/>
  <c r="U5" i="13"/>
  <c r="T12" i="13"/>
  <c r="N13" i="16"/>
  <c r="G13" i="16"/>
  <c r="G6" i="16"/>
  <c r="G11" i="16"/>
  <c r="G33" i="1"/>
  <c r="G32" i="1"/>
  <c r="G72" i="1" s="1"/>
  <c r="L33" i="1"/>
  <c r="L32" i="1"/>
  <c r="L72" i="1" s="1"/>
  <c r="M32" i="1"/>
  <c r="M72" i="1" s="1"/>
  <c r="M33" i="1"/>
  <c r="Q32" i="1"/>
  <c r="Q72" i="1" s="1"/>
  <c r="Q33" i="1"/>
  <c r="K32" i="1"/>
  <c r="K72" i="1" s="1"/>
  <c r="K33" i="1"/>
  <c r="I32" i="1"/>
  <c r="I72" i="1" s="1"/>
  <c r="I33" i="1"/>
  <c r="P32" i="1"/>
  <c r="P72" i="1" s="1"/>
  <c r="P33" i="1"/>
  <c r="N32" i="1"/>
  <c r="N72" i="1" s="1"/>
  <c r="N33" i="1"/>
  <c r="H33" i="1"/>
  <c r="H32" i="1"/>
  <c r="H72" i="1" s="1"/>
  <c r="J32" i="1"/>
  <c r="J72" i="1" s="1"/>
  <c r="J33" i="1"/>
  <c r="O33" i="1"/>
  <c r="O32" i="1"/>
  <c r="O72" i="1" s="1"/>
  <c r="F32" i="1"/>
  <c r="F72" i="1" s="1"/>
  <c r="W11" i="13" l="1"/>
  <c r="W12" i="13" s="1"/>
  <c r="P20" i="16"/>
  <c r="Q16" i="16" s="1"/>
  <c r="Q18" i="16" s="1"/>
  <c r="Q19" i="16" s="1"/>
  <c r="S25" i="1" s="1"/>
  <c r="AA77" i="1"/>
  <c r="Z78" i="1"/>
  <c r="P13" i="16"/>
  <c r="Q13" i="16"/>
  <c r="Q7" i="16" s="1"/>
  <c r="T13" i="16"/>
  <c r="T7" i="16" s="1"/>
  <c r="R13" i="16"/>
  <c r="R7" i="16" s="1"/>
  <c r="S13" i="16"/>
  <c r="S7" i="16" s="1"/>
  <c r="U13" i="16"/>
  <c r="U7" i="16" s="1"/>
  <c r="V13" i="16"/>
  <c r="W13" i="16"/>
  <c r="R15" i="13"/>
  <c r="S31" i="1" s="1"/>
  <c r="S71" i="1" s="1"/>
  <c r="R33" i="1"/>
  <c r="R71" i="1"/>
  <c r="V48" i="1"/>
  <c r="R32" i="1"/>
  <c r="R72" i="1" s="1"/>
  <c r="S6" i="13"/>
  <c r="P11" i="16"/>
  <c r="S4" i="13"/>
  <c r="R11" i="16"/>
  <c r="V11" i="16"/>
  <c r="U11" i="16"/>
  <c r="Q11" i="16"/>
  <c r="W11" i="16"/>
  <c r="S11" i="16"/>
  <c r="T11" i="16"/>
  <c r="V5" i="13"/>
  <c r="X11" i="13"/>
  <c r="X12" i="13" s="1"/>
  <c r="Q20" i="16" l="1"/>
  <c r="R16" i="16" s="1"/>
  <c r="R18" i="16" s="1"/>
  <c r="R19" i="16" s="1"/>
  <c r="T25" i="1" s="1"/>
  <c r="AB77" i="1"/>
  <c r="AB78" i="1" s="1"/>
  <c r="AA78" i="1"/>
  <c r="S8" i="16"/>
  <c r="S9" i="16" s="1"/>
  <c r="T5" i="16" s="1"/>
  <c r="T6" i="16" s="1"/>
  <c r="V28" i="1" s="1"/>
  <c r="P7" i="16"/>
  <c r="P6" i="16" s="1"/>
  <c r="R28" i="1" s="1"/>
  <c r="R8" i="16"/>
  <c r="T24" i="1" s="1"/>
  <c r="W48" i="1"/>
  <c r="U8" i="16"/>
  <c r="W24" i="1" s="1"/>
  <c r="V6" i="13"/>
  <c r="T6" i="13"/>
  <c r="S7" i="13"/>
  <c r="S14" i="13" s="1"/>
  <c r="S15" i="13" s="1"/>
  <c r="T31" i="1" s="1"/>
  <c r="Q8" i="16"/>
  <c r="Q9" i="16" s="1"/>
  <c r="R5" i="16" s="1"/>
  <c r="R6" i="16" s="1"/>
  <c r="T28" i="1" s="1"/>
  <c r="T8" i="16"/>
  <c r="W5" i="13"/>
  <c r="T4" i="13"/>
  <c r="W7" i="16"/>
  <c r="V7" i="16"/>
  <c r="S33" i="1"/>
  <c r="S32" i="1"/>
  <c r="S72" i="1" s="1"/>
  <c r="R20" i="16" l="1"/>
  <c r="S16" i="16" s="1"/>
  <c r="S18" i="16" s="1"/>
  <c r="T23" i="1"/>
  <c r="T26" i="1" s="1"/>
  <c r="T66" i="1" s="1"/>
  <c r="U9" i="16"/>
  <c r="V5" i="16" s="1"/>
  <c r="V6" i="16" s="1"/>
  <c r="X28" i="1" s="1"/>
  <c r="X29" i="1" s="1"/>
  <c r="X69" i="1" s="1"/>
  <c r="U24" i="1"/>
  <c r="R9" i="16"/>
  <c r="S5" i="16" s="1"/>
  <c r="S6" i="16" s="1"/>
  <c r="U28" i="1" s="1"/>
  <c r="U29" i="1" s="1"/>
  <c r="U69" i="1" s="1"/>
  <c r="R29" i="1"/>
  <c r="R69" i="1" s="1"/>
  <c r="R68" i="1"/>
  <c r="V29" i="1"/>
  <c r="V69" i="1" s="1"/>
  <c r="V68" i="1"/>
  <c r="T29" i="1"/>
  <c r="T69" i="1" s="1"/>
  <c r="T68" i="1"/>
  <c r="T33" i="1"/>
  <c r="T71" i="1"/>
  <c r="X48" i="1"/>
  <c r="X5" i="13"/>
  <c r="S24" i="1"/>
  <c r="S23" i="1" s="1"/>
  <c r="T7" i="13"/>
  <c r="T14" i="13" s="1"/>
  <c r="T15" i="13" s="1"/>
  <c r="U31" i="1" s="1"/>
  <c r="T32" i="1"/>
  <c r="T72" i="1" s="1"/>
  <c r="U6" i="13"/>
  <c r="W6" i="13"/>
  <c r="V4" i="13"/>
  <c r="V7" i="13" s="1"/>
  <c r="V14" i="13" s="1"/>
  <c r="T9" i="16"/>
  <c r="U5" i="16" s="1"/>
  <c r="U6" i="16" s="1"/>
  <c r="W28" i="1" s="1"/>
  <c r="W29" i="1" s="1"/>
  <c r="V24" i="1"/>
  <c r="U4" i="13"/>
  <c r="W8" i="16"/>
  <c r="V8" i="16"/>
  <c r="U68" i="1" l="1"/>
  <c r="T65" i="1"/>
  <c r="S19" i="16"/>
  <c r="U25" i="1" s="1"/>
  <c r="U23" i="1" s="1"/>
  <c r="X68" i="1"/>
  <c r="W69" i="1"/>
  <c r="W68" i="1"/>
  <c r="U7" i="13"/>
  <c r="U14" i="13" s="1"/>
  <c r="U15" i="13" s="1"/>
  <c r="V31" i="1" s="1"/>
  <c r="V71" i="1" s="1"/>
  <c r="U32" i="1"/>
  <c r="U72" i="1" s="1"/>
  <c r="U71" i="1"/>
  <c r="S26" i="1"/>
  <c r="S66" i="1" s="1"/>
  <c r="S65" i="1"/>
  <c r="U33" i="1"/>
  <c r="X6" i="13"/>
  <c r="W4" i="13"/>
  <c r="W7" i="13" s="1"/>
  <c r="W14" i="13" s="1"/>
  <c r="W15" i="13" s="1"/>
  <c r="X31" i="1" s="1"/>
  <c r="X71" i="1" s="1"/>
  <c r="W9" i="16"/>
  <c r="Y24" i="1"/>
  <c r="V9" i="16"/>
  <c r="W5" i="16" s="1"/>
  <c r="W6" i="16" s="1"/>
  <c r="Y28" i="1" s="1"/>
  <c r="Y29" i="1" s="1"/>
  <c r="X24" i="1"/>
  <c r="V15" i="13" l="1"/>
  <c r="W31" i="1" s="1"/>
  <c r="W71" i="1" s="1"/>
  <c r="S20" i="16"/>
  <c r="T16" i="16" s="1"/>
  <c r="T18" i="16" s="1"/>
  <c r="T19" i="16" s="1"/>
  <c r="V25" i="1" s="1"/>
  <c r="V23" i="1" s="1"/>
  <c r="U65" i="1"/>
  <c r="U26" i="1"/>
  <c r="U66" i="1" s="1"/>
  <c r="Y69" i="1"/>
  <c r="Y68" i="1"/>
  <c r="V32" i="1"/>
  <c r="V72" i="1" s="1"/>
  <c r="V33" i="1"/>
  <c r="X33" i="1"/>
  <c r="X32" i="1"/>
  <c r="X72" i="1" s="1"/>
  <c r="X4" i="13"/>
  <c r="X7" i="13" s="1"/>
  <c r="X14" i="13" s="1"/>
  <c r="X15" i="13" s="1"/>
  <c r="Y31" i="1" s="1"/>
  <c r="Y71" i="1" s="1"/>
  <c r="W32" i="1" l="1"/>
  <c r="W72" i="1" s="1"/>
  <c r="W33" i="1"/>
  <c r="T20" i="16"/>
  <c r="U16" i="16" s="1"/>
  <c r="U18" i="16" s="1"/>
  <c r="V65" i="1"/>
  <c r="V26" i="1"/>
  <c r="V66" i="1" s="1"/>
  <c r="Y32" i="1"/>
  <c r="Y72" i="1" s="1"/>
  <c r="Y33" i="1"/>
  <c r="U19" i="16" l="1"/>
  <c r="W25" i="1" s="1"/>
  <c r="W23" i="1" s="1"/>
  <c r="U20" i="16"/>
  <c r="V16" i="16" s="1"/>
  <c r="V18" i="16" s="1"/>
  <c r="P8" i="16"/>
  <c r="R24" i="1" s="1"/>
  <c r="W26" i="1" l="1"/>
  <c r="W66" i="1" s="1"/>
  <c r="W65" i="1"/>
  <c r="V19" i="16"/>
  <c r="X25" i="1" s="1"/>
  <c r="X23" i="1" s="1"/>
  <c r="R23" i="1"/>
  <c r="P9" i="16"/>
  <c r="Q5" i="16" s="1"/>
  <c r="Q6" i="16" s="1"/>
  <c r="S28" i="1" s="1"/>
  <c r="T30" i="1" s="1"/>
  <c r="T55" i="1"/>
  <c r="T54" i="1" s="1"/>
  <c r="W55" i="1"/>
  <c r="W54" i="1" s="1"/>
  <c r="S55" i="1"/>
  <c r="S54" i="1" s="1"/>
  <c r="R55" i="1"/>
  <c r="R54" i="1" s="1"/>
  <c r="V55" i="1"/>
  <c r="V54" i="1" s="1"/>
  <c r="U55" i="1"/>
  <c r="U54" i="1" s="1"/>
  <c r="X55" i="1"/>
  <c r="X54" i="1" s="1"/>
  <c r="Y55" i="1"/>
  <c r="V20" i="16" l="1"/>
  <c r="W16" i="16" s="1"/>
  <c r="W18" i="16" s="1"/>
  <c r="X26" i="1"/>
  <c r="X66" i="1" s="1"/>
  <c r="X65" i="1"/>
  <c r="S29" i="1"/>
  <c r="S69" i="1" s="1"/>
  <c r="S68" i="1"/>
  <c r="R26" i="1"/>
  <c r="R66" i="1" s="1"/>
  <c r="R65" i="1"/>
  <c r="U60" i="1"/>
  <c r="U63" i="1" s="1"/>
  <c r="U74" i="1" s="1"/>
  <c r="U75" i="1" s="1"/>
  <c r="V60" i="1"/>
  <c r="V63" i="1" s="1"/>
  <c r="V74" i="1" s="1"/>
  <c r="V75" i="1" s="1"/>
  <c r="W60" i="1"/>
  <c r="W63" i="1" s="1"/>
  <c r="W74" i="1" s="1"/>
  <c r="W75" i="1" s="1"/>
  <c r="S60" i="1"/>
  <c r="S63" i="1" s="1"/>
  <c r="S74" i="1" s="1"/>
  <c r="S75" i="1" s="1"/>
  <c r="X60" i="1"/>
  <c r="X63" i="1" s="1"/>
  <c r="X74" i="1" s="1"/>
  <c r="X75" i="1" s="1"/>
  <c r="T60" i="1"/>
  <c r="T63" i="1" s="1"/>
  <c r="T74" i="1" s="1"/>
  <c r="T75" i="1" s="1"/>
  <c r="R60" i="1"/>
  <c r="R63" i="1" s="1"/>
  <c r="R74" i="1" l="1"/>
  <c r="R75" i="1" s="1"/>
  <c r="W19" i="16"/>
  <c r="Y25" i="1" s="1"/>
  <c r="Y23" i="1" s="1"/>
  <c r="Y49" i="1"/>
  <c r="Y48" i="1" s="1"/>
  <c r="Y52" i="1"/>
  <c r="W20" i="16" l="1"/>
  <c r="Y26" i="1"/>
  <c r="Y66" i="1" s="1"/>
  <c r="Y65" i="1"/>
  <c r="Z54" i="1"/>
  <c r="Y54" i="1"/>
  <c r="Y60" i="1" s="1"/>
  <c r="Y63" i="1" s="1"/>
  <c r="Y74" i="1" l="1"/>
  <c r="Y75" i="1" s="1"/>
  <c r="Z60" i="1"/>
  <c r="Z63" i="1" s="1"/>
  <c r="Z74" i="1" s="1"/>
  <c r="Z75" i="1" s="1"/>
  <c r="AB54" i="1"/>
  <c r="AA54" i="1"/>
  <c r="AA60" i="1" l="1"/>
  <c r="AA63" i="1" s="1"/>
  <c r="AA74" i="1" s="1"/>
  <c r="AA75" i="1" s="1"/>
  <c r="AB60" i="1"/>
  <c r="AB63" i="1" s="1"/>
  <c r="AB74" i="1" s="1"/>
  <c r="AB75" i="1" l="1"/>
  <c r="E80" i="1"/>
  <c r="E81" i="1" s="1"/>
  <c r="E82" i="1" l="1"/>
  <c r="E85" i="1" s="1"/>
  <c r="E88" i="1" s="1"/>
  <c r="J4" i="1" s="1"/>
  <c r="J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BBBE4C-ED9B-4EC6-9C5E-1AC58ED7F0CD}" keepAlive="1" name="ModelConnection_ExternalData_2" description="Data Model" type="5" refreshedVersion="8" minRefreshableVersion="5" saveData="1">
    <dbPr connection="Data Model Connection" command="Table006  Page 3   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195208B5-5B50-437C-8307-A6B962C23F57}" keepAlive="1" name="Query - Q1 BS 2023" description="Connection to the 'Q1 BS 2023' query in the workbook." type="5" refreshedVersion="8" background="1" saveData="1">
    <dbPr connection="Provider=Microsoft.Mashup.OleDb.1;Data Source=$Workbook$;Location=&quot;Q1 BS 2023&quot;;Extended Properties=&quot;&quot;" command="SELECT * FROM [Q1 BS 2023]"/>
  </connection>
  <connection id="3" xr16:uid="{611635EF-3B20-4D1C-A164-8976414C084E}" keepAlive="1" name="Query - Q1 IS 2022" description="Connection to the 'Q1 IS 2022' query in the workbook." type="5" refreshedVersion="8" background="1" saveData="1">
    <dbPr connection="Provider=Microsoft.Mashup.OleDb.1;Data Source=$Workbook$;Location=&quot;Q1 IS 2022&quot;;Extended Properties=&quot;&quot;" command="SELECT * FROM [Q1 IS 2022]"/>
  </connection>
  <connection id="4" xr16:uid="{5F6B660E-E374-4BDC-98A8-B0E532C95D17}" keepAlive="1" name="Query - Q1 IS 2023" description="Connection to the 'Q1 IS 2023' query in the workbook." type="5" refreshedVersion="8" background="1" saveData="1">
    <dbPr connection="Provider=Microsoft.Mashup.OleDb.1;Data Source=$Workbook$;Location=&quot;Q1 IS 2023&quot;;Extended Properties=&quot;&quot;" command="SELECT * FROM [Q1 IS 2023]"/>
  </connection>
  <connection id="5" xr16:uid="{3DB1EA81-ACA6-4C1D-BC42-9C6A30BF88D0}" name="Query - Q2 BS 2023" description="Connection to the 'Q2 BS 2023' query in the workbook." type="100" refreshedVersion="8" minRefreshableVersion="5">
    <extLst>
      <ext xmlns:x15="http://schemas.microsoft.com/office/spreadsheetml/2010/11/main" uri="{DE250136-89BD-433C-8126-D09CA5730AF9}">
        <x15:connection id="ac12dd66-ac87-4fa2-bdd2-d052069dd3b1">
          <x15:oledbPr connection="Provider=Microsoft.Mashup.OleDb.1;Data Source=$Workbook$;Location=&quot;Q2 BS 2023&quot;;Extended Properties=&quot;&quot;">
            <x15:dbTables>
              <x15:dbTable name="Q2 BS 2023"/>
            </x15:dbTables>
          </x15:oledbPr>
        </x15:connection>
      </ext>
    </extLst>
  </connection>
  <connection id="6" xr16:uid="{55297E98-FCE9-427F-B449-73755BC2F538}" keepAlive="1" name="Query - Q2 IS 2022" description="Connection to the 'Q2 IS 2022' query in the workbook." type="5" refreshedVersion="8" background="1" saveData="1">
    <dbPr connection="Provider=Microsoft.Mashup.OleDb.1;Data Source=$Workbook$;Location=&quot;Q2 IS 2022&quot;;Extended Properties=&quot;&quot;" command="SELECT * FROM [Q2 IS 2022]"/>
  </connection>
  <connection id="7" xr16:uid="{DA78210E-AC19-4959-8373-FB450E883279}" name="Query - Q2 IS 2023" description="Connection to the 'Q2 IS 2023' query in the workbook." type="100" refreshedVersion="8" minRefreshableVersion="5">
    <extLst>
      <ext xmlns:x15="http://schemas.microsoft.com/office/spreadsheetml/2010/11/main" uri="{DE250136-89BD-433C-8126-D09CA5730AF9}">
        <x15:connection id="9c202098-6617-46e9-9777-fac233700281">
          <x15:oledbPr connection="Provider=Microsoft.Mashup.OleDb.1;Data Source=$Workbook$;Location=&quot;Q2 IS 2023&quot;;Extended Properties=&quot;&quot;">
            <x15:dbTables>
              <x15:dbTable name="Q2 IS 2023"/>
            </x15:dbTables>
          </x15:oledbPr>
        </x15:connection>
      </ext>
    </extLst>
  </connection>
  <connection id="8" xr16:uid="{7942F821-DEB8-48C3-88A2-97C59585985F}" name="Query - Q3 BS 2023" description="Connection to the 'Q3 BS 2023' query in the workbook." type="100" refreshedVersion="8" minRefreshableVersion="5">
    <extLst>
      <ext xmlns:x15="http://schemas.microsoft.com/office/spreadsheetml/2010/11/main" uri="{DE250136-89BD-433C-8126-D09CA5730AF9}">
        <x15:connection id="5edb741b-1a5c-415d-953a-874f73956dbe">
          <x15:oledbPr connection="Provider=Microsoft.Mashup.OleDb.1;Data Source=$Workbook$;Location=&quot;Q3 BS 2023&quot;;Extended Properties=&quot;&quot;">
            <x15:dbTables>
              <x15:dbTable name="Q3 BS 2023"/>
            </x15:dbTables>
          </x15:oledbPr>
        </x15:connection>
      </ext>
    </extLst>
  </connection>
  <connection id="9" xr16:uid="{5C8FD4EC-1EB1-411F-817A-7931AA99A16B}" keepAlive="1" name="Query - Q3 IS 2 2023" description="Connection to the 'Q3 IS 2 2023' query in the workbook." type="5" refreshedVersion="8" background="1" saveData="1">
    <dbPr connection="Provider=Microsoft.Mashup.OleDb.1;Data Source=$Workbook$;Location=&quot;Q3 IS 2 2023&quot;;Extended Properties=&quot;&quot;" command="SELECT * FROM [Q3 IS 2 2023]"/>
  </connection>
  <connection id="10" xr16:uid="{C90A9022-FEC7-4178-8B6F-BBDEF9B7C81F}" keepAlive="1" name="Query - Q3 IS 2022" description="Connection to the 'Q3 IS 2022' query in the workbook." type="5" refreshedVersion="8" background="1" saveData="1">
    <dbPr connection="Provider=Microsoft.Mashup.OleDb.1;Data Source=$Workbook$;Location=&quot;Q3 IS 2022&quot;;Extended Properties=&quot;&quot;" command="SELECT * FROM [Q3 IS 2022]"/>
  </connection>
  <connection id="11" xr16:uid="{111A0C06-24BF-4283-896D-216CCDB4C4A4}" name="Query - Q3 IS 2023" description="Connection to the 'Q3 IS 2023' query in the workbook." type="100" refreshedVersion="8" minRefreshableVersion="5">
    <extLst>
      <ext xmlns:x15="http://schemas.microsoft.com/office/spreadsheetml/2010/11/main" uri="{DE250136-89BD-433C-8126-D09CA5730AF9}">
        <x15:connection id="dbaebf63-72d0-4784-8c99-231cc61588d8">
          <x15:oledbPr connection="Provider=Microsoft.Mashup.OleDb.1;Data Source=$Workbook$;Location=&quot;Q3 IS 2023&quot;;Extended Properties=&quot;&quot;">
            <x15:dbTables>
              <x15:dbTable name="Q3 IS 2023"/>
            </x15:dbTables>
          </x15:oledbPr>
        </x15:connection>
      </ext>
    </extLst>
  </connection>
  <connection id="12" xr16:uid="{F9F01F67-2A88-4C68-9EDB-F3ED39AD4962}" keepAlive="1" name="Query - Q4 IS 2023" description="Connection to the 'Q4 IS 2023' query in the workbook." type="5" refreshedVersion="8" background="1" saveData="1">
    <dbPr connection="Provider=Microsoft.Mashup.OleDb.1;Data Source=$Workbook$;Location=&quot;Q4 IS 2023&quot;;Extended Properties=&quot;&quot;" command="SELECT * FROM [Q4 IS 2023]"/>
  </connection>
  <connection id="13" xr16:uid="{71C15629-D066-43EE-BE49-58221371CBB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<sst xmlns="http://schemas.openxmlformats.org/spreadsheetml/2006/main" count="566" uniqueCount="421">
  <si>
    <t>Nvidia Discounted Cash Flow</t>
  </si>
  <si>
    <t>x</t>
  </si>
  <si>
    <t>Assumptions</t>
  </si>
  <si>
    <t>Discounted Cash Flow</t>
  </si>
  <si>
    <t>Cash Flow Items</t>
  </si>
  <si>
    <t>Scenarios</t>
  </si>
  <si>
    <t>Revenue</t>
  </si>
  <si>
    <t>Cost of revenue</t>
  </si>
  <si>
    <t>Research and development</t>
  </si>
  <si>
    <t>Acquisition termination cost</t>
  </si>
  <si>
    <t>Interest income</t>
  </si>
  <si>
    <t>Interest expense</t>
  </si>
  <si>
    <t>Basic</t>
  </si>
  <si>
    <t>Diluted</t>
  </si>
  <si>
    <t>Gross profit</t>
  </si>
  <si>
    <t>WACC</t>
  </si>
  <si>
    <t>Market cap</t>
  </si>
  <si>
    <t xml:space="preserve">% </t>
  </si>
  <si>
    <t>Cost of equity</t>
  </si>
  <si>
    <t xml:space="preserve">Risk Free rate </t>
  </si>
  <si>
    <t>Beta</t>
  </si>
  <si>
    <t>Debt</t>
  </si>
  <si>
    <t>%</t>
  </si>
  <si>
    <t>Cost of debt</t>
  </si>
  <si>
    <t>Tax Rate</t>
  </si>
  <si>
    <t>EBIT</t>
  </si>
  <si>
    <t>g</t>
  </si>
  <si>
    <t>Conservative</t>
  </si>
  <si>
    <t>Base</t>
  </si>
  <si>
    <t>Optimistic</t>
  </si>
  <si>
    <t>% growth</t>
  </si>
  <si>
    <t>D&amp;A</t>
  </si>
  <si>
    <t>CapEx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</si>
  <si>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</si>
  <si>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</si>
  <si>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</si>
  <si>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</si>
  <si>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</si>
  <si>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</si>
  <si>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</si>
  <si>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</si>
  <si>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</si>
  <si>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</si>
  <si>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</si>
  <si>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</si>
  <si>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</si>
  <si>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</si>
  <si>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</si>
  <si>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</si>
  <si>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Taxes</t>
  </si>
  <si>
    <t>Operating expenses</t>
  </si>
  <si>
    <t>Sales, general and administrative</t>
  </si>
  <si>
    <t>—</t>
  </si>
  <si>
    <t>Total operating expenses</t>
  </si>
  <si>
    <t>Income from operations</t>
  </si>
  <si>
    <t>Other, net</t>
  </si>
  <si>
    <t>Other income (expense), net</t>
  </si>
  <si>
    <t>Income before income tax</t>
  </si>
  <si>
    <t>Income tax expense</t>
  </si>
  <si>
    <t>Net income</t>
  </si>
  <si>
    <t/>
  </si>
  <si>
    <t>Net income per share:</t>
  </si>
  <si>
    <t>ASSETS</t>
  </si>
  <si>
    <t>Current assets:</t>
  </si>
  <si>
    <t>Cash and cash equivalents</t>
  </si>
  <si>
    <t>3,389</t>
  </si>
  <si>
    <t>Marketable securities</t>
  </si>
  <si>
    <t>9,907</t>
  </si>
  <si>
    <t>Accounts receivable, net</t>
  </si>
  <si>
    <t>3,827</t>
  </si>
  <si>
    <t>Inventories</t>
  </si>
  <si>
    <t>5,159</t>
  </si>
  <si>
    <t>Prepaid expenses and other current assets</t>
  </si>
  <si>
    <t>791</t>
  </si>
  <si>
    <t>Total current assets</t>
  </si>
  <si>
    <t>23,073</t>
  </si>
  <si>
    <t>Property and equipment, net</t>
  </si>
  <si>
    <t>3,807</t>
  </si>
  <si>
    <t>Operating lease assets</t>
  </si>
  <si>
    <t>1,038</t>
  </si>
  <si>
    <t>Goodwill</t>
  </si>
  <si>
    <t>4,430</t>
  </si>
  <si>
    <t>4,372</t>
  </si>
  <si>
    <t>Intangible assets, net</t>
  </si>
  <si>
    <t>1,676</t>
  </si>
  <si>
    <t>Deferred income tax assets</t>
  </si>
  <si>
    <t>3,396</t>
  </si>
  <si>
    <t>Other assets</t>
  </si>
  <si>
    <t>3,820</t>
  </si>
  <si>
    <t>Total assets</t>
  </si>
  <si>
    <t>41,182</t>
  </si>
  <si>
    <t>LIABILITIES AND SHAREHOLDERS’ EQUITY</t>
  </si>
  <si>
    <t>Current liabilities:</t>
  </si>
  <si>
    <t>Accounts payable</t>
  </si>
  <si>
    <t>1,193</t>
  </si>
  <si>
    <t>Accrued and other current liabilities</t>
  </si>
  <si>
    <t>4,120</t>
  </si>
  <si>
    <t>Short-term debt</t>
  </si>
  <si>
    <t>1,250</t>
  </si>
  <si>
    <t>Total current liabilities</t>
  </si>
  <si>
    <t>6,563</t>
  </si>
  <si>
    <t>Long-term debt</t>
  </si>
  <si>
    <t>9,703</t>
  </si>
  <si>
    <t>Long-term operating lease liabilities</t>
  </si>
  <si>
    <t>902</t>
  </si>
  <si>
    <t>Other long-term liabilities</t>
  </si>
  <si>
    <t>1,913</t>
  </si>
  <si>
    <t>Total liabilities</t>
  </si>
  <si>
    <t>19,081</t>
  </si>
  <si>
    <t>Commitments and contingencies - see Note 13</t>
  </si>
  <si>
    <t>Shareholders’ equity:</t>
  </si>
  <si>
    <t>Preferred stock</t>
  </si>
  <si>
    <t>Common stock</t>
  </si>
  <si>
    <t>2</t>
  </si>
  <si>
    <t>Additional paid-in capital</t>
  </si>
  <si>
    <t>11,971</t>
  </si>
  <si>
    <t>Accumulated other comprehensive loss</t>
  </si>
  <si>
    <t>(50)</t>
  </si>
  <si>
    <t>(43)</t>
  </si>
  <si>
    <t>Retained earnings</t>
  </si>
  <si>
    <t>10,171</t>
  </si>
  <si>
    <t>Total shareholders' equity</t>
  </si>
  <si>
    <t>22,101</t>
  </si>
  <si>
    <t>Total liabilities and shareholders' equity</t>
  </si>
  <si>
    <t>May 1, 2022</t>
  </si>
  <si>
    <t>6,704</t>
  </si>
  <si>
    <t>3,789</t>
  </si>
  <si>
    <t>2,915</t>
  </si>
  <si>
    <t>1,824</t>
  </si>
  <si>
    <t>592</t>
  </si>
  <si>
    <t>2,416</t>
  </si>
  <si>
    <t>499</t>
  </si>
  <si>
    <t>46</t>
  </si>
  <si>
    <t>(65)</t>
  </si>
  <si>
    <t>(5)</t>
  </si>
  <si>
    <t>(24)</t>
  </si>
  <si>
    <t>475</t>
  </si>
  <si>
    <t>(181)</t>
  </si>
  <si>
    <t>656</t>
  </si>
  <si>
    <t>0.26</t>
  </si>
  <si>
    <t>2,495</t>
  </si>
  <si>
    <t>2,472</t>
  </si>
  <si>
    <t>2,499</t>
  </si>
  <si>
    <t>2,516</t>
  </si>
  <si>
    <t>5,783</t>
  </si>
  <si>
    <t>10,240</t>
  </si>
  <si>
    <t>7,066</t>
  </si>
  <si>
    <t>4,319</t>
  </si>
  <si>
    <t>1,389</t>
  </si>
  <si>
    <t>28,797</t>
  </si>
  <si>
    <t>3,799</t>
  </si>
  <si>
    <t>1,235</t>
  </si>
  <si>
    <t>1,395</t>
  </si>
  <si>
    <t>5,398</t>
  </si>
  <si>
    <t>4,501</t>
  </si>
  <si>
    <t>49,555</t>
  </si>
  <si>
    <t>1,929</t>
  </si>
  <si>
    <t>7,156</t>
  </si>
  <si>
    <t>1,249</t>
  </si>
  <si>
    <t>10,334</t>
  </si>
  <si>
    <t>8,456</t>
  </si>
  <si>
    <t>1,041</t>
  </si>
  <si>
    <t>2,223</t>
  </si>
  <si>
    <t>22,054</t>
  </si>
  <si>
    <t>12,629</t>
  </si>
  <si>
    <t>(51)</t>
  </si>
  <si>
    <t>14,921</t>
  </si>
  <si>
    <t>27,501</t>
  </si>
  <si>
    <t>5,931</t>
  </si>
  <si>
    <t>2,754</t>
  </si>
  <si>
    <t>3,177</t>
  </si>
  <si>
    <t>1,945</t>
  </si>
  <si>
    <t>631</t>
  </si>
  <si>
    <t>2,576</t>
  </si>
  <si>
    <t>601</t>
  </si>
  <si>
    <t>88</t>
  </si>
  <si>
    <t>(11)</t>
  </si>
  <si>
    <t>12</t>
  </si>
  <si>
    <t>613</t>
  </si>
  <si>
    <t>(67)</t>
  </si>
  <si>
    <t>680</t>
  </si>
  <si>
    <t>2,487</t>
  </si>
  <si>
    <t>2,496</t>
  </si>
  <si>
    <t>2,507</t>
  </si>
  <si>
    <t>2,535</t>
  </si>
  <si>
    <t>Jan 30, 2022</t>
  </si>
  <si>
    <t>5,661</t>
  </si>
  <si>
    <t>2,032</t>
  </si>
  <si>
    <t>3,629</t>
  </si>
  <si>
    <t>1,153</t>
  </si>
  <si>
    <t>520</t>
  </si>
  <si>
    <t>1,673</t>
  </si>
  <si>
    <t>1,956</t>
  </si>
  <si>
    <t>6</t>
  </si>
  <si>
    <t>135</t>
  </si>
  <si>
    <t>2,044</t>
  </si>
  <si>
    <t>132</t>
  </si>
  <si>
    <t>1,912</t>
  </si>
  <si>
    <t>0.77</t>
  </si>
  <si>
    <t>0.76</t>
  </si>
  <si>
    <t>2,484</t>
  </si>
  <si>
    <t>2,528</t>
  </si>
  <si>
    <t>May 2, 2021</t>
  </si>
  <si>
    <t>6,507</t>
  </si>
  <si>
    <t>2,292</t>
  </si>
  <si>
    <t>4,215</t>
  </si>
  <si>
    <t>1,245</t>
  </si>
  <si>
    <t>526</t>
  </si>
  <si>
    <t>1,771</t>
  </si>
  <si>
    <t>2,444</t>
  </si>
  <si>
    <t>(60)</t>
  </si>
  <si>
    <t>4</t>
  </si>
  <si>
    <t>2,394</t>
  </si>
  <si>
    <t>20</t>
  </si>
  <si>
    <t>2,374</t>
  </si>
  <si>
    <t>0.95</t>
  </si>
  <si>
    <t>0.94</t>
  </si>
  <si>
    <t>2,493</t>
  </si>
  <si>
    <t>2,532</t>
  </si>
  <si>
    <t>4,631</t>
  </si>
  <si>
    <t>1,403</t>
  </si>
  <si>
    <t>557</t>
  </si>
  <si>
    <t>1,960</t>
  </si>
  <si>
    <t>2,671</t>
  </si>
  <si>
    <t>7</t>
  </si>
  <si>
    <t>(62)</t>
  </si>
  <si>
    <t>22</t>
  </si>
  <si>
    <t>(33)</t>
  </si>
  <si>
    <t>2,638</t>
  </si>
  <si>
    <t>174</t>
  </si>
  <si>
    <t>2,464</t>
  </si>
  <si>
    <t>0.99</t>
  </si>
  <si>
    <t>0.97</t>
  </si>
  <si>
    <t>2,538</t>
  </si>
  <si>
    <r>
      <rPr>
        <b/>
        <sz val="11"/>
        <color theme="1"/>
        <rFont val="Calibri"/>
        <family val="2"/>
        <scheme val="minor"/>
      </rPr>
      <t xml:space="preserve">2. Historical Balance Sheet </t>
    </r>
    <r>
      <rPr>
        <sz val="11"/>
        <color theme="1"/>
        <rFont val="Calibri"/>
        <family val="2"/>
        <scheme val="minor"/>
      </rPr>
      <t>(Working capital, Fixed assets, Intangible assets)</t>
    </r>
  </si>
  <si>
    <r>
      <rPr>
        <b/>
        <sz val="11"/>
        <color theme="1"/>
        <rFont val="Calibri"/>
        <family val="2"/>
        <scheme val="minor"/>
      </rPr>
      <t>1. Historical P&amp;L</t>
    </r>
    <r>
      <rPr>
        <sz val="11"/>
        <color theme="1"/>
        <rFont val="Calibri"/>
        <family val="2"/>
        <scheme val="minor"/>
      </rPr>
      <t xml:space="preserve"> (Revenue, COGS, Gross profits, D&amp;A, EBIT, PBT &amp; taxes)</t>
    </r>
  </si>
  <si>
    <t>3. Projecting Revenue</t>
  </si>
  <si>
    <t>6. Breakdown of D&amp;A</t>
  </si>
  <si>
    <t>10. Calculate discount rates</t>
  </si>
  <si>
    <t>11. Calculate DCF</t>
  </si>
  <si>
    <r>
      <rPr>
        <b/>
        <sz val="11"/>
        <color theme="1"/>
        <rFont val="Calibri"/>
        <family val="2"/>
        <scheme val="minor"/>
      </rPr>
      <t xml:space="preserve">4. Gross profit </t>
    </r>
    <r>
      <rPr>
        <sz val="11"/>
        <color theme="1"/>
        <rFont val="Calibri"/>
        <family val="2"/>
        <scheme val="minor"/>
      </rPr>
      <t>margin calculation</t>
    </r>
  </si>
  <si>
    <r>
      <rPr>
        <b/>
        <sz val="11"/>
        <color theme="1"/>
        <rFont val="Calibri"/>
        <family val="2"/>
        <scheme val="minor"/>
      </rPr>
      <t>5. EBIT</t>
    </r>
    <r>
      <rPr>
        <sz val="11"/>
        <color theme="1"/>
        <rFont val="Calibri"/>
        <family val="2"/>
        <scheme val="minor"/>
      </rPr>
      <t xml:space="preserve"> margin calculation</t>
    </r>
  </si>
  <si>
    <r>
      <rPr>
        <b/>
        <sz val="11"/>
        <color theme="1"/>
        <rFont val="Calibri"/>
        <family val="2"/>
        <scheme val="minor"/>
      </rPr>
      <t xml:space="preserve">7. Fixed asset </t>
    </r>
    <r>
      <rPr>
        <sz val="11"/>
        <color theme="1"/>
        <rFont val="Calibri"/>
        <family val="2"/>
        <scheme val="minor"/>
      </rPr>
      <t>schedule</t>
    </r>
  </si>
  <si>
    <r>
      <rPr>
        <b/>
        <sz val="11"/>
        <color theme="1"/>
        <rFont val="Calibri"/>
        <family val="2"/>
        <scheme val="minor"/>
      </rPr>
      <t xml:space="preserve">8. Working capital </t>
    </r>
    <r>
      <rPr>
        <sz val="11"/>
        <color theme="1"/>
        <rFont val="Calibri"/>
        <family val="2"/>
        <scheme val="minor"/>
      </rPr>
      <t>schedule</t>
    </r>
  </si>
  <si>
    <r>
      <rPr>
        <b/>
        <sz val="11"/>
        <color theme="1"/>
        <rFont val="Calibri"/>
        <family val="2"/>
        <scheme val="minor"/>
      </rPr>
      <t>9. Debt</t>
    </r>
    <r>
      <rPr>
        <sz val="11"/>
        <color theme="1"/>
        <rFont val="Calibri"/>
        <family val="2"/>
        <scheme val="minor"/>
      </rPr>
      <t xml:space="preserve"> schedule</t>
    </r>
  </si>
  <si>
    <t>Data Center</t>
  </si>
  <si>
    <t>Gaming</t>
  </si>
  <si>
    <t>Professional Visualization</t>
  </si>
  <si>
    <t>Auto</t>
  </si>
  <si>
    <t>OEM &amp; Other</t>
  </si>
  <si>
    <t>Total</t>
  </si>
  <si>
    <t>Q1 2020</t>
  </si>
  <si>
    <t>Q2 2020</t>
  </si>
  <si>
    <t>Q3 2020</t>
  </si>
  <si>
    <t>Q4 2020</t>
  </si>
  <si>
    <t>($ in millions)</t>
  </si>
  <si>
    <t>Calendarized (12/31 CYE)</t>
  </si>
  <si>
    <t>Original Equipment Manufacturers</t>
  </si>
  <si>
    <t>Scenario 3 - Optimistic</t>
  </si>
  <si>
    <t>Scenario 2 - Base</t>
  </si>
  <si>
    <t>Scenario 1 - Conservative</t>
  </si>
  <si>
    <t>Cash flows from operating activities:</t>
  </si>
  <si>
    <t>Stock-based compensation expense</t>
  </si>
  <si>
    <t>Depreciation and amortization</t>
  </si>
  <si>
    <t>Deferred income taxes</t>
  </si>
  <si>
    <t>(Gains) losses on investments in non-affiliates, net</t>
  </si>
  <si>
    <t>Other</t>
  </si>
  <si>
    <t>Changes in operating assets and liabilities, net of acquisitions:</t>
  </si>
  <si>
    <t>Accounts receivable</t>
  </si>
  <si>
    <t>Prepaid expenses and other assets</t>
  </si>
  <si>
    <t>Net cash provided by operating activities</t>
  </si>
  <si>
    <t>Cash flows from investing activities:</t>
  </si>
  <si>
    <t>Proceeds from maturities of marketable securities</t>
  </si>
  <si>
    <t>Proceeds from sales of marketable securities</t>
  </si>
  <si>
    <t>Purchases of marketable securities</t>
  </si>
  <si>
    <t>Purchases related to property and equipment and intangible assets</t>
  </si>
  <si>
    <t>Investments and other, net</t>
  </si>
  <si>
    <t>Acquisitions, net of cash acquired</t>
  </si>
  <si>
    <t>Net cash used in investing activities</t>
  </si>
  <si>
    <t>Cash flows from financing activities:</t>
  </si>
  <si>
    <t>Proceeds related to employee stock plans</t>
  </si>
  <si>
    <t>Payments related to tax on restricted stock units</t>
  </si>
  <si>
    <t>Dividends paid</t>
  </si>
  <si>
    <t>Principal payments on property and equipment</t>
  </si>
  <si>
    <t>Issuance of debt, net of issuance costs</t>
  </si>
  <si>
    <t>Net cash provided by (used in) financing activities</t>
  </si>
  <si>
    <t>Change in cash and cash equivalents</t>
  </si>
  <si>
    <t>Cash and cash equivalents at beginning of period</t>
  </si>
  <si>
    <t>Cash and cash equivalents at end of period</t>
  </si>
  <si>
    <t>Adjustments to reconcile net income
to net cash provided by operating activities:</t>
  </si>
  <si>
    <t>-</t>
  </si>
  <si>
    <t>Income Statement ($ in millions)</t>
  </si>
  <si>
    <t>Balance Sheet ($ in millions)</t>
  </si>
  <si>
    <t>Cash Flows ($ in millions)</t>
  </si>
  <si>
    <t>Payments related to repurchases of common stock</t>
  </si>
  <si>
    <t>Supplemental disclosures of cash flow information:</t>
  </si>
  <si>
    <t>Cash paid for income taxes, net</t>
  </si>
  <si>
    <t>Repayment of debt</t>
  </si>
  <si>
    <t>Accumulated Amortization of Intangible Assets</t>
  </si>
  <si>
    <t>Total Annual</t>
  </si>
  <si>
    <t>May 1, 2022
Three Months Ended</t>
  </si>
  <si>
    <t>May 2, 2021
Three Months Ended</t>
  </si>
  <si>
    <t>Jan 30, 2022
Year Ended</t>
  </si>
  <si>
    <t>Cash paid for interest</t>
  </si>
  <si>
    <t xml:space="preserve"> </t>
  </si>
  <si>
    <t>$ in millions</t>
  </si>
  <si>
    <t>Current assets</t>
  </si>
  <si>
    <t>Current liabilities</t>
  </si>
  <si>
    <t>Net Working capital</t>
  </si>
  <si>
    <t>Changes in working capital</t>
  </si>
  <si>
    <t>Historical</t>
  </si>
  <si>
    <t>Projected</t>
  </si>
  <si>
    <t>Accounts Payables</t>
  </si>
  <si>
    <t>Accounts Receivables</t>
  </si>
  <si>
    <t>Working Capital Schedule</t>
  </si>
  <si>
    <t>Debt Schedule</t>
  </si>
  <si>
    <t>Opening balance</t>
  </si>
  <si>
    <t>Closing Balance</t>
  </si>
  <si>
    <t>Interest Expenses</t>
  </si>
  <si>
    <t>Interest rate (pre tax)</t>
  </si>
  <si>
    <t>Long-term Asset Schedule</t>
  </si>
  <si>
    <t>Add:Net Purchases</t>
  </si>
  <si>
    <t>Rate of depreciation</t>
  </si>
  <si>
    <t>Fixed asset turnover ratio</t>
  </si>
  <si>
    <t>Other intangible asset schedule</t>
  </si>
  <si>
    <t>Add: Net Purchases</t>
  </si>
  <si>
    <t>Total Fixed assets</t>
  </si>
  <si>
    <t>Less: Amortization</t>
  </si>
  <si>
    <t>Closing balance</t>
  </si>
  <si>
    <t>Rate of amortization</t>
  </si>
  <si>
    <t>Less: Depreciation</t>
  </si>
  <si>
    <t>Ticker</t>
  </si>
  <si>
    <t>Date</t>
  </si>
  <si>
    <t>Year End</t>
  </si>
  <si>
    <t>NVDA</t>
  </si>
  <si>
    <t>Implied Gain/Loss</t>
  </si>
  <si>
    <t>Depreciation</t>
  </si>
  <si>
    <t>Amortization</t>
  </si>
  <si>
    <t>Property and Equipment Schedule</t>
  </si>
  <si>
    <t>Total Fixed Assets</t>
  </si>
  <si>
    <t>Add/Less: Debt incurred (repaid)</t>
  </si>
  <si>
    <t>Net Interest Expenses</t>
  </si>
  <si>
    <t>(% of operating expenses)</t>
  </si>
  <si>
    <t>Days Inventory Outstanding (DIO)</t>
  </si>
  <si>
    <t>Days Sales Outstanding (DSO)</t>
  </si>
  <si>
    <t>Days Payable Outstanding (DPO)</t>
  </si>
  <si>
    <t>Cash Conversion Cycle (CCC)</t>
  </si>
  <si>
    <t>% of total</t>
  </si>
  <si>
    <t>% change</t>
  </si>
  <si>
    <t>Note 2024</t>
  </si>
  <si>
    <t>Note 2026</t>
  </si>
  <si>
    <t>Note 2028</t>
  </si>
  <si>
    <t>Note 2030</t>
  </si>
  <si>
    <t>Note 2031</t>
  </si>
  <si>
    <t>Note 2040</t>
  </si>
  <si>
    <t>Note 2050</t>
  </si>
  <si>
    <t>Note 2060</t>
  </si>
  <si>
    <t>Loan</t>
  </si>
  <si>
    <t>Expected Remaining
Term (years)</t>
  </si>
  <si>
    <t>Effective
Interest Rate</t>
  </si>
  <si>
    <t>WACC (March 5, 2024)</t>
  </si>
  <si>
    <t>Market Risk Premium</t>
  </si>
  <si>
    <t>Cost of equity = Cost of equity + company Beta * (Market Risk Premium - Risk-free return)</t>
  </si>
  <si>
    <t>Notional
Value</t>
  </si>
  <si>
    <t>Annual Interest</t>
  </si>
  <si>
    <t>Alphaspread</t>
  </si>
  <si>
    <t>Finbox</t>
  </si>
  <si>
    <t>Valueinvesting</t>
  </si>
  <si>
    <t>Cost of
Equity</t>
  </si>
  <si>
    <t>Equity Risk
Premium</t>
  </si>
  <si>
    <t>Risk-Free
Rate</t>
  </si>
  <si>
    <t>Cost of 
Debt (After tax)</t>
  </si>
  <si>
    <t>(Adjusted)
BETA</t>
  </si>
  <si>
    <t>EBIAT</t>
  </si>
  <si>
    <t>Change in NWC</t>
  </si>
  <si>
    <t>Unlevered FCF</t>
  </si>
  <si>
    <t>Present value of Unlevered FCF</t>
  </si>
  <si>
    <t>Gross Profit</t>
  </si>
  <si>
    <t>Other current assets (% of revenue)</t>
  </si>
  <si>
    <t>Revenue Q4 '26</t>
  </si>
  <si>
    <t>Revenue 2025-2026</t>
  </si>
  <si>
    <t>EBIT 2025-2026</t>
  </si>
  <si>
    <t>Income Statement (End of January YE)</t>
  </si>
  <si>
    <t>% of revenue</t>
  </si>
  <si>
    <t>% of EBIT</t>
  </si>
  <si>
    <t>% of change in revenue</t>
  </si>
  <si>
    <t>Year Start</t>
  </si>
  <si>
    <t>Period</t>
  </si>
  <si>
    <t>Discount factor</t>
  </si>
  <si>
    <t>Terminal Value</t>
  </si>
  <si>
    <t>PV of Terminal Value</t>
  </si>
  <si>
    <t>Enterprise Value</t>
  </si>
  <si>
    <t>(+) Cash</t>
  </si>
  <si>
    <t>Equity Value</t>
  </si>
  <si>
    <t>Diluted Shares</t>
  </si>
  <si>
    <t>Implied Stock Price</t>
  </si>
  <si>
    <t>(-) Debt</t>
  </si>
  <si>
    <t>Implied share price (06 March 2024)</t>
  </si>
  <si>
    <t>Current share price (06 March 2024)</t>
  </si>
  <si>
    <t>Revenue Streams</t>
  </si>
  <si>
    <t>Jan 31,2021</t>
  </si>
  <si>
    <t>Aug 1, 2021</t>
  </si>
  <si>
    <t>Oct 31, 2021</t>
  </si>
  <si>
    <t>Jul 31, 2022</t>
  </si>
  <si>
    <t>Oct 30, 2022</t>
  </si>
  <si>
    <t>Jan 29, 2023</t>
  </si>
  <si>
    <t>Apr 30, 2023</t>
  </si>
  <si>
    <t>Jul 30, 2023</t>
  </si>
  <si>
    <t>Oct 29, 2023</t>
  </si>
  <si>
    <t>Jan 28, 2024</t>
  </si>
  <si>
    <t>Weighted average shares used in per share:</t>
  </si>
  <si>
    <t>Aug 1, 2021
Six Months Ended</t>
  </si>
  <si>
    <t>Oct 31, 2021
Nine Months Ended</t>
  </si>
  <si>
    <t>Jul 31, 2022
Six Months Ended</t>
  </si>
  <si>
    <t>Oct 30, 2022
Nine Months Ended</t>
  </si>
  <si>
    <t>Jan 29, 2023
Year Ended</t>
  </si>
  <si>
    <t>Apr 30, 2023
Three Months Ended</t>
  </si>
  <si>
    <t>Jul 30, 2023
Six Months Ended</t>
  </si>
  <si>
    <t>Oct 29, 2023
Nine Months Ended</t>
  </si>
  <si>
    <t>Jan 28, 2024
Year Ended</t>
  </si>
  <si>
    <t>WACC = % of equity * Cost of equity + % of debt * Cost of debt * (1 - Corporate tax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</si>
</sst>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 * #,##0.00_)_ ;_ * \(#,##0.00\)_ ;_ * &quot;-&quot;??_)_ ;_ @_ "/>
    <numFmt numFmtId="164" formatCode="_ * #,##0_)_ ;_ * \(#,##0\)_ ;_ * &quot;-&quot;??_)_ ;_ @_ "/>
    <numFmt numFmtId="165" formatCode="0_);\(0\)"/>
    <numFmt numFmtId="166" formatCode="0.00_);\(0.00\)"/>
    <numFmt numFmtId="167" formatCode="0.0%"/>
    <numFmt numFmtId="168" formatCode="_(&quot;$&quot;* #,##0_);_(&quot;$&quot;* \(#,##0\);_(&quot;$&quot;* &quot;-&quot;_);_(@_)"/>
    <numFmt numFmtId="169" formatCode="_(* #,##0.00_);_(* \(#,##0.00\);_(* &quot;-&quot;??_);_(@_)"/>
    <numFmt numFmtId="170" formatCode="0.0"/>
    <numFmt numFmtId="171" formatCode="#,##0.0_);\(#,##0.0\)"/>
    <numFmt numFmtId="172" formatCode="0.0000%"/>
    <numFmt numFmtId="173" formatCode="[$]d\ mmm\ yyyy;@" x16r2:formatCode16="[$-en-150,1]d\ mmm\ yyyy;@"/>
    <numFmt numFmtId="174" formatCode="[$$-409]#,##0.0_);\([$$-409]#,##0.0\)"/>
    <numFmt numFmtId="175" formatCode="[$$-409]#,##0_);\([$$-409]#,##0\)"/>
  </numFmts>
  <fonts count="1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>
      <alignment vertical="top"/>
    </xf>
  </cellStyleXfs>
  <cellXfs count="16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5" fontId="0" fillId="6" borderId="2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164" fontId="0" fillId="0" borderId="0" xfId="1" applyNumberFormat="1" applyFont="1" applyAlignment="1"/>
    <xf numFmtId="164" fontId="0" fillId="0" borderId="0" xfId="1" applyNumberFormat="1" applyFont="1" applyFill="1" applyAlignment="1"/>
    <xf numFmtId="167" fontId="6" fillId="0" borderId="0" xfId="2" applyNumberFormat="1" applyFont="1" applyAlignment="1"/>
    <xf numFmtId="164" fontId="3" fillId="0" borderId="0" xfId="1" applyNumberFormat="1" applyFont="1" applyAlignment="1"/>
    <xf numFmtId="164" fontId="3" fillId="0" borderId="0" xfId="1" applyNumberFormat="1" applyFont="1" applyFill="1" applyAlignment="1"/>
    <xf numFmtId="167" fontId="0" fillId="0" borderId="0" xfId="0" applyNumberFormat="1"/>
    <xf numFmtId="0" fontId="4" fillId="7" borderId="0" xfId="0" applyFont="1" applyFill="1" applyAlignment="1">
      <alignment horizontal="center"/>
    </xf>
    <xf numFmtId="0" fontId="2" fillId="7" borderId="0" xfId="0" applyFont="1" applyFill="1"/>
    <xf numFmtId="164" fontId="0" fillId="0" borderId="0" xfId="1" applyNumberFormat="1" applyFont="1"/>
    <xf numFmtId="164" fontId="3" fillId="0" borderId="0" xfId="1" applyNumberFormat="1" applyFont="1"/>
    <xf numFmtId="0" fontId="4" fillId="8" borderId="0" xfId="0" applyFont="1" applyFill="1"/>
    <xf numFmtId="0" fontId="0" fillId="6" borderId="1" xfId="0" applyFill="1" applyBorder="1"/>
    <xf numFmtId="0" fontId="0" fillId="0" borderId="1" xfId="0" applyBorder="1"/>
    <xf numFmtId="167" fontId="6" fillId="0" borderId="0" xfId="2" applyNumberFormat="1" applyFont="1"/>
    <xf numFmtId="37" fontId="0" fillId="0" borderId="0" xfId="1" applyNumberFormat="1" applyFont="1" applyAlignment="1">
      <alignment horizontal="right"/>
    </xf>
    <xf numFmtId="37" fontId="0" fillId="0" borderId="0" xfId="1" applyNumberFormat="1" applyFont="1" applyAlignment="1">
      <alignment horizontal="center"/>
    </xf>
    <xf numFmtId="0" fontId="0" fillId="4" borderId="0" xfId="0" applyFill="1" applyAlignment="1">
      <alignment horizontal="center"/>
    </xf>
    <xf numFmtId="168" fontId="9" fillId="0" borderId="0" xfId="0" applyNumberFormat="1" applyFont="1" applyAlignment="1">
      <alignment vertical="top"/>
    </xf>
    <xf numFmtId="37" fontId="9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169" fontId="9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168" fontId="9" fillId="0" borderId="0" xfId="0" applyNumberFormat="1" applyFont="1" applyAlignment="1">
      <alignment horizontal="right" vertical="top"/>
    </xf>
    <xf numFmtId="37" fontId="9" fillId="0" borderId="0" xfId="0" applyNumberFormat="1" applyFont="1" applyAlignment="1">
      <alignment horizontal="right" vertical="top"/>
    </xf>
    <xf numFmtId="0" fontId="0" fillId="0" borderId="0" xfId="0" applyAlignment="1">
      <alignment horizontal="right" vertical="top"/>
    </xf>
    <xf numFmtId="169" fontId="9" fillId="0" borderId="0" xfId="0" applyNumberFormat="1" applyFont="1" applyAlignment="1">
      <alignment horizontal="right" vertical="top"/>
    </xf>
    <xf numFmtId="0" fontId="9" fillId="0" borderId="0" xfId="3">
      <alignment vertical="top"/>
    </xf>
    <xf numFmtId="168" fontId="9" fillId="0" borderId="0" xfId="3" applyNumberFormat="1">
      <alignment vertical="top"/>
    </xf>
    <xf numFmtId="37" fontId="9" fillId="0" borderId="0" xfId="3" applyNumberFormat="1">
      <alignment vertical="top"/>
    </xf>
    <xf numFmtId="43" fontId="9" fillId="0" borderId="0" xfId="3" applyNumberFormat="1">
      <alignment vertical="top"/>
    </xf>
    <xf numFmtId="2" fontId="2" fillId="5" borderId="1" xfId="0" applyNumberFormat="1" applyFont="1" applyFill="1" applyBorder="1" applyAlignment="1">
      <alignment horizontal="center" wrapText="1"/>
    </xf>
    <xf numFmtId="0" fontId="11" fillId="0" borderId="0" xfId="0" applyFont="1"/>
    <xf numFmtId="0" fontId="3" fillId="0" borderId="4" xfId="0" applyFont="1" applyBorder="1"/>
    <xf numFmtId="0" fontId="0" fillId="0" borderId="4" xfId="0" applyBorder="1"/>
    <xf numFmtId="37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37" fontId="0" fillId="0" borderId="4" xfId="0" applyNumberForma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37" fontId="3" fillId="0" borderId="4" xfId="0" applyNumberFormat="1" applyFont="1" applyBorder="1"/>
    <xf numFmtId="37" fontId="3" fillId="0" borderId="4" xfId="0" applyNumberFormat="1" applyFont="1" applyBorder="1" applyAlignment="1">
      <alignment horizontal="center"/>
    </xf>
    <xf numFmtId="167" fontId="6" fillId="0" borderId="0" xfId="2" applyNumberFormat="1" applyFont="1" applyAlignment="1">
      <alignment horizontal="center"/>
    </xf>
    <xf numFmtId="165" fontId="0" fillId="6" borderId="2" xfId="1" applyNumberFormat="1" applyFont="1" applyFill="1" applyBorder="1" applyAlignment="1">
      <alignment horizontal="center"/>
    </xf>
    <xf numFmtId="165" fontId="0" fillId="6" borderId="1" xfId="1" applyNumberFormat="1" applyFont="1" applyFill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3" fontId="0" fillId="0" borderId="0" xfId="0" applyNumberFormat="1"/>
    <xf numFmtId="0" fontId="12" fillId="0" borderId="0" xfId="0" applyFont="1"/>
    <xf numFmtId="0" fontId="0" fillId="0" borderId="0" xfId="0" applyAlignment="1">
      <alignment horizontal="left" indent="1"/>
    </xf>
    <xf numFmtId="167" fontId="0" fillId="0" borderId="0" xfId="2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167" fontId="0" fillId="0" borderId="0" xfId="2" applyNumberFormat="1" applyFont="1"/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72" fontId="0" fillId="0" borderId="0" xfId="0" applyNumberFormat="1"/>
    <xf numFmtId="0" fontId="2" fillId="0" borderId="0" xfId="0" applyFont="1"/>
    <xf numFmtId="0" fontId="4" fillId="0" borderId="0" xfId="0" applyFont="1"/>
    <xf numFmtId="0" fontId="0" fillId="0" borderId="5" xfId="0" applyBorder="1"/>
    <xf numFmtId="0" fontId="3" fillId="6" borderId="1" xfId="0" applyFont="1" applyFill="1" applyBorder="1"/>
    <xf numFmtId="0" fontId="3" fillId="0" borderId="1" xfId="0" applyFont="1" applyBorder="1"/>
    <xf numFmtId="164" fontId="0" fillId="9" borderId="0" xfId="1" applyNumberFormat="1" applyFont="1" applyFill="1" applyAlignment="1">
      <alignment horizontal="center"/>
    </xf>
    <xf numFmtId="164" fontId="3" fillId="9" borderId="4" xfId="1" applyNumberFormat="1" applyFont="1" applyFill="1" applyBorder="1" applyAlignment="1">
      <alignment horizontal="center"/>
    </xf>
    <xf numFmtId="164" fontId="0" fillId="0" borderId="0" xfId="1" applyNumberFormat="1" applyFont="1" applyFill="1" applyAlignment="1">
      <alignment horizontal="center"/>
    </xf>
    <xf numFmtId="37" fontId="0" fillId="0" borderId="0" xfId="0" applyNumberFormat="1"/>
    <xf numFmtId="164" fontId="0" fillId="9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37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37" fontId="3" fillId="9" borderId="4" xfId="0" applyNumberFormat="1" applyFont="1" applyFill="1" applyBorder="1" applyAlignment="1">
      <alignment horizontal="center"/>
    </xf>
    <xf numFmtId="165" fontId="0" fillId="9" borderId="0" xfId="0" applyNumberFormat="1" applyFill="1" applyAlignment="1">
      <alignment horizontal="center"/>
    </xf>
    <xf numFmtId="167" fontId="0" fillId="9" borderId="0" xfId="0" applyNumberFormat="1" applyFill="1" applyAlignment="1">
      <alignment horizontal="center"/>
    </xf>
    <xf numFmtId="171" fontId="0" fillId="9" borderId="0" xfId="0" applyNumberFormat="1" applyFill="1" applyAlignment="1">
      <alignment horizontal="center"/>
    </xf>
    <xf numFmtId="37" fontId="0" fillId="9" borderId="4" xfId="0" applyNumberFormat="1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9" fontId="0" fillId="4" borderId="3" xfId="2" applyFont="1" applyFill="1" applyBorder="1" applyAlignment="1">
      <alignment horizontal="center"/>
    </xf>
    <xf numFmtId="173" fontId="0" fillId="0" borderId="0" xfId="0" applyNumberFormat="1" applyAlignment="1">
      <alignment horizontal="left"/>
    </xf>
    <xf numFmtId="1" fontId="0" fillId="0" borderId="0" xfId="0" applyNumberFormat="1"/>
    <xf numFmtId="167" fontId="7" fillId="4" borderId="3" xfId="2" applyNumberFormat="1" applyFont="1" applyFill="1" applyBorder="1" applyAlignment="1">
      <alignment horizontal="center"/>
    </xf>
    <xf numFmtId="167" fontId="6" fillId="4" borderId="3" xfId="2" applyNumberFormat="1" applyFon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167" fontId="6" fillId="4" borderId="3" xfId="0" applyNumberFormat="1" applyFont="1" applyFill="1" applyBorder="1" applyAlignment="1">
      <alignment horizontal="center"/>
    </xf>
    <xf numFmtId="37" fontId="0" fillId="0" borderId="5" xfId="0" applyNumberFormat="1" applyBorder="1"/>
    <xf numFmtId="37" fontId="14" fillId="0" borderId="0" xfId="1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170" fontId="0" fillId="0" borderId="0" xfId="0" applyNumberFormat="1"/>
    <xf numFmtId="170" fontId="0" fillId="9" borderId="0" xfId="0" applyNumberFormat="1" applyFill="1"/>
    <xf numFmtId="171" fontId="0" fillId="0" borderId="0" xfId="0" applyNumberFormat="1"/>
    <xf numFmtId="9" fontId="0" fillId="0" borderId="0" xfId="2" applyFont="1" applyAlignment="1"/>
    <xf numFmtId="9" fontId="0" fillId="9" borderId="0" xfId="2" applyFont="1" applyFill="1" applyAlignment="1"/>
    <xf numFmtId="0" fontId="0" fillId="0" borderId="0" xfId="0" applyAlignment="1">
      <alignment vertical="center"/>
    </xf>
    <xf numFmtId="10" fontId="0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10" fontId="0" fillId="0" borderId="9" xfId="2" applyNumberFormat="1" applyFon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10" fontId="0" fillId="0" borderId="11" xfId="0" applyNumberFormat="1" applyBorder="1" applyAlignment="1">
      <alignment horizontal="center"/>
    </xf>
    <xf numFmtId="10" fontId="0" fillId="0" borderId="11" xfId="2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2" xfId="2" applyNumberFormat="1" applyFont="1" applyBorder="1" applyAlignment="1">
      <alignment horizontal="center" vertical="center"/>
    </xf>
    <xf numFmtId="9" fontId="7" fillId="4" borderId="3" xfId="2" applyFont="1" applyFill="1" applyBorder="1" applyAlignment="1">
      <alignment horizontal="center"/>
    </xf>
    <xf numFmtId="167" fontId="0" fillId="4" borderId="0" xfId="2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37" fontId="13" fillId="0" borderId="0" xfId="0" applyNumberFormat="1" applyFont="1" applyAlignment="1">
      <alignment horizontal="center"/>
    </xf>
    <xf numFmtId="37" fontId="13" fillId="0" borderId="0" xfId="1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167" fontId="0" fillId="4" borderId="3" xfId="2" applyNumberFormat="1" applyFont="1" applyFill="1" applyBorder="1" applyAlignment="1">
      <alignment horizontal="center"/>
    </xf>
    <xf numFmtId="0" fontId="0" fillId="0" borderId="6" xfId="0" applyBorder="1"/>
    <xf numFmtId="37" fontId="0" fillId="0" borderId="4" xfId="1" applyNumberFormat="1" applyFont="1" applyBorder="1" applyAlignment="1">
      <alignment horizontal="center"/>
    </xf>
    <xf numFmtId="37" fontId="0" fillId="0" borderId="7" xfId="1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37" fontId="0" fillId="0" borderId="11" xfId="1" applyNumberFormat="1" applyFont="1" applyBorder="1" applyAlignment="1">
      <alignment horizontal="center" vertical="center"/>
    </xf>
    <xf numFmtId="37" fontId="0" fillId="0" borderId="12" xfId="1" applyNumberFormat="1" applyFont="1" applyBorder="1" applyAlignment="1">
      <alignment horizontal="center" vertical="center"/>
    </xf>
    <xf numFmtId="10" fontId="0" fillId="0" borderId="0" xfId="0" applyNumberFormat="1"/>
    <xf numFmtId="174" fontId="0" fillId="0" borderId="0" xfId="0" applyNumberFormat="1"/>
    <xf numFmtId="9" fontId="3" fillId="0" borderId="0" xfId="2" applyFont="1" applyAlignment="1">
      <alignment horizontal="center"/>
    </xf>
    <xf numFmtId="175" fontId="0" fillId="0" borderId="0" xfId="1" applyNumberFormat="1" applyFont="1" applyAlignment="1">
      <alignment horizontal="center"/>
    </xf>
    <xf numFmtId="175" fontId="0" fillId="0" borderId="0" xfId="0" applyNumberFormat="1" applyAlignment="1">
      <alignment horizontal="center"/>
    </xf>
    <xf numFmtId="174" fontId="0" fillId="0" borderId="0" xfId="1" applyNumberFormat="1" applyFont="1" applyAlignment="1">
      <alignment horizontal="center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horizontal="center" wrapText="1"/>
    </xf>
    <xf numFmtId="167" fontId="0" fillId="0" borderId="0" xfId="2" applyNumberFormat="1" applyFont="1" applyFill="1" applyAlignment="1">
      <alignment horizontal="center"/>
    </xf>
    <xf numFmtId="167" fontId="0" fillId="0" borderId="0" xfId="2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/>
    </xf>
  </cellXfs>
  <cellStyles count="4">
    <cellStyle name="Comma" xfId="1" builtinId="3"/>
    <cellStyle name="Normal" xfId="0" builtinId="0"/>
    <cellStyle name="Normal 2" xfId="3" xr:uid="{A4FE2A14-B4B2-4542-99B5-CA6FB8D722FC}"/>
    <cellStyle name="Percent" xfId="2" builtinId="5"/>
  </cellStyles>
  <dxfs count="18">
    <dxf>
      <numFmt numFmtId="0" formatCode="General"/>
    </dxf>
    <dxf>
      <numFmt numFmtId="0" formatCode="General"/>
    </dxf>
    <dxf>
      <numFmt numFmtId="165" formatCode="0_);\(0\)"/>
      <alignment horizontal="center" vertical="bottom" textRotation="0" wrapText="0" indent="0" justifyLastLine="0" shrinkToFit="0" readingOrder="0"/>
    </dxf>
    <dxf>
      <numFmt numFmtId="165" formatCode="0_);\(0\)"/>
      <alignment horizontal="center" vertical="bottom" textRotation="0" wrapText="0" indent="0" justifyLastLine="0" shrinkToFit="0" readingOrder="0"/>
    </dxf>
    <dxf>
      <numFmt numFmtId="165" formatCode="0_);\(0\)"/>
      <alignment horizontal="center" vertical="bottom" textRotation="0" wrapText="0" indent="0" justifyLastLine="0" shrinkToFit="0" readingOrder="0"/>
    </dxf>
    <dxf>
      <numFmt numFmtId="165" formatCode="0_);\(0\)"/>
      <alignment horizontal="center" vertical="bottom" textRotation="0" wrapText="0" indent="0" justifyLastLine="0" shrinkToFit="0" readingOrder="0"/>
    </dxf>
    <dxf>
      <numFmt numFmtId="165" formatCode="0_);\(0\)"/>
      <alignment horizontal="center" vertical="bottom" textRotation="0" wrapText="0" indent="0" justifyLastLine="0" shrinkToFit="0" readingOrder="0"/>
    </dxf>
    <dxf>
      <numFmt numFmtId="165" formatCode="0_);\(0\)"/>
      <alignment horizontal="center" vertical="bottom" textRotation="0" wrapText="0" indent="0" justifyLastLine="0" shrinkToFit="0" readingOrder="0"/>
    </dxf>
    <dxf>
      <numFmt numFmtId="165" formatCode="0_);\(0\)"/>
      <alignment horizontal="center" vertical="bottom" textRotation="0" wrapText="0" indent="0" justifyLastLine="0" shrinkToFit="0" readingOrder="0"/>
    </dxf>
    <dxf>
      <numFmt numFmtId="165" formatCode="0_);\(0\)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5" formatCode="0_);\(0\)"/>
      <alignment horizontal="center" vertical="bottom" textRotation="0" wrapText="0" indent="0" justifyLastLine="0" shrinkToFit="0" readingOrder="0"/>
    </dxf>
    <dxf>
      <numFmt numFmtId="165" formatCode="0_);\(0\)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157163</xdr:colOff>
      <xdr:row>4</xdr:row>
      <xdr:rowOff>40480</xdr:rowOff>
    </xdr:from>
    <xdr:to>
      <xdr:col>28</xdr:col>
      <xdr:colOff>511968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7D1952-1EB6-6285-D0F3-FCB7E5BE9BBA}"/>
            </a:ext>
          </a:extLst>
        </xdr:cNvPr>
        <xdr:cNvSpPr txBox="1"/>
      </xdr:nvSpPr>
      <xdr:spPr>
        <a:xfrm>
          <a:off x="14992351" y="802480"/>
          <a:ext cx="2783680" cy="2197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Focusing on</a:t>
          </a:r>
          <a:r>
            <a:rPr lang="en-US" sz="1100" baseline="0"/>
            <a:t> operating liquidity rather than financing activities (hence excluding cash, marketable securities and short-term loans)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missing portions are considered under "Debt"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Other long-term liabilities include: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Income tax payable, Deferred income tax, Deferred revenue, and Licenses payable. Hence,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they will not be considered for the calculation of net working capital (NWC).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311943</xdr:colOff>
      <xdr:row>25</xdr:row>
      <xdr:rowOff>26194</xdr:rowOff>
    </xdr:from>
    <xdr:to>
      <xdr:col>18</xdr:col>
      <xdr:colOff>88105</xdr:colOff>
      <xdr:row>31</xdr:row>
      <xdr:rowOff>178594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F738273-B580-16EE-10E2-A777B9A57A80}"/>
            </a:ext>
          </a:extLst>
        </xdr:cNvPr>
        <xdr:cNvSpPr txBox="1"/>
      </xdr:nvSpPr>
      <xdr:spPr>
        <a:xfrm>
          <a:off x="6265068" y="4788694"/>
          <a:ext cx="5086350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USing </a:t>
          </a:r>
          <a:r>
            <a:rPr lang="en-US" sz="1100" baseline="0"/>
            <a:t>90 days instead of 365 as I am measuring quarterly data instead of annual</a:t>
          </a:r>
          <a:endParaRPr lang="en-US" sz="1100"/>
        </a:p>
        <a:p>
          <a:endParaRPr lang="en-US" sz="1100"/>
        </a:p>
        <a:p>
          <a:r>
            <a:rPr lang="en-US" sz="1100"/>
            <a:t>Had to use revenue instead of total credit sales</a:t>
          </a:r>
          <a:r>
            <a:rPr lang="en-US" sz="1100" baseline="0"/>
            <a:t> for DSO as that information was not available.</a:t>
          </a:r>
          <a:endParaRPr lang="en-US" sz="1100"/>
        </a:p>
        <a:p>
          <a:endParaRPr lang="en-US" sz="1100"/>
        </a:p>
        <a:p>
          <a:r>
            <a:rPr lang="en-US" sz="1100"/>
            <a:t>Note the significantly high</a:t>
          </a:r>
          <a:r>
            <a:rPr lang="en-US" sz="1100" baseline="0"/>
            <a:t> DIO. NVIDIA has throughout 2020-2023 a high DIO, peaking at Q1 2023 - Q2 2023. </a:t>
          </a:r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247650</xdr:colOff>
      <xdr:row>2</xdr:row>
      <xdr:rowOff>161925</xdr:rowOff>
    </xdr:from>
    <xdr:to>
      <xdr:col>30</xdr:col>
      <xdr:colOff>285750</xdr:colOff>
      <xdr:row>9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D1122E-8CE8-92E3-9488-87B01B28CF7A}"/>
            </a:ext>
          </a:extLst>
        </xdr:cNvPr>
        <xdr:cNvSpPr txBox="1"/>
      </xdr:nvSpPr>
      <xdr:spPr>
        <a:xfrm>
          <a:off x="12725400" y="542925"/>
          <a:ext cx="4305300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From Debt schedule</a:t>
          </a:r>
          <a:r>
            <a:rPr lang="en-US" sz="1100" baseline="0"/>
            <a:t> (Note 12 - Debt), the due dates for near future is in 2024 and only later in 2026.</a:t>
          </a:r>
        </a:p>
        <a:p>
          <a:endParaRPr lang="en-US" sz="1100" baseline="0"/>
        </a:p>
        <a:p>
          <a:r>
            <a:rPr lang="en-US" sz="1100" baseline="0"/>
            <a:t>1 is either operating expenses, non-recurring charges or accounting adjustments -&gt; keep it consistent in projected values.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238125</xdr:colOff>
      <xdr:row>4</xdr:row>
      <xdr:rowOff>104775</xdr:rowOff>
    </xdr:from>
    <xdr:to>
      <xdr:col>27</xdr:col>
      <xdr:colOff>400050</xdr:colOff>
      <xdr:row>8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96BC5E-A164-0A6E-5D77-3F166488A013}"/>
            </a:ext>
          </a:extLst>
        </xdr:cNvPr>
        <xdr:cNvSpPr txBox="1"/>
      </xdr:nvSpPr>
      <xdr:spPr>
        <a:xfrm>
          <a:off x="13573125" y="866775"/>
          <a:ext cx="2600325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Compared net purchases of</a:t>
          </a:r>
          <a:r>
            <a:rPr lang="en-US" sz="1100" baseline="0"/>
            <a:t> property and equipment </a:t>
          </a:r>
          <a:r>
            <a:rPr lang="en-US" sz="1100"/>
            <a:t>and intangible assets against values provided</a:t>
          </a:r>
          <a:r>
            <a:rPr lang="en-US" sz="1100" baseline="0"/>
            <a:t> in cash flow</a:t>
          </a:r>
        </a:p>
        <a:p>
          <a:endParaRPr lang="LID4096" sz="1100"/>
        </a:p>
      </xdr:txBody>
    </xdr:sp>
    <xdr:clientData/>
  </xdr:twoCellAnchor>
  <xdr:twoCellAnchor>
    <xdr:from>
      <xdr:col>23</xdr:col>
      <xdr:colOff>190500</xdr:colOff>
      <xdr:row>14</xdr:row>
      <xdr:rowOff>142875</xdr:rowOff>
    </xdr:from>
    <xdr:to>
      <xdr:col>27</xdr:col>
      <xdr:colOff>352425</xdr:colOff>
      <xdr:row>18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31F86B-6932-9AFD-B239-279DD44A13B5}"/>
            </a:ext>
          </a:extLst>
        </xdr:cNvPr>
        <xdr:cNvSpPr txBox="1"/>
      </xdr:nvSpPr>
      <xdr:spPr>
        <a:xfrm>
          <a:off x="13525500" y="2809875"/>
          <a:ext cx="260032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Also arguments</a:t>
          </a:r>
          <a:r>
            <a:rPr lang="en-US" sz="1100" baseline="0"/>
            <a:t> for keeping Net Purchases 0 for the foreseeable future.</a:t>
          </a:r>
          <a:endParaRPr lang="LID4096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0</xdr:row>
      <xdr:rowOff>114300</xdr:rowOff>
    </xdr:from>
    <xdr:to>
      <xdr:col>15</xdr:col>
      <xdr:colOff>561975</xdr:colOff>
      <xdr:row>18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B5E50C-75D8-254F-BBC3-E16755C4A7FF}"/>
            </a:ext>
          </a:extLst>
        </xdr:cNvPr>
        <xdr:cNvSpPr txBox="1"/>
      </xdr:nvSpPr>
      <xdr:spPr>
        <a:xfrm>
          <a:off x="6124574" y="114300"/>
          <a:ext cx="5476876" cy="339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Calculating cost of debt (methodologies):</a:t>
          </a: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1.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Yield to Maturity of Existing Debt</a:t>
          </a:r>
          <a:endParaRPr lang="en-FI">
            <a:effectLst/>
          </a:endParaRPr>
        </a:p>
        <a:p>
          <a:r>
            <a:rPr lang="en-US" sz="1100" baseline="0"/>
            <a:t>2. Current Market Interest Rates</a:t>
          </a:r>
        </a:p>
        <a:p>
          <a:r>
            <a:rPr lang="en-US" sz="1100" baseline="0"/>
            <a:t>3. Credit Spread </a:t>
          </a:r>
        </a:p>
        <a:p>
          <a:r>
            <a:rPr lang="en-US" sz="1100" baseline="0"/>
            <a:t>4. Book Value of Debt (using values from income statement)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Rating Agency Method</a:t>
          </a:r>
          <a:endParaRPr lang="en-US" sz="1100" baseline="0"/>
        </a:p>
        <a:p>
          <a:r>
            <a:rPr lang="en-US" sz="1100" baseline="0"/>
            <a:t>6. Matrix Pricing (Risk free rate + Company risk premium + Country risk premium</a:t>
          </a:r>
        </a:p>
        <a:p>
          <a:endParaRPr lang="en-US" sz="1100"/>
        </a:p>
        <a:p>
          <a:r>
            <a:rPr lang="en-US" sz="1100"/>
            <a:t>Risk Free Rate (10</a:t>
          </a:r>
          <a:r>
            <a:rPr lang="en-US" sz="1100" baseline="0"/>
            <a:t> year Treasury Note)</a:t>
          </a:r>
        </a:p>
        <a:p>
          <a:endParaRPr lang="en-US" sz="1100"/>
        </a:p>
        <a:p>
          <a:r>
            <a:rPr lang="en-US" sz="1100"/>
            <a:t>Beta fro</a:t>
          </a:r>
          <a:r>
            <a:rPr lang="en-US" sz="1100" baseline="0"/>
            <a:t>m 1) Self calculation, 2) Stock Market Analysis Platforms (Bloomberg, Reuters, Factset), 3) Financial Data Providers (Morningstar). </a:t>
          </a:r>
        </a:p>
        <a:p>
          <a:endParaRPr lang="en-US" sz="1100" baseline="0"/>
        </a:p>
        <a:p>
          <a:r>
            <a:rPr lang="en-US" sz="1100"/>
            <a:t>Used beta from Damodaran as</a:t>
          </a:r>
          <a:r>
            <a:rPr lang="en-US" sz="1100" baseline="0"/>
            <a:t> of Jan 1, 2024. Other sites suggest beta range around 1.7 - 1.75. However should be careful using that as it is calculated using 5-year monthly data (Nvidia's beta was around 2 from 2019-2020 which skews data).</a:t>
          </a:r>
          <a:endParaRPr lang="en-US" sz="1100"/>
        </a:p>
        <a:p>
          <a:endParaRPr lang="en-US" sz="1100"/>
        </a:p>
        <a:p>
          <a:r>
            <a:rPr lang="en-US" sz="1100"/>
            <a:t>Market</a:t>
          </a:r>
          <a:r>
            <a:rPr lang="en-US" sz="1100" baseline="0"/>
            <a:t> Risk Premium from Damodaran Online. Can also calculate manually using a given stock market return.</a:t>
          </a:r>
        </a:p>
        <a:p>
          <a:endParaRPr lang="LID4096" sz="1100"/>
        </a:p>
      </xdr:txBody>
    </xdr:sp>
    <xdr:clientData/>
  </xdr:twoCellAnchor>
  <xdr:twoCellAnchor>
    <xdr:from>
      <xdr:col>0</xdr:col>
      <xdr:colOff>276226</xdr:colOff>
      <xdr:row>28</xdr:row>
      <xdr:rowOff>123825</xdr:rowOff>
    </xdr:from>
    <xdr:to>
      <xdr:col>8</xdr:col>
      <xdr:colOff>542926</xdr:colOff>
      <xdr:row>35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091089-31EF-A867-7F80-DA55487CEAA5}"/>
            </a:ext>
          </a:extLst>
        </xdr:cNvPr>
        <xdr:cNvSpPr txBox="1"/>
      </xdr:nvSpPr>
      <xdr:spPr>
        <a:xfrm>
          <a:off x="276226" y="6267450"/>
          <a:ext cx="5676900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Calculated WACC is</a:t>
          </a:r>
          <a:r>
            <a:rPr lang="en-US" sz="1100" baseline="0"/>
            <a:t> higher compared some other examples. The main differences are lower Market risk premium and higher Beta. E.g. ERP for February was 4.45%</a:t>
          </a:r>
        </a:p>
        <a:p>
          <a:endParaRPr lang="en-US" sz="1100" baseline="0"/>
        </a:p>
        <a:p>
          <a:r>
            <a:rPr lang="en-US" sz="1100" baseline="0"/>
            <a:t>Higher than average beta due to past 2 years of large stock fluctuations.</a:t>
          </a:r>
        </a:p>
        <a:p>
          <a:endParaRPr lang="en-US" sz="1100" baseline="0"/>
        </a:p>
        <a:p>
          <a:r>
            <a:rPr lang="en-US" sz="1100" baseline="0"/>
            <a:t>For large companies like Nvidia, expect a lower WACC. Generally high WACC comes from high risk-free rate and beta.</a:t>
          </a:r>
        </a:p>
        <a:p>
          <a:endParaRPr lang="en-US" sz="11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205316</xdr:colOff>
      <xdr:row>16</xdr:row>
      <xdr:rowOff>50799</xdr:rowOff>
    </xdr:from>
    <xdr:to>
      <xdr:col>36</xdr:col>
      <xdr:colOff>486833</xdr:colOff>
      <xdr:row>25</xdr:row>
      <xdr:rowOff>148166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69257A-3789-D585-CD70-8083D53F25B4}"/>
            </a:ext>
          </a:extLst>
        </xdr:cNvPr>
        <xdr:cNvSpPr txBox="1"/>
      </xdr:nvSpPr>
      <xdr:spPr>
        <a:xfrm>
          <a:off x="17382066" y="3215216"/>
          <a:ext cx="5192184" cy="18118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Q1 2024 expectations made by Nvidia in</a:t>
          </a:r>
          <a:r>
            <a:rPr lang="en-US" sz="1100" baseline="0"/>
            <a:t> their Q4 2024 earnings report</a:t>
          </a:r>
        </a:p>
        <a:p>
          <a:endParaRPr lang="en-US" sz="1100" baseline="0"/>
        </a:p>
        <a:p>
          <a:r>
            <a:rPr lang="en-US" sz="1100" baseline="0"/>
            <a:t>Revenue - $24 billion +- 2%</a:t>
          </a:r>
        </a:p>
        <a:p>
          <a:r>
            <a:rPr lang="en-US" sz="1100" baseline="0"/>
            <a:t>Gross Margin - 76.3% +- 0.5%</a:t>
          </a:r>
        </a:p>
        <a:p>
          <a:r>
            <a:rPr lang="en-US" sz="1100" baseline="0"/>
            <a:t>Operating Expenses - $3.5 billion</a:t>
          </a:r>
        </a:p>
        <a:p>
          <a:r>
            <a:rPr lang="en-US" sz="1100" baseline="0"/>
            <a:t>Tax rates - 17%</a:t>
          </a:r>
        </a:p>
        <a:p>
          <a:endParaRPr lang="en-US" sz="1100" baseline="0"/>
        </a:p>
        <a:p>
          <a:r>
            <a:rPr lang="en-US" sz="1100"/>
            <a:t>Nvidia has a a historically low tax</a:t>
          </a:r>
          <a:r>
            <a:rPr lang="en-US" sz="1100" baseline="0"/>
            <a:t> rate for a company that is profitable. However, with the spike in revenue, it is expected that Nvidia's rax rate will stay (relatively) high</a:t>
          </a:r>
          <a:endParaRPr lang="LID4096" sz="1100"/>
        </a:p>
      </xdr:txBody>
    </xdr:sp>
    <xdr:clientData/>
  </xdr:twoCellAnchor>
  <xdr:twoCellAnchor>
    <xdr:from>
      <xdr:col>28</xdr:col>
      <xdr:colOff>186268</xdr:colOff>
      <xdr:row>7</xdr:row>
      <xdr:rowOff>183089</xdr:rowOff>
    </xdr:from>
    <xdr:to>
      <xdr:col>36</xdr:col>
      <xdr:colOff>508000</xdr:colOff>
      <xdr:row>15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98EAEF2-84F5-4E4E-B3A6-FE8030EF6D22}"/>
            </a:ext>
          </a:extLst>
        </xdr:cNvPr>
        <xdr:cNvSpPr txBox="1"/>
      </xdr:nvSpPr>
      <xdr:spPr>
        <a:xfrm>
          <a:off x="17363018" y="1633006"/>
          <a:ext cx="5232399" cy="14679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Currently using street expectations for</a:t>
          </a:r>
          <a:r>
            <a:rPr lang="en-US" sz="1100" baseline="0"/>
            <a:t> revenue and EBIT</a:t>
          </a:r>
        </a:p>
        <a:p>
          <a:r>
            <a:rPr lang="en-US" sz="1100" baseline="0"/>
            <a:t>Quarterly forecasts only goes up to Q1 2025</a:t>
          </a:r>
        </a:p>
        <a:p>
          <a:r>
            <a:rPr lang="en-US" sz="1100"/>
            <a:t>The remaining</a:t>
          </a:r>
          <a:r>
            <a:rPr lang="en-US" sz="1100" baseline="0"/>
            <a:t> values of 2025 are calculated using annual forecast and dividing it</a:t>
          </a:r>
        </a:p>
        <a:p>
          <a:endParaRPr lang="en-US" sz="1100"/>
        </a:p>
        <a:p>
          <a:r>
            <a:rPr lang="en-US" sz="1100"/>
            <a:t>The revenue predictions (especially</a:t>
          </a:r>
          <a:r>
            <a:rPr lang="en-US" sz="1100" baseline="0"/>
            <a:t> for 2024) are ambitious, but given the nature of the semiconductor market and above expected performance for 2022 and 2023, it is plausible. </a:t>
          </a:r>
        </a:p>
        <a:p>
          <a:r>
            <a:rPr lang="en-US" sz="1100" baseline="0"/>
            <a:t>Nvidia is ramping up it's production to triple to take advantage of their current situation.</a:t>
          </a:r>
          <a:endParaRPr lang="LID4096" sz="1100"/>
        </a:p>
      </xdr:txBody>
    </xdr:sp>
    <xdr:clientData/>
  </xdr:twoCellAnchor>
  <xdr:twoCellAnchor>
    <xdr:from>
      <xdr:col>28</xdr:col>
      <xdr:colOff>256117</xdr:colOff>
      <xdr:row>46</xdr:row>
      <xdr:rowOff>137584</xdr:rowOff>
    </xdr:from>
    <xdr:to>
      <xdr:col>35</xdr:col>
      <xdr:colOff>427566</xdr:colOff>
      <xdr:row>50</xdr:row>
      <xdr:rowOff>23284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E732C2D-EB4E-285C-364F-4F6CA7EF72DC}"/>
            </a:ext>
          </a:extLst>
        </xdr:cNvPr>
        <xdr:cNvSpPr txBox="1"/>
      </xdr:nvSpPr>
      <xdr:spPr>
        <a:xfrm>
          <a:off x="17432867" y="9017001"/>
          <a:ext cx="4468282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Consensus</a:t>
          </a:r>
          <a:r>
            <a:rPr lang="en-US" sz="1100" baseline="0"/>
            <a:t> for revenue forecasts seem to be unanimous for Q1 2025 -&gt; That's why in all scenarios I keep revenue growth constant. </a:t>
          </a:r>
          <a:endParaRPr lang="LID4096" sz="1100"/>
        </a:p>
      </xdr:txBody>
    </xdr:sp>
    <xdr:clientData/>
  </xdr:twoCellAnchor>
  <xdr:twoCellAnchor>
    <xdr:from>
      <xdr:col>28</xdr:col>
      <xdr:colOff>264584</xdr:colOff>
      <xdr:row>53</xdr:row>
      <xdr:rowOff>10584</xdr:rowOff>
    </xdr:from>
    <xdr:to>
      <xdr:col>35</xdr:col>
      <xdr:colOff>436033</xdr:colOff>
      <xdr:row>58</xdr:row>
      <xdr:rowOff>113242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668E3F9-78D1-4F0F-A63F-2B96AF83F09D}"/>
            </a:ext>
          </a:extLst>
        </xdr:cNvPr>
        <xdr:cNvSpPr txBox="1"/>
      </xdr:nvSpPr>
      <xdr:spPr>
        <a:xfrm>
          <a:off x="18097501" y="9715501"/>
          <a:ext cx="4468282" cy="10551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Historical EBIT margins</a:t>
          </a:r>
          <a:r>
            <a:rPr lang="en-US" sz="1100" baseline="0"/>
            <a:t> have been lower but due to the unique circumstances, NVIDIA has been able to raise prices while retaining demand.</a:t>
          </a:r>
        </a:p>
        <a:p>
          <a:r>
            <a:rPr lang="en-US" sz="1100" baseline="0"/>
            <a:t>Nvidia holds over 90% of market share in AI Chips</a:t>
          </a:r>
        </a:p>
        <a:p>
          <a:r>
            <a:rPr lang="en-US" sz="1100"/>
            <a:t>Consensus is that Nvidia is able to retain this EBIT margin</a:t>
          </a:r>
          <a:r>
            <a:rPr lang="en-US" sz="1100" baseline="0"/>
            <a:t>, even in the long term</a:t>
          </a:r>
        </a:p>
      </xdr:txBody>
    </xdr:sp>
    <xdr:clientData/>
  </xdr:twoCellAnchor>
  <xdr:twoCellAnchor>
    <xdr:from>
      <xdr:col>17</xdr:col>
      <xdr:colOff>552450</xdr:colOff>
      <xdr:row>40</xdr:row>
      <xdr:rowOff>180975</xdr:rowOff>
    </xdr:from>
    <xdr:to>
      <xdr:col>25</xdr:col>
      <xdr:colOff>161925</xdr:colOff>
      <xdr:row>42</xdr:row>
      <xdr:rowOff>171450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9DAB4C9-FC34-84AD-B222-DA258409285A}"/>
            </a:ext>
          </a:extLst>
        </xdr:cNvPr>
        <xdr:cNvSpPr txBox="1"/>
      </xdr:nvSpPr>
      <xdr:spPr>
        <a:xfrm>
          <a:off x="11639550" y="7791450"/>
          <a:ext cx="441007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range of WACC's</a:t>
          </a:r>
          <a:r>
            <a:rPr lang="en-US" sz="1100" baseline="0"/>
            <a:t> given by others ranged from +- 1.5% to +- 0.5%</a:t>
          </a:r>
          <a:endParaRPr lang="LID4096" sz="1100"/>
        </a:p>
      </xdr:txBody>
    </xdr:sp>
    <xdr:clientData/>
  </xdr:twoCellAnchor>
  <xdr:twoCellAnchor>
    <xdr:from>
      <xdr:col>17</xdr:col>
      <xdr:colOff>560917</xdr:colOff>
      <xdr:row>35</xdr:row>
      <xdr:rowOff>84666</xdr:rowOff>
    </xdr:from>
    <xdr:to>
      <xdr:col>27</xdr:col>
      <xdr:colOff>158750</xdr:colOff>
      <xdr:row>40</xdr:row>
      <xdr:rowOff>95250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8A3F371-5406-45FF-8043-007429FEF4D7}"/>
            </a:ext>
          </a:extLst>
        </xdr:cNvPr>
        <xdr:cNvSpPr txBox="1"/>
      </xdr:nvSpPr>
      <xdr:spPr>
        <a:xfrm>
          <a:off x="11684000" y="6741583"/>
          <a:ext cx="5715000" cy="9630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Some analyst</a:t>
          </a:r>
          <a:r>
            <a:rPr lang="en-US" sz="1100" baseline="0"/>
            <a:t> claims that terminal growth rate for Nvidia is around 6 - 7%, which is high in my opinion. Which can be slightly high. But even in the face of the competitive industry, Nvidia has cemented their standing as top company</a:t>
          </a:r>
        </a:p>
        <a:p>
          <a:endParaRPr lang="en-US" sz="1100" baseline="0"/>
        </a:p>
        <a:p>
          <a:r>
            <a:rPr lang="en-US" sz="1100" baseline="0"/>
            <a:t>The analyst value of 11% growth is too high in my opinion.</a:t>
          </a:r>
        </a:p>
      </xdr:txBody>
    </xdr:sp>
    <xdr:clientData/>
  </xdr:twoCellAnchor>
  <xdr:twoCellAnchor>
    <xdr:from>
      <xdr:col>28</xdr:col>
      <xdr:colOff>317499</xdr:colOff>
      <xdr:row>72</xdr:row>
      <xdr:rowOff>21167</xdr:rowOff>
    </xdr:from>
    <xdr:to>
      <xdr:col>35</xdr:col>
      <xdr:colOff>423333</xdr:colOff>
      <xdr:row>76</xdr:row>
      <xdr:rowOff>52917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7496B30-079B-C19A-1EAE-06D57E5E587A}"/>
            </a:ext>
          </a:extLst>
        </xdr:cNvPr>
        <xdr:cNvSpPr txBox="1"/>
      </xdr:nvSpPr>
      <xdr:spPr>
        <a:xfrm>
          <a:off x="17494249" y="13853584"/>
          <a:ext cx="4402667" cy="793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I am using e</a:t>
          </a:r>
          <a:r>
            <a:rPr lang="en-US" sz="1100"/>
            <a:t>nd-of-period convention</a:t>
          </a:r>
        </a:p>
        <a:p>
          <a:r>
            <a:rPr lang="en-US" sz="1100"/>
            <a:t>Mid-period</a:t>
          </a:r>
          <a:r>
            <a:rPr lang="en-US" sz="1100" baseline="0"/>
            <a:t> convention (cash flows received in the middle of the year) will result in different values.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A09BAAD-4357-4095-8FCE-F7CC5A2D4F45}" autoFormatId="16" applyNumberFormats="0" applyBorderFormats="0" applyFontFormats="0" applyPatternFormats="0" applyAlignmentFormats="0" applyWidthHeightFormats="0">
  <queryTableRefresh nextId="11">
    <queryTableFields count="7">
      <queryTableField id="1" name="Column1" tableColumnId="1"/>
      <queryTableField id="10" dataBound="0" tableColumnId="2"/>
      <queryTableField id="9" dataBound="0" tableColumnId="9"/>
      <queryTableField id="8" dataBound="0" tableColumnId="8"/>
      <queryTableField id="7" dataBound="0" tableColumnId="7"/>
      <queryTableField id="6" dataBound="0" tableColumnId="6"/>
      <queryTableField id="5" name="Column5" tableColumnId="5"/>
    </queryTableFields>
    <queryTableDeletedFields count="3">
      <deletedField name="Column2"/>
      <deletedField name="Column4"/>
      <deletedField name="Column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132CEB35-1B38-4D28-918E-CFBF48CDD34E}" autoFormatId="16" applyNumberFormats="0" applyBorderFormats="0" applyFontFormats="0" applyPatternFormats="0" applyAlignmentFormats="0" applyWidthHeightFormats="0">
  <queryTableRefresh nextId="16" unboundColumnsRight="6">
    <queryTableFields count="7">
      <queryTableField id="5" name="Column5" tableColumnId="5"/>
      <queryTableField id="10" dataBound="0" tableColumnId="10"/>
      <queryTableField id="11" dataBound="0" tableColumnId="11"/>
      <queryTableField id="12" dataBound="0" tableColumnId="1"/>
      <queryTableField id="13" dataBound="0" tableColumnId="2"/>
      <queryTableField id="14" dataBound="0" tableColumnId="3"/>
      <queryTableField id="15" dataBound="0" tableColumnId="4"/>
    </queryTableFields>
    <queryTableDeletedFields count="8">
      <deletedField name="Column6"/>
      <deletedField name="Column7"/>
      <deletedField name="Column8"/>
      <deletedField name="Column9"/>
      <deletedField name="Column4"/>
      <deletedField name="Column2"/>
      <deletedField name="Column1"/>
      <deletedField name="Column3"/>
    </queryTableDeletedFields>
  </queryTableRefresh>
  <extLst>
    <ext xmlns:x15="http://schemas.microsoft.com/office/spreadsheetml/2010/11/main" uri="{883FBD77-0823-4a55-B5E3-86C4891E6966}">
      <x15:queryTable sourceDataName="Query - Q2 IS 2023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00AEADA-8A63-4EDC-B91A-F6DA1CEBF4CB}" autoFormatId="16" applyNumberFormats="0" applyBorderFormats="0" applyFontFormats="0" applyPatternFormats="0" applyAlignmentFormats="0" applyWidthHeightFormats="0">
  <queryTableRefresh nextId="18" unboundColumnsRight="4">
    <queryTableFields count="14">
      <queryTableField id="1" name="Column1" tableColumnId="1"/>
      <queryTableField id="11" dataBound="0" tableColumnId="7"/>
      <queryTableField id="10" dataBound="0" tableColumnId="8"/>
      <queryTableField id="9" dataBound="0" tableColumnId="4"/>
      <queryTableField id="8" dataBound="0" tableColumnId="6"/>
      <queryTableField id="7" dataBound="0" tableColumnId="3"/>
      <queryTableField id="6" dataBound="0" tableColumnId="2"/>
      <queryTableField id="13" dataBound="0" tableColumnId="9"/>
      <queryTableField id="12" dataBound="0" tableColumnId="10"/>
      <queryTableField id="5" name="Column5" tableColumnId="5"/>
      <queryTableField id="14" dataBound="0" tableColumnId="11"/>
      <queryTableField id="15" dataBound="0" tableColumnId="12"/>
      <queryTableField id="16" dataBound="0" tableColumnId="13"/>
      <queryTableField id="17" dataBound="0" tableColumnId="14"/>
    </queryTableFields>
    <queryTableDeletedFields count="3">
      <deletedField name="Column2"/>
      <deletedField name="Column4"/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39D5FE-0697-4AF5-8CBA-164A1097D6E8}" name="Q1_IS_2023" displayName="Q1_IS_2023" ref="A1:G25" tableType="queryTable" totalsRowShown="0">
  <autoFilter ref="A1:G25" xr:uid="{8239D5FE-0697-4AF5-8CBA-164A1097D6E8}"/>
  <tableColumns count="7">
    <tableColumn id="1" xr3:uid="{1EB76F11-119A-40C0-A680-DB37AE693984}" uniqueName="1" name="Income Statement ($ in millions)" queryTableFieldId="1" dataDxfId="17"/>
    <tableColumn id="2" xr3:uid="{1435CE96-B750-453C-8F86-C3F6E7A5FC67}" uniqueName="2" name="Jan 31,2021" queryTableFieldId="10" dataDxfId="16"/>
    <tableColumn id="9" xr3:uid="{99AD6526-A508-4C52-8B94-9B951738C27F}" uniqueName="9" name="May 2, 2021" queryTableFieldId="9" dataDxfId="15"/>
    <tableColumn id="8" xr3:uid="{2A42B874-ABC6-4EDB-9404-AE8A623080E2}" uniqueName="8" name="Aug 1, 2021" queryTableFieldId="8" dataDxfId="14"/>
    <tableColumn id="7" xr3:uid="{1336BD97-5FF5-490E-B4E8-1C998A548CE5}" uniqueName="7" name="Oct 31, 2021" queryTableFieldId="7" dataDxfId="13"/>
    <tableColumn id="6" xr3:uid="{C8E47DA0-5B92-4F9F-9AA0-4E38EBDE6379}" uniqueName="6" name="Jan 30, 2022" queryTableFieldId="6" dataDxfId="12"/>
    <tableColumn id="5" xr3:uid="{EF206572-DA2D-4AF1-8CD9-FED92CF06732}" uniqueName="5" name="May 1, 2022" queryTableFieldId="5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6E3C1-CB42-4378-9798-61655E55C254}" name="Q2_IS_2023" displayName="Q2_IS_2023" ref="H1:N25" tableType="queryTable" totalsRowShown="0" headerRowDxfId="10" dataDxfId="9">
  <autoFilter ref="H1:N25" xr:uid="{2AB6E3C1-CB42-4378-9798-61655E55C254}"/>
  <tableColumns count="7">
    <tableColumn id="5" xr3:uid="{80A0A76F-02C7-470E-B603-725ADD84316D}" uniqueName="5" name="Jul 31, 2022" queryTableFieldId="5" dataDxfId="8"/>
    <tableColumn id="10" xr3:uid="{B90343CC-2776-4721-8C22-0603292A2094}" uniqueName="10" name="Oct 30, 2022" queryTableFieldId="10" dataDxfId="7"/>
    <tableColumn id="11" xr3:uid="{D5AF8217-D468-45CA-B9ED-EF1867426281}" uniqueName="11" name="Jan 29, 2023" queryTableFieldId="11" dataDxfId="6"/>
    <tableColumn id="1" xr3:uid="{172FD9C5-AAFE-43D1-AF65-46335B1B4E0B}" uniqueName="1" name="Apr 30, 2023" queryTableFieldId="12" dataDxfId="5"/>
    <tableColumn id="2" xr3:uid="{BD8C6261-C1A4-4F15-ABDE-721684EF3485}" uniqueName="2" name="Jul 30, 2023" queryTableFieldId="13" dataDxfId="4"/>
    <tableColumn id="3" xr3:uid="{525694F0-3F24-4B64-A272-3EF6793B22F0}" uniqueName="3" name="Oct 29, 2023" queryTableFieldId="14" dataDxfId="3"/>
    <tableColumn id="4" xr3:uid="{E8DD8111-4AC6-4AAD-978D-F9C0DCB6548E}" uniqueName="4" name="Jan 28, 2024" queryTableFieldId="15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0BE6BB-7302-4FDA-BE4F-8AB3D45D0B63}" name="Q1_BS_2023" displayName="Q1_BS_2023" ref="A1:N39" tableType="queryTable" totalsRowShown="0">
  <autoFilter ref="A1:N39" xr:uid="{930BE6BB-7302-4FDA-BE4F-8AB3D45D0B63}"/>
  <tableColumns count="14">
    <tableColumn id="1" xr3:uid="{9FAFD9E4-5068-4410-9A0F-E7CBDCC17721}" uniqueName="1" name="Balance Sheet ($ in millions)" queryTableFieldId="1" dataDxfId="1"/>
    <tableColumn id="7" xr3:uid="{24973427-7A4E-4A75-8E32-BD3CEFA0E438}" uniqueName="7" name="Jan 31,2021" queryTableFieldId="11"/>
    <tableColumn id="8" xr3:uid="{86070977-BE3E-4445-8377-AC64537786C4}" uniqueName="8" name="May 2, 2021" queryTableFieldId="10"/>
    <tableColumn id="4" xr3:uid="{314C79D8-5D31-4EDF-B1B2-55B39E38F932}" uniqueName="4" name="Aug 1, 2021" queryTableFieldId="9"/>
    <tableColumn id="6" xr3:uid="{F3E0F942-1D82-4B32-A8D3-07B8528D1C27}" uniqueName="6" name="Oct 31, 2021" queryTableFieldId="8"/>
    <tableColumn id="3" xr3:uid="{1266CF30-5478-495F-866E-1F1B9FC993E5}" uniqueName="3" name="Jan 30, 2022" queryTableFieldId="7"/>
    <tableColumn id="2" xr3:uid="{4CF1B401-3C65-4857-AD2D-8531BA293462}" uniqueName="2" name="May 1, 2022" queryTableFieldId="6"/>
    <tableColumn id="9" xr3:uid="{0B126629-4687-4F5D-9637-176EB9F65428}" uniqueName="9" name="Jul 31, 2022" queryTableFieldId="13"/>
    <tableColumn id="10" xr3:uid="{46870026-AAEE-4CBF-BC2B-ED9896BB4CF3}" uniqueName="10" name="Oct 30, 2022" queryTableFieldId="12"/>
    <tableColumn id="5" xr3:uid="{64549A2D-A10E-455C-BE49-7FE312EF6482}" uniqueName="5" name="Jan 29, 2023" queryTableFieldId="5" dataDxfId="0"/>
    <tableColumn id="11" xr3:uid="{96B6F45F-A218-41A5-A809-3D33CC98A745}" uniqueName="11" name="Apr 30, 2023" queryTableFieldId="14"/>
    <tableColumn id="12" xr3:uid="{531EF3C8-7599-4813-8B68-2D69402A10AF}" uniqueName="12" name="Jul 30, 2023" queryTableFieldId="15"/>
    <tableColumn id="13" xr3:uid="{071238EB-F81C-4090-BBC6-4FEB47DE39E2}" uniqueName="13" name="Oct 29, 2023" queryTableFieldId="16"/>
    <tableColumn id="14" xr3:uid="{12913E46-04A7-4681-8659-F2C4902279CA}" uniqueName="14" name="Jan 28, 2024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EC43C-34FA-4830-9508-AFC79FF66090}">
  <dimension ref="B3:B23"/>
  <sheetViews>
    <sheetView showGridLines="0" workbookViewId="0">
      <selection activeCell="B24" sqref="B24"/>
    </sheetView>
  </sheetViews>
  <sheetFormatPr defaultRowHeight="15" x14ac:dyDescent="0.25"/>
  <sheetData>
    <row r="3" spans="2:2" x14ac:dyDescent="0.25">
      <c r="B3" t="s">
        <v>235</v>
      </c>
    </row>
    <row r="5" spans="2:2" x14ac:dyDescent="0.25">
      <c r="B5" t="s">
        <v>234</v>
      </c>
    </row>
    <row r="7" spans="2:2" x14ac:dyDescent="0.25">
      <c r="B7" s="2" t="s">
        <v>236</v>
      </c>
    </row>
    <row r="9" spans="2:2" x14ac:dyDescent="0.25">
      <c r="B9" t="s">
        <v>240</v>
      </c>
    </row>
    <row r="11" spans="2:2" x14ac:dyDescent="0.25">
      <c r="B11" t="s">
        <v>241</v>
      </c>
    </row>
    <row r="13" spans="2:2" x14ac:dyDescent="0.25">
      <c r="B13" s="2" t="s">
        <v>237</v>
      </c>
    </row>
    <row r="15" spans="2:2" x14ac:dyDescent="0.25">
      <c r="B15" t="s">
        <v>242</v>
      </c>
    </row>
    <row r="17" spans="2:2" x14ac:dyDescent="0.25">
      <c r="B17" t="s">
        <v>243</v>
      </c>
    </row>
    <row r="19" spans="2:2" x14ac:dyDescent="0.25">
      <c r="B19" t="s">
        <v>244</v>
      </c>
    </row>
    <row r="21" spans="2:2" x14ac:dyDescent="0.25">
      <c r="B21" s="2" t="s">
        <v>238</v>
      </c>
    </row>
    <row r="23" spans="2:2" x14ac:dyDescent="0.25">
      <c r="B23" s="2" t="s">
        <v>239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88"/>
  <sheetViews>
    <sheetView showGridLines="0" tabSelected="1" zoomScale="80" zoomScaleNormal="80" workbookViewId="0">
      <selection activeCell="H31" sqref="H31"/>
    </sheetView>
  </sheetViews>
  <sheetFormatPr defaultRowHeight="15" x14ac:dyDescent="0.25"/>
  <cols>
    <col min="1" max="1" width="3.28515625" style="3" customWidth="1"/>
    <col min="2" max="2" width="10.5703125" customWidth="1"/>
    <col min="4" max="5" width="11.5703125" bestFit="1" customWidth="1"/>
    <col min="6" max="6" width="10.42578125" customWidth="1"/>
    <col min="7" max="7" width="9.140625" customWidth="1"/>
    <col min="8" max="8" width="9.42578125" customWidth="1"/>
    <col min="9" max="9" width="8.5703125" bestFit="1" customWidth="1"/>
    <col min="10" max="10" width="10.5703125" customWidth="1"/>
    <col min="11" max="13" width="8.5703125" bestFit="1" customWidth="1"/>
    <col min="14" max="14" width="9.7109375" bestFit="1" customWidth="1"/>
    <col min="15" max="17" width="10.7109375" bestFit="1" customWidth="1"/>
    <col min="18" max="25" width="8.5703125" bestFit="1" customWidth="1"/>
    <col min="26" max="28" width="8.85546875" bestFit="1" customWidth="1"/>
  </cols>
  <sheetData>
    <row r="2" spans="1:28" ht="21" x14ac:dyDescent="0.35">
      <c r="B2" s="1" t="s">
        <v>0</v>
      </c>
    </row>
    <row r="3" spans="1:28" x14ac:dyDescent="0.25">
      <c r="T3" s="94"/>
      <c r="U3" s="94"/>
      <c r="V3" s="94"/>
    </row>
    <row r="4" spans="1:28" ht="15.75" x14ac:dyDescent="0.25">
      <c r="B4" s="72" t="s">
        <v>331</v>
      </c>
      <c r="D4" t="s">
        <v>334</v>
      </c>
      <c r="F4" t="s">
        <v>397</v>
      </c>
      <c r="J4" s="152">
        <f ca="1">E88</f>
        <v>446.47544149958196</v>
      </c>
      <c r="T4" s="94"/>
      <c r="U4" s="94"/>
      <c r="V4" s="94"/>
    </row>
    <row r="5" spans="1:28" ht="15.75" x14ac:dyDescent="0.25">
      <c r="B5" s="72" t="s">
        <v>332</v>
      </c>
      <c r="D5" s="106">
        <v>45357</v>
      </c>
      <c r="F5" t="s">
        <v>398</v>
      </c>
      <c r="J5" s="152">
        <v>859.64</v>
      </c>
      <c r="R5" s="94"/>
      <c r="S5" s="94"/>
      <c r="U5" s="94"/>
      <c r="V5" s="94"/>
      <c r="W5" s="94"/>
    </row>
    <row r="6" spans="1:28" ht="15.75" x14ac:dyDescent="0.25">
      <c r="B6" s="72" t="s">
        <v>386</v>
      </c>
      <c r="D6" s="106">
        <v>45320</v>
      </c>
      <c r="F6" t="s">
        <v>335</v>
      </c>
      <c r="J6" s="153">
        <f ca="1">J4/J5-1</f>
        <v>-0.48062509713417012</v>
      </c>
      <c r="P6" s="59"/>
      <c r="Q6" s="59"/>
      <c r="R6" s="59"/>
      <c r="S6" s="59"/>
      <c r="T6" s="59"/>
    </row>
    <row r="7" spans="1:28" ht="15.75" x14ac:dyDescent="0.25">
      <c r="B7" s="72" t="s">
        <v>333</v>
      </c>
      <c r="D7" s="106">
        <v>45683</v>
      </c>
      <c r="P7" s="59"/>
      <c r="Q7" s="59"/>
      <c r="R7" s="59"/>
      <c r="S7" s="59"/>
      <c r="T7" s="59"/>
    </row>
    <row r="8" spans="1:28" x14ac:dyDescent="0.25">
      <c r="Y8" s="6">
        <v>2026</v>
      </c>
      <c r="Z8" s="6">
        <v>2027</v>
      </c>
      <c r="AA8" s="142">
        <v>2028</v>
      </c>
      <c r="AB8" s="142">
        <v>2029</v>
      </c>
    </row>
    <row r="9" spans="1:28" x14ac:dyDescent="0.25">
      <c r="A9" s="3" t="s">
        <v>1</v>
      </c>
      <c r="B9" s="4" t="s">
        <v>382</v>
      </c>
      <c r="C9" s="5"/>
      <c r="D9" s="5"/>
      <c r="E9" s="5"/>
      <c r="F9" s="5" t="s">
        <v>37</v>
      </c>
      <c r="G9" s="5" t="str">
        <f>IF(MID(F9,2,1)="4","Q1 "&amp;RIGHT(F9,4)+1, "Q"&amp;MID(F9,2,1)+1&amp;" "&amp;RIGHT(F9,4))</f>
        <v>Q2 2022</v>
      </c>
      <c r="H9" s="5" t="str">
        <f t="shared" ref="H9:P9" si="0">IF(MID(G9,2,1)="4","Q1 "&amp;RIGHT(G9,4)+1, "Q"&amp;MID(G9,2,1)+1&amp;" "&amp;RIGHT(G9,4))</f>
        <v>Q3 2022</v>
      </c>
      <c r="I9" s="5" t="str">
        <f t="shared" si="0"/>
        <v>Q4 2022</v>
      </c>
      <c r="J9" s="5" t="str">
        <f t="shared" si="0"/>
        <v>Q1 2023</v>
      </c>
      <c r="K9" s="5" t="str">
        <f t="shared" si="0"/>
        <v>Q2 2023</v>
      </c>
      <c r="L9" s="5" t="str">
        <f t="shared" si="0"/>
        <v>Q3 2023</v>
      </c>
      <c r="M9" s="5" t="str">
        <f t="shared" si="0"/>
        <v>Q4 2023</v>
      </c>
      <c r="N9" s="5" t="str">
        <f t="shared" si="0"/>
        <v>Q1 2024</v>
      </c>
      <c r="O9" s="5" t="str">
        <f t="shared" si="0"/>
        <v>Q2 2024</v>
      </c>
      <c r="P9" s="5" t="str">
        <f t="shared" si="0"/>
        <v>Q3 2024</v>
      </c>
      <c r="Q9" s="5" t="str">
        <f>IF(MID(P9,2,1)="4","Q1 "&amp;RIGHT(P9,4)+1, "Q"&amp;MID(P9,2,1)+1&amp;" "&amp;RIGHT(P9,4))</f>
        <v>Q4 2024</v>
      </c>
      <c r="R9" s="34" t="str">
        <f>IF(MID(Q9,2,1)="4","Q1 "&amp;RIGHT(Q9,4)+1, "Q"&amp;MID(Q9,2,1)+1&amp;" "&amp;RIGHT(Q9,4))</f>
        <v>Q1 2025</v>
      </c>
      <c r="S9" s="34" t="str">
        <f t="shared" ref="S9:Y9" si="1">IF(MID(R9,2,1)="4","Q1 "&amp;RIGHT(R9,4)+1, "Q"&amp;MID(R9,2,1)+1&amp;" "&amp;RIGHT(R9,4))</f>
        <v>Q2 2025</v>
      </c>
      <c r="T9" s="34" t="str">
        <f t="shared" si="1"/>
        <v>Q3 2025</v>
      </c>
      <c r="U9" s="34" t="str">
        <f t="shared" si="1"/>
        <v>Q4 2025</v>
      </c>
      <c r="V9" s="34" t="str">
        <f t="shared" si="1"/>
        <v>Q1 2026</v>
      </c>
      <c r="W9" s="34" t="str">
        <f t="shared" si="1"/>
        <v>Q2 2026</v>
      </c>
      <c r="X9" s="34" t="str">
        <f t="shared" si="1"/>
        <v>Q3 2026</v>
      </c>
      <c r="Y9" s="34" t="str">
        <f t="shared" si="1"/>
        <v>Q4 2026</v>
      </c>
      <c r="Z9" s="139">
        <v>2027</v>
      </c>
      <c r="AA9" s="139">
        <v>2028</v>
      </c>
      <c r="AB9" s="139">
        <v>2029</v>
      </c>
    </row>
    <row r="10" spans="1:28" x14ac:dyDescent="0.25">
      <c r="B10" t="s">
        <v>6</v>
      </c>
      <c r="F10" s="39" t="str">
        <f>'Income Statement'!C2</f>
        <v>5,661</v>
      </c>
      <c r="G10" s="39" t="str">
        <f>'Income Statement'!D2</f>
        <v>6,507</v>
      </c>
      <c r="H10" s="39">
        <f>'Income Statement'!E2</f>
        <v>7103</v>
      </c>
      <c r="I10" s="39">
        <f>'Income Statement'!F2</f>
        <v>7643</v>
      </c>
      <c r="J10" s="39">
        <f>'Income Statement'!G2</f>
        <v>8288</v>
      </c>
      <c r="K10" s="39" t="str">
        <f>'Income Statement'!H2</f>
        <v>6,704</v>
      </c>
      <c r="L10" s="39" t="str">
        <f>'Income Statement'!I2</f>
        <v>5,931</v>
      </c>
      <c r="M10" s="39">
        <f>'Income Statement'!J2</f>
        <v>6051</v>
      </c>
      <c r="N10" s="39">
        <f>'Income Statement'!K2</f>
        <v>7192</v>
      </c>
      <c r="O10" s="39">
        <f>'Income Statement'!L2</f>
        <v>13507</v>
      </c>
      <c r="P10" s="39">
        <f>'Income Statement'!M2</f>
        <v>18120</v>
      </c>
      <c r="Q10" s="39">
        <v>22103</v>
      </c>
      <c r="R10" s="140">
        <v>24147</v>
      </c>
      <c r="S10" s="140">
        <v>26100</v>
      </c>
      <c r="T10" s="140">
        <v>28485</v>
      </c>
      <c r="U10" s="140">
        <v>30491</v>
      </c>
      <c r="V10" s="140">
        <v>30141</v>
      </c>
      <c r="W10" s="140">
        <f>(130711-$V$10)/3-1000</f>
        <v>32523.333333333336</v>
      </c>
      <c r="X10" s="140">
        <f>(130711-$V$10)/3</f>
        <v>33523.333333333336</v>
      </c>
      <c r="Y10" s="140">
        <f>(130711-$V$10)/3+1000</f>
        <v>34523.333333333336</v>
      </c>
      <c r="Z10" s="140">
        <v>148175</v>
      </c>
      <c r="AA10" s="140">
        <v>166734</v>
      </c>
      <c r="AB10" s="140">
        <v>185496</v>
      </c>
    </row>
    <row r="11" spans="1:28" x14ac:dyDescent="0.25">
      <c r="B11" s="8" t="s">
        <v>30</v>
      </c>
      <c r="F11" s="3"/>
      <c r="G11" s="66">
        <f>G10/F10-1</f>
        <v>0.14944356120826718</v>
      </c>
      <c r="H11" s="66">
        <f t="shared" ref="H11:Q11" si="2">H10/G10-1</f>
        <v>9.1593668357153879E-2</v>
      </c>
      <c r="I11" s="66">
        <f t="shared" si="2"/>
        <v>7.6024215120371608E-2</v>
      </c>
      <c r="J11" s="66">
        <f t="shared" si="2"/>
        <v>8.4390945963626951E-2</v>
      </c>
      <c r="K11" s="66">
        <f t="shared" si="2"/>
        <v>-0.19111969111969107</v>
      </c>
      <c r="L11" s="66">
        <f t="shared" si="2"/>
        <v>-0.11530429594272074</v>
      </c>
      <c r="M11" s="66">
        <f t="shared" si="2"/>
        <v>2.0232675771370667E-2</v>
      </c>
      <c r="N11" s="66">
        <f t="shared" si="2"/>
        <v>0.1885638737398776</v>
      </c>
      <c r="O11" s="66">
        <f t="shared" si="2"/>
        <v>0.87805895439377091</v>
      </c>
      <c r="P11" s="66">
        <f t="shared" si="2"/>
        <v>0.34152661582882948</v>
      </c>
      <c r="Q11" s="66">
        <f t="shared" si="2"/>
        <v>0.21981236203090515</v>
      </c>
      <c r="R11" s="66">
        <f t="shared" ref="R11" si="3">R10/Q10-1</f>
        <v>9.2476134461385362E-2</v>
      </c>
      <c r="S11" s="66">
        <f t="shared" ref="S11" si="4">S10/R10-1</f>
        <v>8.0879612374207932E-2</v>
      </c>
      <c r="T11" s="66">
        <f t="shared" ref="T11" si="5">T10/S10-1</f>
        <v>9.1379310344827491E-2</v>
      </c>
      <c r="U11" s="66">
        <f t="shared" ref="U11" si="6">U10/T10-1</f>
        <v>7.0423029664735903E-2</v>
      </c>
      <c r="V11" s="66">
        <f t="shared" ref="V11" si="7">V10/U10-1</f>
        <v>-1.1478797022072107E-2</v>
      </c>
      <c r="W11" s="66">
        <f t="shared" ref="W11" si="8">W10/V10-1</f>
        <v>7.9039624874202463E-2</v>
      </c>
      <c r="X11" s="66">
        <f t="shared" ref="X11" si="9">X10/W10-1</f>
        <v>3.0747155888080302E-2</v>
      </c>
      <c r="Y11" s="66">
        <f>Y10/X10-1</f>
        <v>2.9829969175698468E-2</v>
      </c>
      <c r="Z11" s="66">
        <f>Z10/(SUM(V10:Y10))-1</f>
        <v>0.13360773003037241</v>
      </c>
      <c r="AA11" s="66">
        <f>AA10/Z10-1</f>
        <v>0.12525054833811367</v>
      </c>
      <c r="AB11" s="66">
        <f>AB10/AA10-1</f>
        <v>0.11252653927813161</v>
      </c>
    </row>
    <row r="12" spans="1:28" x14ac:dyDescent="0.25">
      <c r="B12" s="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B13" t="s">
        <v>377</v>
      </c>
      <c r="F13" s="39" t="str">
        <f>'Income Statement'!C4</f>
        <v>3,629</v>
      </c>
      <c r="G13" s="39" t="str">
        <f>'Income Statement'!D4</f>
        <v>4,215</v>
      </c>
      <c r="H13" s="39" t="str">
        <f>'Income Statement'!E4</f>
        <v>4,631</v>
      </c>
      <c r="I13" s="39">
        <f>'Income Statement'!F4</f>
        <v>5000</v>
      </c>
      <c r="J13" s="39">
        <f>'Income Statement'!G4</f>
        <v>5431</v>
      </c>
      <c r="K13" s="39" t="str">
        <f>'Income Statement'!H4</f>
        <v>2,915</v>
      </c>
      <c r="L13" s="39" t="str">
        <f>'Income Statement'!I4</f>
        <v>3,177</v>
      </c>
      <c r="M13" s="39">
        <f>'Income Statement'!J4</f>
        <v>3833</v>
      </c>
      <c r="N13" s="39">
        <f>'Income Statement'!K4</f>
        <v>4648</v>
      </c>
      <c r="O13" s="39">
        <f>'Income Statement'!L4</f>
        <v>9462</v>
      </c>
      <c r="P13" s="39">
        <f>'Income Statement'!M4</f>
        <v>13400</v>
      </c>
      <c r="Q13" s="39">
        <f>'Income Statement'!N4</f>
        <v>16791</v>
      </c>
      <c r="R13" s="140">
        <f>R10*R14</f>
        <v>18424.161</v>
      </c>
      <c r="S13" s="140">
        <f>S10*S14</f>
        <v>18570.047377875941</v>
      </c>
      <c r="T13" s="140">
        <f t="shared" ref="T13:Y13" si="10">T10*T14</f>
        <v>21098.20311018129</v>
      </c>
      <c r="U13" s="140">
        <f t="shared" si="10"/>
        <v>22667.627222740106</v>
      </c>
      <c r="V13" s="140">
        <f t="shared" si="10"/>
        <v>22416.195962467355</v>
      </c>
      <c r="W13" s="140">
        <f t="shared" si="10"/>
        <v>24055.834628442066</v>
      </c>
      <c r="X13" s="140">
        <f t="shared" si="10"/>
        <v>24633.825985549025</v>
      </c>
      <c r="Y13" s="140">
        <f t="shared" si="10"/>
        <v>25611.631179910124</v>
      </c>
      <c r="Z13" s="140"/>
      <c r="AA13" s="140"/>
      <c r="AB13" s="140"/>
    </row>
    <row r="14" spans="1:28" x14ac:dyDescent="0.25">
      <c r="B14" s="8" t="s">
        <v>383</v>
      </c>
      <c r="F14" s="66">
        <f>F13/F$10</f>
        <v>0.6410528175234057</v>
      </c>
      <c r="G14" s="66">
        <f t="shared" ref="G14:Q14" si="11">G13/G$10</f>
        <v>0.64776394651913327</v>
      </c>
      <c r="H14" s="66">
        <f t="shared" si="11"/>
        <v>0.65197803744896521</v>
      </c>
      <c r="I14" s="66">
        <f t="shared" si="11"/>
        <v>0.65419337956299883</v>
      </c>
      <c r="J14" s="66">
        <f t="shared" si="11"/>
        <v>0.65528474903474898</v>
      </c>
      <c r="K14" s="66">
        <f t="shared" si="11"/>
        <v>0.43481503579952269</v>
      </c>
      <c r="L14" s="66">
        <f t="shared" si="11"/>
        <v>0.53566009104704093</v>
      </c>
      <c r="M14" s="66">
        <f t="shared" si="11"/>
        <v>0.63344901669145592</v>
      </c>
      <c r="N14" s="66">
        <f t="shared" si="11"/>
        <v>0.64627363737486099</v>
      </c>
      <c r="O14" s="66">
        <f t="shared" si="11"/>
        <v>0.7005256533649219</v>
      </c>
      <c r="P14" s="66">
        <f t="shared" si="11"/>
        <v>0.73951434878587197</v>
      </c>
      <c r="Q14" s="66">
        <f t="shared" si="11"/>
        <v>0.75967063294575399</v>
      </c>
      <c r="R14" s="66">
        <v>0.76300000000000001</v>
      </c>
      <c r="S14" s="66">
        <f>AVERAGE(N14:Q14)</f>
        <v>0.71149606811785215</v>
      </c>
      <c r="T14" s="66">
        <f t="shared" ref="T14:Y14" si="12">AVERAGE(O14:R14)</f>
        <v>0.74067765877413694</v>
      </c>
      <c r="U14" s="66">
        <f t="shared" si="12"/>
        <v>0.74342026246236947</v>
      </c>
      <c r="V14" s="66">
        <f t="shared" si="12"/>
        <v>0.7437110899594358</v>
      </c>
      <c r="W14" s="66">
        <f t="shared" si="12"/>
        <v>0.73964849733858962</v>
      </c>
      <c r="X14" s="66">
        <f t="shared" si="12"/>
        <v>0.73482626982844856</v>
      </c>
      <c r="Y14" s="66">
        <f t="shared" si="12"/>
        <v>0.74186437713363296</v>
      </c>
      <c r="Z14" s="66"/>
      <c r="AA14" s="66"/>
      <c r="AB14" s="66"/>
    </row>
    <row r="15" spans="1:28" x14ac:dyDescent="0.25"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B16" t="s">
        <v>25</v>
      </c>
      <c r="F16" s="39">
        <f>'Income Statement'!C10+'Income Statement'!C11+'Income Statement'!C12</f>
        <v>1909</v>
      </c>
      <c r="G16" s="39">
        <f>'Income Statement'!D10+'Income Statement'!D11+'Income Statement'!D12</f>
        <v>2390</v>
      </c>
      <c r="H16" s="39">
        <f>'Income Statement'!E10+'Income Statement'!E11+'Income Statement'!E12</f>
        <v>2616</v>
      </c>
      <c r="I16" s="39">
        <f>'Income Statement'!F10+'Income Statement'!F11+'Income Statement'!F12</f>
        <v>2919</v>
      </c>
      <c r="J16" s="39">
        <f>'Income Statement'!G10+'Income Statement'!G11+'Income Statement'!G12</f>
        <v>1818</v>
      </c>
      <c r="K16" s="39">
        <f>'Income Statement'!H10+'Income Statement'!H11+'Income Statement'!H12</f>
        <v>480</v>
      </c>
      <c r="L16" s="39">
        <f>'Income Statement'!I10+'Income Statement'!I11+'Income Statement'!I12</f>
        <v>624</v>
      </c>
      <c r="M16" s="39">
        <f>'Income Statement'!J10+'Income Statement'!J11+'Income Statement'!J12</f>
        <v>1307</v>
      </c>
      <c r="N16" s="39">
        <f>'Income Statement'!K10+'Income Statement'!K11+'Income Statement'!K12</f>
        <v>2224</v>
      </c>
      <c r="O16" s="39">
        <f>'Income Statement'!L10+'Income Statement'!L11+'Income Statement'!L12</f>
        <v>6922</v>
      </c>
      <c r="P16" s="39">
        <f>'Income Statement'!M10+'Income Statement'!M11+'Income Statement'!M12</f>
        <v>10588</v>
      </c>
      <c r="Q16" s="39">
        <f>'Income Statement'!N10+'Income Statement'!N11+'Income Statement'!N12</f>
        <v>13847</v>
      </c>
      <c r="R16" s="140">
        <f>R13-3500</f>
        <v>14924.161</v>
      </c>
      <c r="S16" s="140">
        <v>17124</v>
      </c>
      <c r="T16" s="140">
        <v>18664</v>
      </c>
      <c r="U16" s="140">
        <v>19954</v>
      </c>
      <c r="V16" s="140">
        <v>19692</v>
      </c>
      <c r="W16" s="140">
        <f>(84784-$V$16)/3-700</f>
        <v>20997.333333333332</v>
      </c>
      <c r="X16" s="140">
        <f t="shared" ref="X16" si="13">(84784-$V$16)/3</f>
        <v>21697.333333333332</v>
      </c>
      <c r="Y16" s="140">
        <f>(84784-$V$16)/3+700</f>
        <v>22397.333333333332</v>
      </c>
      <c r="Z16" s="140">
        <v>93892</v>
      </c>
      <c r="AA16" s="140">
        <v>100844</v>
      </c>
      <c r="AB16" s="140">
        <v>110001</v>
      </c>
    </row>
    <row r="17" spans="1:28" x14ac:dyDescent="0.25">
      <c r="B17" s="8" t="s">
        <v>383</v>
      </c>
      <c r="F17" s="66">
        <f>F16/F$10</f>
        <v>0.33721957251369017</v>
      </c>
      <c r="G17" s="66">
        <f t="shared" ref="G17:Q17" si="14">G16/G$10</f>
        <v>0.36729675733825112</v>
      </c>
      <c r="H17" s="66">
        <f t="shared" si="14"/>
        <v>0.36829508658313387</v>
      </c>
      <c r="I17" s="66">
        <f t="shared" si="14"/>
        <v>0.38191809498887869</v>
      </c>
      <c r="J17" s="66">
        <f t="shared" si="14"/>
        <v>0.21935328185328185</v>
      </c>
      <c r="K17" s="66">
        <f t="shared" si="14"/>
        <v>7.1599045346062054E-2</v>
      </c>
      <c r="L17" s="66">
        <f t="shared" si="14"/>
        <v>0.10520991401112798</v>
      </c>
      <c r="M17" s="66">
        <f t="shared" si="14"/>
        <v>0.21599735580895721</v>
      </c>
      <c r="N17" s="66">
        <f t="shared" si="14"/>
        <v>0.3092324805339266</v>
      </c>
      <c r="O17" s="66">
        <f t="shared" si="14"/>
        <v>0.51247501295624487</v>
      </c>
      <c r="P17" s="66">
        <f t="shared" si="14"/>
        <v>0.58432671081677701</v>
      </c>
      <c r="Q17" s="66">
        <f t="shared" si="14"/>
        <v>0.62647604397593082</v>
      </c>
      <c r="R17" s="66">
        <f>R16/R$10</f>
        <v>0.61805445811073845</v>
      </c>
      <c r="S17" s="66">
        <f>S16/S10</f>
        <v>0.65609195402298848</v>
      </c>
      <c r="T17" s="66">
        <f t="shared" ref="T17:V17" si="15">T16/T10</f>
        <v>0.65522204669124096</v>
      </c>
      <c r="U17" s="66">
        <f t="shared" si="15"/>
        <v>0.65442261650978972</v>
      </c>
      <c r="V17" s="66">
        <f t="shared" si="15"/>
        <v>0.65332935204538667</v>
      </c>
      <c r="W17" s="66">
        <f t="shared" ref="W17" si="16">W16/W10</f>
        <v>0.64560828123398573</v>
      </c>
      <c r="X17" s="66">
        <f t="shared" ref="X17" si="17">X16/X10</f>
        <v>0.64723078452818927</v>
      </c>
      <c r="Y17" s="66">
        <f t="shared" ref="Y17" si="18">Y16/Y10</f>
        <v>0.64875929323163073</v>
      </c>
      <c r="Z17" s="66">
        <f>Z16/Z10</f>
        <v>0.63365614982284457</v>
      </c>
      <c r="AA17" s="66">
        <f t="shared" ref="AA17:AB17" si="19">AA16/AA10</f>
        <v>0.60481965286024442</v>
      </c>
      <c r="AB17" s="66">
        <f t="shared" si="19"/>
        <v>0.59301009186181908</v>
      </c>
    </row>
    <row r="18" spans="1:28" x14ac:dyDescent="0.25"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5">
      <c r="B19" t="s">
        <v>49</v>
      </c>
      <c r="F19" s="11" t="str">
        <f>'Income Statement'!C16</f>
        <v>132</v>
      </c>
      <c r="G19" s="11" t="str">
        <f>'Income Statement'!D16</f>
        <v>20</v>
      </c>
      <c r="H19" s="11" t="str">
        <f>'Income Statement'!E16</f>
        <v>174</v>
      </c>
      <c r="I19" s="11">
        <f>'Income Statement'!F16</f>
        <v>-137</v>
      </c>
      <c r="J19" s="11">
        <f>'Income Statement'!G16</f>
        <v>187</v>
      </c>
      <c r="K19" s="11" t="str">
        <f>'Income Statement'!H16</f>
        <v>(181)</v>
      </c>
      <c r="L19" s="11" t="str">
        <f>'Income Statement'!I16</f>
        <v>(67)</v>
      </c>
      <c r="M19" s="59">
        <f>'Income Statement'!J16</f>
        <v>-126</v>
      </c>
      <c r="N19" s="59">
        <f>'Income Statement'!K16</f>
        <v>166</v>
      </c>
      <c r="O19" s="59">
        <f>'Income Statement'!L16</f>
        <v>793</v>
      </c>
      <c r="P19" s="59">
        <f>'Income Statement'!M16</f>
        <v>1279</v>
      </c>
      <c r="Q19" s="59">
        <f>'Income Statement'!N16</f>
        <v>1820</v>
      </c>
      <c r="R19" s="140">
        <f>R16*R20</f>
        <v>2537.1073700000002</v>
      </c>
      <c r="S19" s="140">
        <f t="shared" ref="S19:Y19" si="20">S16*S20</f>
        <v>2911.0800000000004</v>
      </c>
      <c r="T19" s="140">
        <f t="shared" si="20"/>
        <v>3172.88</v>
      </c>
      <c r="U19" s="140">
        <f t="shared" si="20"/>
        <v>3392.1800000000003</v>
      </c>
      <c r="V19" s="140">
        <f t="shared" si="20"/>
        <v>3347.6400000000003</v>
      </c>
      <c r="W19" s="140">
        <f t="shared" si="20"/>
        <v>3569.5466666666666</v>
      </c>
      <c r="X19" s="140">
        <f t="shared" si="20"/>
        <v>3688.5466666666666</v>
      </c>
      <c r="Y19" s="140">
        <f t="shared" si="20"/>
        <v>3807.5466666666666</v>
      </c>
      <c r="Z19" s="140">
        <f t="shared" ref="Z19" si="21">Z16*Z20</f>
        <v>15961.640000000001</v>
      </c>
      <c r="AA19" s="140">
        <f t="shared" ref="AA19" si="22">AA16*AA20</f>
        <v>17143.48</v>
      </c>
      <c r="AB19" s="140">
        <f t="shared" ref="AB19" si="23">AB16*AB20</f>
        <v>18700.170000000002</v>
      </c>
    </row>
    <row r="20" spans="1:28" x14ac:dyDescent="0.25">
      <c r="B20" s="8" t="s">
        <v>384</v>
      </c>
      <c r="F20" s="66">
        <f>F19/'Income Statement'!C15</f>
        <v>6.4579256360078274E-2</v>
      </c>
      <c r="G20" s="66">
        <f>G19/'Income Statement'!D15</f>
        <v>8.3542188805346695E-3</v>
      </c>
      <c r="H20" s="66">
        <f>H19/'Income Statement'!E15</f>
        <v>6.5959059893858987E-2</v>
      </c>
      <c r="I20" s="66">
        <f>I19/'Income Statement'!F15</f>
        <v>-4.7818499127399654E-2</v>
      </c>
      <c r="J20" s="66">
        <f>J19/'Income Statement'!G15</f>
        <v>0.10360110803324099</v>
      </c>
      <c r="K20" s="66">
        <f>K19/'Income Statement'!H15</f>
        <v>-0.38105263157894737</v>
      </c>
      <c r="L20" s="66">
        <f>L19/'Income Statement'!I15</f>
        <v>-0.10929853181076672</v>
      </c>
      <c r="M20" s="66">
        <f>M19/'Income Statement'!J15</f>
        <v>-9.7826086956521743E-2</v>
      </c>
      <c r="N20" s="66">
        <f>N19/'Income Statement'!K15</f>
        <v>7.5147125396106837E-2</v>
      </c>
      <c r="O20" s="66">
        <f>O19/'Income Statement'!L15</f>
        <v>0.11359404096834265</v>
      </c>
      <c r="P20" s="66">
        <f>P19/'Income Statement'!M15</f>
        <v>0.12155483748336818</v>
      </c>
      <c r="Q20" s="66">
        <f>Q19/'Income Statement'!N15</f>
        <v>0.12902311073302142</v>
      </c>
      <c r="R20" s="66">
        <v>0.17</v>
      </c>
      <c r="S20" s="66">
        <v>0.17</v>
      </c>
      <c r="T20" s="66">
        <v>0.17</v>
      </c>
      <c r="U20" s="66">
        <v>0.17</v>
      </c>
      <c r="V20" s="66">
        <v>0.17</v>
      </c>
      <c r="W20" s="66">
        <v>0.17</v>
      </c>
      <c r="X20" s="66">
        <v>0.17</v>
      </c>
      <c r="Y20" s="66">
        <v>0.17</v>
      </c>
      <c r="Z20" s="66">
        <v>0.17</v>
      </c>
      <c r="AA20" s="66">
        <v>0.17</v>
      </c>
      <c r="AB20" s="66">
        <v>0.17</v>
      </c>
    </row>
    <row r="21" spans="1:28" x14ac:dyDescent="0.25">
      <c r="S21" s="29"/>
    </row>
    <row r="22" spans="1:28" x14ac:dyDescent="0.25">
      <c r="A22" s="3" t="s">
        <v>1</v>
      </c>
      <c r="B22" s="4" t="s">
        <v>4</v>
      </c>
      <c r="C22" s="5"/>
      <c r="D22" s="5"/>
      <c r="E22" s="5"/>
      <c r="F22" s="5" t="s">
        <v>37</v>
      </c>
      <c r="G22" s="5" t="str">
        <f>IF(MID(F22,2,1)="4","Q1 "&amp;RIGHT(F22,4)+1, "Q"&amp;MID(F22,2,1)+1&amp;" "&amp;RIGHT(F22,4))</f>
        <v>Q2 2022</v>
      </c>
      <c r="H22" s="5" t="str">
        <f t="shared" ref="H22:P22" si="24">IF(MID(G22,2,1)="4","Q1 "&amp;RIGHT(G22,4)+1, "Q"&amp;MID(G22,2,1)+1&amp;" "&amp;RIGHT(G22,4))</f>
        <v>Q3 2022</v>
      </c>
      <c r="I22" s="5" t="str">
        <f t="shared" si="24"/>
        <v>Q4 2022</v>
      </c>
      <c r="J22" s="5" t="str">
        <f t="shared" si="24"/>
        <v>Q1 2023</v>
      </c>
      <c r="K22" s="5" t="str">
        <f t="shared" si="24"/>
        <v>Q2 2023</v>
      </c>
      <c r="L22" s="5" t="str">
        <f t="shared" si="24"/>
        <v>Q3 2023</v>
      </c>
      <c r="M22" s="5" t="str">
        <f t="shared" si="24"/>
        <v>Q4 2023</v>
      </c>
      <c r="N22" s="5" t="str">
        <f t="shared" si="24"/>
        <v>Q1 2024</v>
      </c>
      <c r="O22" s="5" t="str">
        <f t="shared" si="24"/>
        <v>Q2 2024</v>
      </c>
      <c r="P22" s="5" t="str">
        <f t="shared" si="24"/>
        <v>Q3 2024</v>
      </c>
      <c r="Q22" s="5" t="str">
        <f>IF(MID(P22,2,1)="4","Q1 "&amp;RIGHT(P22,4)+1, "Q"&amp;MID(P22,2,1)+1&amp;" "&amp;RIGHT(P22,4))</f>
        <v>Q4 2024</v>
      </c>
      <c r="R22" s="34" t="str">
        <f>IF(MID(Q22,2,1)="4","Q1 "&amp;RIGHT(Q22,4)+1, "Q"&amp;MID(Q22,2,1)+1&amp;" "&amp;RIGHT(Q22,4))</f>
        <v>Q1 2025</v>
      </c>
      <c r="S22" s="34" t="str">
        <f t="shared" ref="S22:Y22" si="25">IF(MID(R22,2,1)="4","Q1 "&amp;RIGHT(R22,4)+1, "Q"&amp;MID(R22,2,1)+1&amp;" "&amp;RIGHT(R22,4))</f>
        <v>Q2 2025</v>
      </c>
      <c r="T22" s="34" t="str">
        <f t="shared" si="25"/>
        <v>Q3 2025</v>
      </c>
      <c r="U22" s="34" t="str">
        <f t="shared" si="25"/>
        <v>Q4 2025</v>
      </c>
      <c r="V22" s="34" t="str">
        <f t="shared" si="25"/>
        <v>Q1 2026</v>
      </c>
      <c r="W22" s="34" t="str">
        <f t="shared" si="25"/>
        <v>Q2 2026</v>
      </c>
      <c r="X22" s="34" t="str">
        <f t="shared" si="25"/>
        <v>Q3 2026</v>
      </c>
      <c r="Y22" s="34" t="str">
        <f t="shared" si="25"/>
        <v>Q4 2026</v>
      </c>
      <c r="Z22" s="139">
        <v>2027</v>
      </c>
      <c r="AA22" s="139">
        <v>2028</v>
      </c>
      <c r="AB22" s="139">
        <v>2029</v>
      </c>
    </row>
    <row r="23" spans="1:28" x14ac:dyDescent="0.25">
      <c r="B23" t="s">
        <v>31</v>
      </c>
      <c r="F23" s="3">
        <f>'Cash Flows'!B7</f>
        <v>281</v>
      </c>
      <c r="G23" s="3">
        <f>'Cash Flows'!C7-'Cash Flows'!B7</f>
        <v>286</v>
      </c>
      <c r="H23" s="3">
        <f>'Cash Flows'!D7-'Cash Flows'!C7</f>
        <v>298</v>
      </c>
      <c r="I23" s="3">
        <f>'Cash Flows'!E7-'Cash Flows'!D7</f>
        <v>309</v>
      </c>
      <c r="J23" s="3">
        <f>'Cash Flows'!F7</f>
        <v>334</v>
      </c>
      <c r="K23" s="3">
        <f>'Cash Flows'!G7-'Cash Flows'!F7</f>
        <v>378</v>
      </c>
      <c r="L23" s="3">
        <f>'Cash Flows'!H7-'Cash Flows'!G7</f>
        <v>406</v>
      </c>
      <c r="M23" s="3">
        <f>'Cash Flows'!I7-'Cash Flows'!H7</f>
        <v>426</v>
      </c>
      <c r="N23" s="3">
        <f>'Cash Flows'!J7</f>
        <v>384</v>
      </c>
      <c r="O23" s="3">
        <f>'Cash Flows'!K7-'Cash Flows'!J7</f>
        <v>365</v>
      </c>
      <c r="P23" s="3">
        <f>'Cash Flows'!L7-'Cash Flows'!K7</f>
        <v>372</v>
      </c>
      <c r="Q23" s="3">
        <f>'Cash Flows'!M7-'Cash Flows'!L7</f>
        <v>387</v>
      </c>
      <c r="R23" s="141">
        <f>R24+R25</f>
        <v>373.95672797114099</v>
      </c>
      <c r="S23" s="141">
        <f t="shared" ref="S23:Y23" si="26">S24+S25</f>
        <v>384.67180820521338</v>
      </c>
      <c r="T23" s="141">
        <f t="shared" si="26"/>
        <v>401.17083548745927</v>
      </c>
      <c r="U23" s="141">
        <f t="shared" si="26"/>
        <v>413.7337159621917</v>
      </c>
      <c r="V23" s="141">
        <f t="shared" si="26"/>
        <v>402.08034621833559</v>
      </c>
      <c r="W23" s="141">
        <f t="shared" si="26"/>
        <v>420.12525384908747</v>
      </c>
      <c r="X23" s="141">
        <f t="shared" si="26"/>
        <v>424.30735878616684</v>
      </c>
      <c r="Y23" s="141">
        <f t="shared" si="26"/>
        <v>429.31608436051209</v>
      </c>
      <c r="Z23" s="141">
        <v>4539</v>
      </c>
      <c r="AA23" s="141">
        <v>5108</v>
      </c>
      <c r="AB23" s="141">
        <v>5682</v>
      </c>
    </row>
    <row r="24" spans="1:28" x14ac:dyDescent="0.25">
      <c r="B24" s="73" t="s">
        <v>336</v>
      </c>
      <c r="F24" s="3">
        <f>F23-F25</f>
        <v>144</v>
      </c>
      <c r="G24" s="3">
        <f t="shared" ref="G24:Q24" si="27">G23-G25</f>
        <v>148</v>
      </c>
      <c r="H24" s="3">
        <f t="shared" si="27"/>
        <v>155</v>
      </c>
      <c r="I24" s="3">
        <f t="shared" si="27"/>
        <v>164</v>
      </c>
      <c r="J24" s="3">
        <f t="shared" si="27"/>
        <v>179</v>
      </c>
      <c r="K24" s="3">
        <f t="shared" si="27"/>
        <v>196</v>
      </c>
      <c r="L24" s="3">
        <f t="shared" si="27"/>
        <v>225</v>
      </c>
      <c r="M24" s="3">
        <f t="shared" si="27"/>
        <v>245</v>
      </c>
      <c r="N24" s="3">
        <f t="shared" si="27"/>
        <v>203</v>
      </c>
      <c r="O24" s="3">
        <f t="shared" si="27"/>
        <v>219</v>
      </c>
      <c r="P24" s="3">
        <f t="shared" si="27"/>
        <v>228</v>
      </c>
      <c r="Q24" s="3">
        <f t="shared" si="27"/>
        <v>244</v>
      </c>
      <c r="R24" s="96">
        <f>'Fixed Assets'!P8</f>
        <v>256.16598393026254</v>
      </c>
      <c r="S24" s="96">
        <f>'Fixed Assets'!Q8</f>
        <v>276.88458941399983</v>
      </c>
      <c r="T24" s="96">
        <f>'Fixed Assets'!R8</f>
        <v>302.18611223976188</v>
      </c>
      <c r="U24" s="96">
        <f>'Fixed Assets'!S8</f>
        <v>323.46697378629381</v>
      </c>
      <c r="V24" s="96">
        <f>'Fixed Assets'!T8</f>
        <v>319.75396205085701</v>
      </c>
      <c r="W24" s="96">
        <f>'Fixed Assets'!U8</f>
        <v>345.02719526339678</v>
      </c>
      <c r="X24" s="96">
        <f>'Fixed Assets'!V8</f>
        <v>355.63580022178752</v>
      </c>
      <c r="Y24" s="96">
        <f>'Fixed Assets'!W8</f>
        <v>366.24440518017832</v>
      </c>
      <c r="Z24" s="96"/>
      <c r="AA24" s="96"/>
      <c r="AB24" s="96"/>
    </row>
    <row r="25" spans="1:28" x14ac:dyDescent="0.25">
      <c r="B25" s="73" t="s">
        <v>337</v>
      </c>
      <c r="F25" s="3">
        <f>'Cash Flows'!B43</f>
        <v>137</v>
      </c>
      <c r="G25" s="3">
        <f>'Cash Flows'!C43</f>
        <v>138</v>
      </c>
      <c r="H25" s="3">
        <f>'Cash Flows'!D43</f>
        <v>143</v>
      </c>
      <c r="I25" s="3">
        <f>'Cash Flows'!E43</f>
        <v>145</v>
      </c>
      <c r="J25" s="3">
        <f>'Cash Flows'!F43</f>
        <v>155</v>
      </c>
      <c r="K25" s="3">
        <f>'Cash Flows'!G43</f>
        <v>182</v>
      </c>
      <c r="L25" s="3">
        <f>'Cash Flows'!H43</f>
        <v>181</v>
      </c>
      <c r="M25" s="3">
        <f>'Cash Flows'!I43</f>
        <v>181</v>
      </c>
      <c r="N25" s="3">
        <f>'Cash Flows'!J43</f>
        <v>181</v>
      </c>
      <c r="O25" s="3">
        <f>'Cash Flows'!K43</f>
        <v>146</v>
      </c>
      <c r="P25" s="3">
        <f>'Cash Flows'!L43</f>
        <v>144</v>
      </c>
      <c r="Q25" s="3">
        <f>'Cash Flows'!M43</f>
        <v>143</v>
      </c>
      <c r="R25" s="96">
        <f>'Fixed Assets'!P19</f>
        <v>117.79074404087845</v>
      </c>
      <c r="S25" s="96">
        <f>'Fixed Assets'!Q19</f>
        <v>107.78721879121356</v>
      </c>
      <c r="T25" s="96">
        <f>'Fixed Assets'!R19</f>
        <v>98.984723247697389</v>
      </c>
      <c r="U25" s="96">
        <f>'Fixed Assets'!S19</f>
        <v>90.266742175897903</v>
      </c>
      <c r="V25" s="96">
        <f>'Fixed Assets'!T19</f>
        <v>82.326384167478565</v>
      </c>
      <c r="W25" s="96">
        <f>'Fixed Assets'!U19</f>
        <v>75.098058585690694</v>
      </c>
      <c r="X25" s="96">
        <f>'Fixed Assets'!V19</f>
        <v>68.671558564379325</v>
      </c>
      <c r="Y25" s="96">
        <f>'Fixed Assets'!W19</f>
        <v>63.071679180333774</v>
      </c>
      <c r="Z25" s="96"/>
      <c r="AA25" s="96"/>
      <c r="AB25" s="96"/>
    </row>
    <row r="26" spans="1:28" x14ac:dyDescent="0.25">
      <c r="B26" s="8" t="s">
        <v>383</v>
      </c>
      <c r="F26" s="66">
        <f>F23/F$10</f>
        <v>4.9637873167284935E-2</v>
      </c>
      <c r="G26" s="66">
        <f t="shared" ref="G26:Y26" si="28">G23/G$10</f>
        <v>4.3952666359305365E-2</v>
      </c>
      <c r="H26" s="66">
        <f t="shared" si="28"/>
        <v>4.1954103899760661E-2</v>
      </c>
      <c r="I26" s="66">
        <f t="shared" si="28"/>
        <v>4.0429150856993328E-2</v>
      </c>
      <c r="J26" s="66">
        <f t="shared" si="28"/>
        <v>4.0299227799227802E-2</v>
      </c>
      <c r="K26" s="66">
        <f t="shared" si="28"/>
        <v>5.6384248210023864E-2</v>
      </c>
      <c r="L26" s="66">
        <f t="shared" si="28"/>
        <v>6.8453886359804414E-2</v>
      </c>
      <c r="M26" s="66">
        <f t="shared" si="28"/>
        <v>7.0401586514625678E-2</v>
      </c>
      <c r="N26" s="66">
        <f t="shared" si="28"/>
        <v>5.3392658509454953E-2</v>
      </c>
      <c r="O26" s="66">
        <f t="shared" si="28"/>
        <v>2.7023025098097283E-2</v>
      </c>
      <c r="P26" s="66">
        <f t="shared" si="28"/>
        <v>2.052980132450331E-2</v>
      </c>
      <c r="Q26" s="66">
        <f t="shared" si="28"/>
        <v>1.7508935438628241E-2</v>
      </c>
      <c r="R26" s="66">
        <f t="shared" si="28"/>
        <v>1.5486674451117777E-2</v>
      </c>
      <c r="S26" s="66">
        <f t="shared" si="28"/>
        <v>1.4738383456138444E-2</v>
      </c>
      <c r="T26" s="66">
        <f t="shared" si="28"/>
        <v>1.408358207784656E-2</v>
      </c>
      <c r="U26" s="66">
        <f t="shared" si="28"/>
        <v>1.3569043847764643E-2</v>
      </c>
      <c r="V26" s="66">
        <f t="shared" si="28"/>
        <v>1.3339980299868472E-2</v>
      </c>
      <c r="W26" s="66">
        <f t="shared" si="28"/>
        <v>1.2917656672617222E-2</v>
      </c>
      <c r="X26" s="66">
        <f t="shared" si="28"/>
        <v>1.2657075433613408E-2</v>
      </c>
      <c r="Y26" s="66">
        <f t="shared" si="28"/>
        <v>1.2435533968152324E-2</v>
      </c>
      <c r="Z26" s="66">
        <f t="shared" ref="Z26:AB26" si="29">Z23/Z$10</f>
        <v>3.0632697823519486E-2</v>
      </c>
      <c r="AA26" s="66">
        <f t="shared" si="29"/>
        <v>3.0635623208223876E-2</v>
      </c>
      <c r="AB26" s="66">
        <f t="shared" si="29"/>
        <v>3.063138827791435E-2</v>
      </c>
    </row>
    <row r="28" spans="1:28" x14ac:dyDescent="0.25">
      <c r="B28" t="s">
        <v>32</v>
      </c>
      <c r="F28" s="39">
        <f>-1*'Cash Flows'!B23</f>
        <v>298</v>
      </c>
      <c r="G28" s="39">
        <f>('Cash Flows'!C23-'Cash Flows'!B23)*-1</f>
        <v>183</v>
      </c>
      <c r="H28" s="39">
        <f>('Cash Flows'!D23-'Cash Flows'!C23)*-1</f>
        <v>222</v>
      </c>
      <c r="I28" s="39">
        <f>('Cash Flows'!E23-'Cash Flows'!D23)*-1</f>
        <v>273</v>
      </c>
      <c r="J28" s="39">
        <f>-1*'Cash Flows'!F23</f>
        <v>361</v>
      </c>
      <c r="K28" s="39">
        <f>('Cash Flows'!G23-'Cash Flows'!F23)*-1</f>
        <v>433</v>
      </c>
      <c r="L28" s="39">
        <f>('Cash Flows'!H23-'Cash Flows'!G23)*-1</f>
        <v>530</v>
      </c>
      <c r="M28" s="39">
        <f>('Cash Flows'!I23-'Cash Flows'!H23)*-1</f>
        <v>509</v>
      </c>
      <c r="N28" s="39">
        <f>-1*'Cash Flows'!J23</f>
        <v>248</v>
      </c>
      <c r="O28" s="39">
        <f>('Cash Flows'!K23-'Cash Flows'!J23)*-1</f>
        <v>289</v>
      </c>
      <c r="P28" s="39">
        <f>('Cash Flows'!L23-'Cash Flows'!K23)*-1</f>
        <v>278</v>
      </c>
      <c r="Q28" s="39">
        <f>('Cash Flows'!M23-'Cash Flows'!L23)*-1</f>
        <v>254</v>
      </c>
      <c r="R28" s="141">
        <f>'Fixed Assets'!P6</f>
        <v>628.51576709044002</v>
      </c>
      <c r="S28" s="141">
        <f>'Fixed Assets'!Q6</f>
        <v>623.56289837626628</v>
      </c>
      <c r="T28" s="141">
        <f>'Fixed Assets'!R6</f>
        <v>725.54902410612249</v>
      </c>
      <c r="U28" s="141">
        <f>'Fixed Assets'!S6</f>
        <v>679.55334745670098</v>
      </c>
      <c r="V28" s="141">
        <f>'Fixed Assets'!T6</f>
        <v>257.62523284615054</v>
      </c>
      <c r="W28" s="141">
        <f>'Fixed Assets'!U6</f>
        <v>767.91674538343705</v>
      </c>
      <c r="X28" s="141">
        <f>'Fixed Assets'!V6</f>
        <v>533.14645509237835</v>
      </c>
      <c r="Y28" s="141">
        <f>'Fixed Assets'!W6</f>
        <v>543.75506005077023</v>
      </c>
      <c r="Z28" s="141">
        <v>2179</v>
      </c>
      <c r="AA28" s="141">
        <v>4046</v>
      </c>
      <c r="AB28" s="141">
        <v>4457</v>
      </c>
    </row>
    <row r="29" spans="1:28" x14ac:dyDescent="0.25">
      <c r="B29" s="8" t="s">
        <v>383</v>
      </c>
      <c r="F29" s="66">
        <f>F28/F$10</f>
        <v>5.2640876170287933E-2</v>
      </c>
      <c r="G29" s="66">
        <f t="shared" ref="G29:P29" si="30">G28/G$10</f>
        <v>2.8123559243891195E-2</v>
      </c>
      <c r="H29" s="66">
        <f t="shared" si="30"/>
        <v>3.1254399549486132E-2</v>
      </c>
      <c r="I29" s="66">
        <f t="shared" si="30"/>
        <v>3.5718958524139734E-2</v>
      </c>
      <c r="J29" s="66">
        <f t="shared" si="30"/>
        <v>4.355694980694981E-2</v>
      </c>
      <c r="K29" s="66">
        <f t="shared" si="30"/>
        <v>6.4588305489260145E-2</v>
      </c>
      <c r="L29" s="66">
        <f t="shared" si="30"/>
        <v>8.9360984656887535E-2</v>
      </c>
      <c r="M29" s="66">
        <f t="shared" si="30"/>
        <v>8.4118327549165428E-2</v>
      </c>
      <c r="N29" s="66">
        <f t="shared" si="30"/>
        <v>3.4482758620689655E-2</v>
      </c>
      <c r="O29" s="66">
        <f t="shared" si="30"/>
        <v>2.1396313022877027E-2</v>
      </c>
      <c r="P29" s="66">
        <f t="shared" si="30"/>
        <v>1.5342163355408389E-2</v>
      </c>
      <c r="Q29" s="66">
        <f t="shared" ref="Q29:AB29" si="31">Q28/Q$10</f>
        <v>1.149165271682577E-2</v>
      </c>
      <c r="R29" s="66">
        <f t="shared" si="31"/>
        <v>2.6028730984819646E-2</v>
      </c>
      <c r="S29" s="66">
        <f t="shared" si="31"/>
        <v>2.3891298788362693E-2</v>
      </c>
      <c r="T29" s="66">
        <f t="shared" si="31"/>
        <v>2.547126642464885E-2</v>
      </c>
      <c r="U29" s="66">
        <f t="shared" si="31"/>
        <v>2.2287014117500278E-2</v>
      </c>
      <c r="V29" s="66">
        <f t="shared" si="31"/>
        <v>8.5473352856955814E-3</v>
      </c>
      <c r="W29" s="66">
        <f t="shared" si="31"/>
        <v>2.3611255879371844E-2</v>
      </c>
      <c r="X29" s="66">
        <f t="shared" si="31"/>
        <v>1.5903742321538579E-2</v>
      </c>
      <c r="Y29" s="66">
        <f t="shared" si="31"/>
        <v>1.5750363813385251E-2</v>
      </c>
      <c r="Z29" s="66">
        <f t="shared" si="31"/>
        <v>1.4705584612788931E-2</v>
      </c>
      <c r="AA29" s="66">
        <f t="shared" si="31"/>
        <v>2.4266196456631521E-2</v>
      </c>
      <c r="AB29" s="66">
        <f t="shared" si="31"/>
        <v>2.4027472290507612E-2</v>
      </c>
    </row>
    <row r="30" spans="1:28" x14ac:dyDescent="0.25">
      <c r="R30" s="3"/>
      <c r="S30" s="59"/>
      <c r="T30" s="59">
        <f>SUM(R28:U28)</f>
        <v>2657.1810370295298</v>
      </c>
      <c r="U30" s="59"/>
      <c r="V30" s="3"/>
      <c r="W30" s="3"/>
      <c r="X30" s="3"/>
      <c r="Y30" s="3"/>
      <c r="Z30" s="3"/>
      <c r="AA30" s="3"/>
      <c r="AB30" s="3"/>
    </row>
    <row r="31" spans="1:28" x14ac:dyDescent="0.25">
      <c r="B31" t="s">
        <v>374</v>
      </c>
      <c r="F31" s="39">
        <f>'Working Capital'!E15</f>
        <v>887</v>
      </c>
      <c r="G31" s="39">
        <f>'Working Capital'!F15</f>
        <v>249</v>
      </c>
      <c r="H31" s="39">
        <f>'Working Capital'!G15</f>
        <v>192</v>
      </c>
      <c r="I31" s="39">
        <f>'Working Capital'!H15</f>
        <v>390</v>
      </c>
      <c r="J31" s="39">
        <f>'Working Capital'!I15</f>
        <v>389</v>
      </c>
      <c r="K31" s="39">
        <f>'Working Capital'!J15</f>
        <v>382</v>
      </c>
      <c r="L31" s="39">
        <f>'Working Capital'!K15</f>
        <v>417</v>
      </c>
      <c r="M31" s="39">
        <f>'Working Capital'!L15</f>
        <v>-10</v>
      </c>
      <c r="N31" s="39">
        <f>'Working Capital'!M15</f>
        <v>-911</v>
      </c>
      <c r="O31" s="39">
        <f>'Working Capital'!N15</f>
        <v>136</v>
      </c>
      <c r="P31" s="39">
        <f>'Working Capital'!O15</f>
        <v>2836</v>
      </c>
      <c r="Q31" s="39">
        <f>'Working Capital'!P15</f>
        <v>2455</v>
      </c>
      <c r="R31" s="141">
        <f>'Working Capital'!Q15</f>
        <v>828.18890083484803</v>
      </c>
      <c r="S31" s="141">
        <f>'Working Capital'!R15</f>
        <v>7149.060679966442</v>
      </c>
      <c r="T31" s="141">
        <f>'Working Capital'!S15</f>
        <v>-1049.4840425883867</v>
      </c>
      <c r="U31" s="141">
        <f>'Working Capital'!T15</f>
        <v>809.35880221261868</v>
      </c>
      <c r="V31" s="141">
        <f>'Working Capital'!U15</f>
        <v>-293.16780602250583</v>
      </c>
      <c r="W31" s="141">
        <f>'Working Capital'!V15</f>
        <v>1134.9574475801965</v>
      </c>
      <c r="X31" s="141">
        <f>'Working Capital'!W15</f>
        <v>1157.3523335976934</v>
      </c>
      <c r="Y31" s="141">
        <f>'Working Capital'!X15</f>
        <v>-65.812513008135284</v>
      </c>
      <c r="Z31" s="141">
        <v>2659</v>
      </c>
      <c r="AA31" s="141">
        <v>2624</v>
      </c>
      <c r="AB31" s="141">
        <v>2652</v>
      </c>
    </row>
    <row r="32" spans="1:28" x14ac:dyDescent="0.25">
      <c r="B32" s="8" t="s">
        <v>383</v>
      </c>
      <c r="F32" s="66">
        <f>F31/F$10</f>
        <v>0.15668609786256846</v>
      </c>
      <c r="G32" s="66">
        <f t="shared" ref="G32:Q32" si="32">G31/G$10</f>
        <v>3.8266482249884742E-2</v>
      </c>
      <c r="H32" s="66">
        <f t="shared" si="32"/>
        <v>2.7030832042798818E-2</v>
      </c>
      <c r="I32" s="66">
        <f t="shared" si="32"/>
        <v>5.102708360591391E-2</v>
      </c>
      <c r="J32" s="66">
        <f t="shared" si="32"/>
        <v>4.6935328185328189E-2</v>
      </c>
      <c r="K32" s="66">
        <f t="shared" si="32"/>
        <v>5.6980906921241053E-2</v>
      </c>
      <c r="L32" s="66">
        <f t="shared" si="32"/>
        <v>7.0308548305513405E-2</v>
      </c>
      <c r="M32" s="66">
        <f t="shared" si="32"/>
        <v>-1.6526194017517765E-3</v>
      </c>
      <c r="N32" s="66">
        <f t="shared" si="32"/>
        <v>-0.12666852057842046</v>
      </c>
      <c r="O32" s="66">
        <f t="shared" si="32"/>
        <v>1.0068853187236248E-2</v>
      </c>
      <c r="P32" s="66">
        <f t="shared" si="32"/>
        <v>0.15651214128035321</v>
      </c>
      <c r="Q32" s="66">
        <f t="shared" si="32"/>
        <v>0.11107089535357191</v>
      </c>
      <c r="R32" s="66">
        <f t="shared" ref="R32" si="33">R31/R$10</f>
        <v>3.4297796862336853E-2</v>
      </c>
      <c r="S32" s="66">
        <f t="shared" ref="S32" si="34">S31/S$10</f>
        <v>0.2739103708799403</v>
      </c>
      <c r="T32" s="66">
        <f t="shared" ref="T32" si="35">T31/T$10</f>
        <v>-3.6843392753673397E-2</v>
      </c>
      <c r="U32" s="66">
        <f t="shared" ref="U32" si="36">U31/U$10</f>
        <v>2.6544186881788681E-2</v>
      </c>
      <c r="V32" s="66">
        <f t="shared" ref="V32" si="37">V31/V$10</f>
        <v>-9.7265454371953768E-3</v>
      </c>
      <c r="W32" s="66">
        <f t="shared" ref="W32" si="38">W31/W$10</f>
        <v>3.4896713567086082E-2</v>
      </c>
      <c r="X32" s="66">
        <f t="shared" ref="X32" si="39">X31/X$10</f>
        <v>3.452378443664194E-2</v>
      </c>
      <c r="Y32" s="66">
        <f t="shared" ref="Y32" si="40">Y31/Y$10</f>
        <v>-1.906319774301495E-3</v>
      </c>
      <c r="Z32" s="66">
        <f>Z31/Z$10</f>
        <v>1.7944997469208707E-2</v>
      </c>
      <c r="AA32" s="66">
        <f>AA31/AA$10</f>
        <v>1.5737641992634974E-2</v>
      </c>
      <c r="AB32" s="66">
        <f>AB31/AB$10</f>
        <v>1.4296804243757278E-2</v>
      </c>
    </row>
    <row r="33" spans="1:28" x14ac:dyDescent="0.25">
      <c r="B33" s="8" t="s">
        <v>385</v>
      </c>
      <c r="G33" s="66">
        <f t="shared" ref="G33:Q33" si="41">G31/(G10-F10)</f>
        <v>0.29432624113475175</v>
      </c>
      <c r="H33" s="66">
        <f t="shared" si="41"/>
        <v>0.32214765100671139</v>
      </c>
      <c r="I33" s="66">
        <f t="shared" si="41"/>
        <v>0.72222222222222221</v>
      </c>
      <c r="J33" s="66">
        <f t="shared" si="41"/>
        <v>0.60310077519379846</v>
      </c>
      <c r="K33" s="66">
        <f t="shared" si="41"/>
        <v>-0.24116161616161616</v>
      </c>
      <c r="L33" s="66">
        <f t="shared" si="41"/>
        <v>-0.5394566623544631</v>
      </c>
      <c r="M33" s="66">
        <f t="shared" si="41"/>
        <v>-8.3333333333333329E-2</v>
      </c>
      <c r="N33" s="66">
        <f t="shared" si="41"/>
        <v>-0.79842243645924627</v>
      </c>
      <c r="O33" s="66">
        <f t="shared" si="41"/>
        <v>2.1536025336500397E-2</v>
      </c>
      <c r="P33" s="66">
        <f t="shared" si="41"/>
        <v>0.61478430522436589</v>
      </c>
      <c r="Q33" s="66">
        <f t="shared" si="41"/>
        <v>0.61636957067537035</v>
      </c>
      <c r="R33" s="66">
        <f t="shared" ref="R33:Y33" si="42">R31/(R10-Q10)</f>
        <v>0.40518047986049316</v>
      </c>
      <c r="S33" s="66">
        <f t="shared" si="42"/>
        <v>3.6605533435568058</v>
      </c>
      <c r="T33" s="66">
        <f t="shared" si="42"/>
        <v>-0.44003523798255206</v>
      </c>
      <c r="U33" s="66">
        <f t="shared" si="42"/>
        <v>0.40346899412393755</v>
      </c>
      <c r="V33" s="66">
        <f t="shared" si="42"/>
        <v>0.83762230292144524</v>
      </c>
      <c r="W33" s="66">
        <f t="shared" si="42"/>
        <v>0.47640581261236686</v>
      </c>
      <c r="X33" s="66">
        <f t="shared" si="42"/>
        <v>1.1573523335976934</v>
      </c>
      <c r="Y33" s="66">
        <f t="shared" si="42"/>
        <v>-6.5812513008135287E-2</v>
      </c>
      <c r="Z33" s="66">
        <f>Z31/(Z10-Y10)</f>
        <v>2.3396049332023289E-2</v>
      </c>
      <c r="AA33" s="66">
        <f>AA31/(AA10-Z10)</f>
        <v>0.14138692817500942</v>
      </c>
      <c r="AB33" s="66">
        <f t="shared" ref="AB33" si="43">AB31/(AB10-AA10)</f>
        <v>0.14134953629677008</v>
      </c>
    </row>
    <row r="35" spans="1:28" x14ac:dyDescent="0.25">
      <c r="B35" s="4" t="s">
        <v>2</v>
      </c>
      <c r="C35" s="5"/>
      <c r="D35" s="5"/>
      <c r="E35" s="5"/>
      <c r="F35" s="5" t="s">
        <v>37</v>
      </c>
      <c r="G35" s="5" t="str">
        <f>IF(MID(F35,2,1)="4","Q1 "&amp;RIGHT(F35,4)+1, "Q"&amp;MID(F35,2,1)+1&amp;" "&amp;RIGHT(F35,4))</f>
        <v>Q2 2022</v>
      </c>
      <c r="H35" s="5" t="str">
        <f t="shared" ref="H35:P35" si="44">IF(MID(G35,2,1)="4","Q1 "&amp;RIGHT(G35,4)+1, "Q"&amp;MID(G35,2,1)+1&amp;" "&amp;RIGHT(G35,4))</f>
        <v>Q3 2022</v>
      </c>
      <c r="I35" s="5" t="str">
        <f t="shared" si="44"/>
        <v>Q4 2022</v>
      </c>
      <c r="J35" s="5" t="str">
        <f t="shared" si="44"/>
        <v>Q1 2023</v>
      </c>
      <c r="K35" s="5" t="str">
        <f t="shared" si="44"/>
        <v>Q2 2023</v>
      </c>
      <c r="L35" s="5" t="str">
        <f t="shared" si="44"/>
        <v>Q3 2023</v>
      </c>
      <c r="M35" s="5" t="str">
        <f t="shared" si="44"/>
        <v>Q4 2023</v>
      </c>
      <c r="N35" s="5" t="str">
        <f t="shared" si="44"/>
        <v>Q1 2024</v>
      </c>
      <c r="O35" s="5" t="str">
        <f t="shared" si="44"/>
        <v>Q2 2024</v>
      </c>
      <c r="P35" s="5" t="str">
        <f t="shared" si="44"/>
        <v>Q3 2024</v>
      </c>
      <c r="Q35" s="5" t="str">
        <f>IF(MID(P35,2,1)="4","Q1 "&amp;RIGHT(P35,4)+1, "Q"&amp;MID(P35,2,1)+1&amp;" "&amp;RIGHT(P35,4))</f>
        <v>Q4 2024</v>
      </c>
    </row>
    <row r="36" spans="1:28" x14ac:dyDescent="0.25">
      <c r="B36" s="2" t="s">
        <v>5</v>
      </c>
      <c r="F36" s="161" t="s">
        <v>260</v>
      </c>
      <c r="G36" s="161"/>
      <c r="H36" s="161"/>
      <c r="I36" s="161"/>
      <c r="J36" s="161" t="s">
        <v>259</v>
      </c>
      <c r="K36" s="161"/>
      <c r="L36" s="161"/>
      <c r="M36" s="161"/>
      <c r="N36" s="161" t="s">
        <v>258</v>
      </c>
      <c r="O36" s="161"/>
      <c r="P36" s="161"/>
      <c r="V36" s="107"/>
      <c r="W36" s="107"/>
    </row>
    <row r="37" spans="1:28" x14ac:dyDescent="0.25">
      <c r="A37" s="3" t="s">
        <v>1</v>
      </c>
      <c r="B37" t="s">
        <v>6</v>
      </c>
      <c r="D37" s="40">
        <v>2</v>
      </c>
      <c r="F37" t="s">
        <v>380</v>
      </c>
      <c r="H37" s="105">
        <v>0.8</v>
      </c>
      <c r="N37" t="s">
        <v>380</v>
      </c>
      <c r="P37" s="105">
        <v>1.2</v>
      </c>
    </row>
    <row r="38" spans="1:28" x14ac:dyDescent="0.25">
      <c r="B38" t="s">
        <v>25</v>
      </c>
      <c r="D38" s="40">
        <v>2</v>
      </c>
      <c r="F38" t="s">
        <v>379</v>
      </c>
      <c r="H38" s="110">
        <f>AB50</f>
        <v>9.0021231422505288E-2</v>
      </c>
      <c r="J38" t="s">
        <v>379</v>
      </c>
      <c r="L38" s="110">
        <v>0.06</v>
      </c>
      <c r="N38" t="s">
        <v>379</v>
      </c>
      <c r="P38" s="110">
        <f>AB52</f>
        <v>0.13503184713375793</v>
      </c>
    </row>
    <row r="39" spans="1:28" x14ac:dyDescent="0.25">
      <c r="B39" t="s">
        <v>15</v>
      </c>
      <c r="D39" s="40">
        <v>2</v>
      </c>
      <c r="F39" t="s">
        <v>381</v>
      </c>
      <c r="H39" s="105">
        <v>0.9</v>
      </c>
      <c r="I39" s="3"/>
      <c r="N39" t="s">
        <v>381</v>
      </c>
      <c r="P39" s="105">
        <v>1.1000000000000001</v>
      </c>
    </row>
    <row r="40" spans="1:28" x14ac:dyDescent="0.25">
      <c r="B40" t="s">
        <v>26</v>
      </c>
      <c r="D40" s="40">
        <v>2</v>
      </c>
      <c r="J40" t="s">
        <v>49</v>
      </c>
      <c r="L40" s="105">
        <v>0.17</v>
      </c>
    </row>
    <row r="41" spans="1:28" x14ac:dyDescent="0.25">
      <c r="H41" s="3"/>
      <c r="L41" s="3"/>
      <c r="P41" s="3"/>
      <c r="W41" s="29"/>
      <c r="X41" s="29"/>
    </row>
    <row r="42" spans="1:28" x14ac:dyDescent="0.25">
      <c r="B42" t="s">
        <v>15</v>
      </c>
      <c r="D42" s="138">
        <f>CHOOSE(D39,H42,L42,P42)</f>
        <v>0.10282706691781643</v>
      </c>
      <c r="F42" t="s">
        <v>15</v>
      </c>
      <c r="H42" s="110">
        <f>L42+0.01</f>
        <v>0.11282706691781642</v>
      </c>
      <c r="J42" t="s">
        <v>15</v>
      </c>
      <c r="L42" s="110">
        <f>WACC!F20</f>
        <v>0.10282706691781643</v>
      </c>
      <c r="N42" t="s">
        <v>15</v>
      </c>
      <c r="P42" s="110">
        <f>L42-0.01</f>
        <v>9.2827066917816434E-2</v>
      </c>
      <c r="AA42" s="29"/>
    </row>
    <row r="43" spans="1:28" x14ac:dyDescent="0.25">
      <c r="B43" t="s">
        <v>26</v>
      </c>
      <c r="D43" s="138">
        <f>CHOOSE(D40,H43,L43,P43)</f>
        <v>3.5000000000000003E-2</v>
      </c>
      <c r="F43" t="s">
        <v>26</v>
      </c>
      <c r="H43" s="143">
        <v>0.03</v>
      </c>
      <c r="J43" t="s">
        <v>26</v>
      </c>
      <c r="L43" s="143">
        <v>3.5000000000000003E-2</v>
      </c>
      <c r="N43" t="s">
        <v>26</v>
      </c>
      <c r="P43" s="143">
        <v>0.04</v>
      </c>
    </row>
    <row r="44" spans="1:28" x14ac:dyDescent="0.25">
      <c r="D44" s="159"/>
      <c r="H44" s="160"/>
      <c r="L44" s="160"/>
      <c r="P44" s="160"/>
    </row>
    <row r="45" spans="1:28" x14ac:dyDescent="0.25">
      <c r="D45" s="159"/>
      <c r="H45" s="160"/>
      <c r="L45" s="160"/>
      <c r="P45" s="160"/>
    </row>
    <row r="46" spans="1:28" x14ac:dyDescent="0.25">
      <c r="D46" s="159"/>
      <c r="H46" s="160"/>
      <c r="L46" s="160"/>
      <c r="P46" s="160"/>
    </row>
    <row r="47" spans="1:28" x14ac:dyDescent="0.25">
      <c r="B47" s="4" t="s">
        <v>3</v>
      </c>
      <c r="C47" s="5"/>
      <c r="D47" s="5"/>
      <c r="E47" s="5"/>
      <c r="F47" s="5" t="s">
        <v>37</v>
      </c>
      <c r="G47" s="5" t="str">
        <f>IF(MID(F47,2,1)="4","Q1 "&amp;RIGHT(F47,4)+1, "Q"&amp;MID(F47,2,1)+1&amp;" "&amp;RIGHT(F47,4))</f>
        <v>Q2 2022</v>
      </c>
      <c r="H47" s="5" t="str">
        <f t="shared" ref="H47:P47" si="45">IF(MID(G47,2,1)="4","Q1 "&amp;RIGHT(G47,4)+1, "Q"&amp;MID(G47,2,1)+1&amp;" "&amp;RIGHT(G47,4))</f>
        <v>Q3 2022</v>
      </c>
      <c r="I47" s="5" t="str">
        <f t="shared" si="45"/>
        <v>Q4 2022</v>
      </c>
      <c r="J47" s="5" t="str">
        <f t="shared" si="45"/>
        <v>Q1 2023</v>
      </c>
      <c r="K47" s="5" t="str">
        <f t="shared" si="45"/>
        <v>Q2 2023</v>
      </c>
      <c r="L47" s="5" t="str">
        <f t="shared" si="45"/>
        <v>Q3 2023</v>
      </c>
      <c r="M47" s="5" t="str">
        <f t="shared" si="45"/>
        <v>Q4 2023</v>
      </c>
      <c r="N47" s="5" t="str">
        <f t="shared" si="45"/>
        <v>Q1 2024</v>
      </c>
      <c r="O47" s="5" t="str">
        <f t="shared" si="45"/>
        <v>Q2 2024</v>
      </c>
      <c r="P47" s="5" t="str">
        <f t="shared" si="45"/>
        <v>Q3 2024</v>
      </c>
      <c r="Q47" s="5" t="str">
        <f>IF(MID(P47,2,1)="4","Q1 "&amp;RIGHT(P47,4)+1, "Q"&amp;MID(P47,2,1)+1&amp;" "&amp;RIGHT(P47,4))</f>
        <v>Q4 2024</v>
      </c>
      <c r="R47" s="34" t="str">
        <f>IF(MID(Q47,2,1)="4","Q1 "&amp;RIGHT(Q47,4)+1, "Q"&amp;MID(Q47,2,1)+1&amp;" "&amp;RIGHT(Q47,4))</f>
        <v>Q1 2025</v>
      </c>
      <c r="S47" s="34" t="str">
        <f t="shared" ref="S47:Y47" si="46">IF(MID(R47,2,1)="4","Q1 "&amp;RIGHT(R47,4)+1, "Q"&amp;MID(R47,2,1)+1&amp;" "&amp;RIGHT(R47,4))</f>
        <v>Q2 2025</v>
      </c>
      <c r="T47" s="34" t="str">
        <f t="shared" si="46"/>
        <v>Q3 2025</v>
      </c>
      <c r="U47" s="34" t="str">
        <f t="shared" si="46"/>
        <v>Q4 2025</v>
      </c>
      <c r="V47" s="34" t="str">
        <f t="shared" si="46"/>
        <v>Q1 2026</v>
      </c>
      <c r="W47" s="34" t="str">
        <f t="shared" si="46"/>
        <v>Q2 2026</v>
      </c>
      <c r="X47" s="34" t="str">
        <f t="shared" si="46"/>
        <v>Q3 2026</v>
      </c>
      <c r="Y47" s="34" t="str">
        <f t="shared" si="46"/>
        <v>Q4 2026</v>
      </c>
      <c r="Z47" s="139">
        <v>2027</v>
      </c>
      <c r="AA47" s="139">
        <v>2028</v>
      </c>
      <c r="AB47" s="139">
        <v>2029</v>
      </c>
    </row>
    <row r="48" spans="1:28" x14ac:dyDescent="0.25">
      <c r="B48" t="s">
        <v>6</v>
      </c>
      <c r="F48" s="113" t="str">
        <f t="shared" ref="F48:Q48" si="47">F10</f>
        <v>5,661</v>
      </c>
      <c r="G48" s="113" t="str">
        <f t="shared" si="47"/>
        <v>6,507</v>
      </c>
      <c r="H48" s="113">
        <f t="shared" si="47"/>
        <v>7103</v>
      </c>
      <c r="I48" s="113">
        <f t="shared" si="47"/>
        <v>7643</v>
      </c>
      <c r="J48" s="113">
        <f t="shared" si="47"/>
        <v>8288</v>
      </c>
      <c r="K48" s="113" t="str">
        <f t="shared" si="47"/>
        <v>6,704</v>
      </c>
      <c r="L48" s="113" t="str">
        <f t="shared" si="47"/>
        <v>5,931</v>
      </c>
      <c r="M48" s="113">
        <f t="shared" si="47"/>
        <v>6051</v>
      </c>
      <c r="N48" s="113">
        <f t="shared" si="47"/>
        <v>7192</v>
      </c>
      <c r="O48" s="113">
        <f t="shared" si="47"/>
        <v>13507</v>
      </c>
      <c r="P48" s="113">
        <f t="shared" si="47"/>
        <v>18120</v>
      </c>
      <c r="Q48" s="113">
        <f t="shared" si="47"/>
        <v>22103</v>
      </c>
      <c r="R48" s="39">
        <f ca="1">Q48*(1+R49)</f>
        <v>24147</v>
      </c>
      <c r="S48" s="39">
        <f t="shared" ref="S48:Y48" ca="1" si="48">R48*(1+S49)</f>
        <v>26100</v>
      </c>
      <c r="T48" s="39">
        <f t="shared" ca="1" si="48"/>
        <v>28484.999999999996</v>
      </c>
      <c r="U48" s="39">
        <f t="shared" ca="1" si="48"/>
        <v>30491</v>
      </c>
      <c r="V48" s="39">
        <f t="shared" ca="1" si="48"/>
        <v>30141</v>
      </c>
      <c r="W48" s="39">
        <f t="shared" ca="1" si="48"/>
        <v>32523.333333333336</v>
      </c>
      <c r="X48" s="39">
        <f t="shared" ca="1" si="48"/>
        <v>33523.333333333336</v>
      </c>
      <c r="Y48" s="39">
        <f t="shared" ca="1" si="48"/>
        <v>34523.333333333336</v>
      </c>
      <c r="Z48" s="39">
        <v>148175</v>
      </c>
      <c r="AA48" s="39">
        <v>166734</v>
      </c>
      <c r="AB48" s="39">
        <v>185496</v>
      </c>
    </row>
    <row r="49" spans="1:28" x14ac:dyDescent="0.25">
      <c r="A49" s="3" t="s">
        <v>1</v>
      </c>
      <c r="B49" s="8" t="s">
        <v>30</v>
      </c>
      <c r="G49" s="66">
        <f t="shared" ref="G49:Q49" si="49">G11</f>
        <v>0.14944356120826718</v>
      </c>
      <c r="H49" s="66">
        <f t="shared" si="49"/>
        <v>9.1593668357153879E-2</v>
      </c>
      <c r="I49" s="66">
        <f t="shared" si="49"/>
        <v>7.6024215120371608E-2</v>
      </c>
      <c r="J49" s="66">
        <f t="shared" si="49"/>
        <v>8.4390945963626951E-2</v>
      </c>
      <c r="K49" s="66">
        <f t="shared" si="49"/>
        <v>-0.19111969111969107</v>
      </c>
      <c r="L49" s="66">
        <f t="shared" si="49"/>
        <v>-0.11530429594272074</v>
      </c>
      <c r="M49" s="66">
        <f t="shared" si="49"/>
        <v>2.0232675771370667E-2</v>
      </c>
      <c r="N49" s="66">
        <f t="shared" si="49"/>
        <v>0.1885638737398776</v>
      </c>
      <c r="O49" s="66">
        <f t="shared" si="49"/>
        <v>0.87805895439377091</v>
      </c>
      <c r="P49" s="66">
        <f t="shared" si="49"/>
        <v>0.34152661582882948</v>
      </c>
      <c r="Q49" s="66">
        <f t="shared" si="49"/>
        <v>0.21981236203090515</v>
      </c>
      <c r="R49" s="66">
        <f ca="1">OFFSET(R49,$D$37,0)</f>
        <v>9.2476134461385362E-2</v>
      </c>
      <c r="S49" s="66">
        <f t="shared" ref="S49:AB49" ca="1" si="50">OFFSET(S49,$D$37,0)</f>
        <v>8.0879612374207932E-2</v>
      </c>
      <c r="T49" s="66">
        <f t="shared" ca="1" si="50"/>
        <v>9.1379310344827491E-2</v>
      </c>
      <c r="U49" s="66">
        <f t="shared" ca="1" si="50"/>
        <v>7.0423029664735903E-2</v>
      </c>
      <c r="V49" s="66">
        <f t="shared" ca="1" si="50"/>
        <v>-1.1478797022072107E-2</v>
      </c>
      <c r="W49" s="66">
        <f t="shared" ca="1" si="50"/>
        <v>7.9039624874202463E-2</v>
      </c>
      <c r="X49" s="66">
        <f t="shared" ca="1" si="50"/>
        <v>3.0747155888080302E-2</v>
      </c>
      <c r="Y49" s="66">
        <f t="shared" ca="1" si="50"/>
        <v>2.9829969175698468E-2</v>
      </c>
      <c r="Z49" s="66">
        <f t="shared" ca="1" si="50"/>
        <v>0.13360773003037241</v>
      </c>
      <c r="AA49" s="66">
        <f t="shared" ca="1" si="50"/>
        <v>0.12525054833811367</v>
      </c>
      <c r="AB49" s="66">
        <f t="shared" ca="1" si="50"/>
        <v>0.11252653927813161</v>
      </c>
    </row>
    <row r="50" spans="1:28" x14ac:dyDescent="0.25">
      <c r="B50" s="2" t="s">
        <v>27</v>
      </c>
      <c r="R50" s="108">
        <v>9.2476134461385404E-2</v>
      </c>
      <c r="S50" s="110">
        <f>S51*$H$37</f>
        <v>6.4703689899366354E-2</v>
      </c>
      <c r="T50" s="110">
        <f t="shared" ref="T50:W50" si="51">T51*$H$37</f>
        <v>7.3103448275862001E-2</v>
      </c>
      <c r="U50" s="110">
        <f t="shared" si="51"/>
        <v>5.6338423731788725E-2</v>
      </c>
      <c r="V50" s="110">
        <f t="shared" si="51"/>
        <v>-9.1830376176576852E-3</v>
      </c>
      <c r="W50" s="110">
        <f t="shared" si="51"/>
        <v>6.3231699899361976E-2</v>
      </c>
      <c r="X50" s="110">
        <f>X51*$H$37</f>
        <v>2.4597724710464244E-2</v>
      </c>
      <c r="Y50" s="110">
        <f>Y51*$H$37</f>
        <v>2.3863975340558775E-2</v>
      </c>
      <c r="Z50" s="110">
        <f>Z51*$H$37</f>
        <v>0.10688618402429793</v>
      </c>
      <c r="AA50" s="110">
        <f t="shared" ref="AA50:AB50" si="52">AA51*$H$37</f>
        <v>0.10020043867049094</v>
      </c>
      <c r="AB50" s="110">
        <f t="shared" si="52"/>
        <v>9.0021231422505288E-2</v>
      </c>
    </row>
    <row r="51" spans="1:28" x14ac:dyDescent="0.25">
      <c r="B51" s="2" t="s">
        <v>28</v>
      </c>
      <c r="R51" s="108">
        <v>9.2476134461385362E-2</v>
      </c>
      <c r="S51" s="108">
        <v>8.0879612374207932E-2</v>
      </c>
      <c r="T51" s="108">
        <v>9.1379310344827491E-2</v>
      </c>
      <c r="U51" s="108">
        <v>7.0423029664735903E-2</v>
      </c>
      <c r="V51" s="108">
        <v>-1.1478797022072107E-2</v>
      </c>
      <c r="W51" s="108">
        <v>7.9039624874202463E-2</v>
      </c>
      <c r="X51" s="108">
        <v>3.0747155888080302E-2</v>
      </c>
      <c r="Y51" s="108">
        <v>2.9829969175698468E-2</v>
      </c>
      <c r="Z51" s="110">
        <v>0.13360773003037241</v>
      </c>
      <c r="AA51" s="143">
        <v>0.12525054833811367</v>
      </c>
      <c r="AB51" s="108">
        <v>0.11252653927813161</v>
      </c>
    </row>
    <row r="52" spans="1:28" x14ac:dyDescent="0.25">
      <c r="B52" s="2" t="s">
        <v>29</v>
      </c>
      <c r="R52" s="108">
        <v>9.2476134461385404E-2</v>
      </c>
      <c r="S52" s="111">
        <f>S51*$P$37</f>
        <v>9.705553484904951E-2</v>
      </c>
      <c r="T52" s="111">
        <f t="shared" ref="T52:X52" si="53">T51*$P$37</f>
        <v>0.10965517241379298</v>
      </c>
      <c r="U52" s="111">
        <f t="shared" si="53"/>
        <v>8.4507635597683081E-2</v>
      </c>
      <c r="V52" s="111">
        <f t="shared" si="53"/>
        <v>-1.3774556426486529E-2</v>
      </c>
      <c r="W52" s="111">
        <f t="shared" si="53"/>
        <v>9.484754984904295E-2</v>
      </c>
      <c r="X52" s="111">
        <f t="shared" si="53"/>
        <v>3.689658706569636E-2</v>
      </c>
      <c r="Y52" s="111">
        <f>Y51*$P$37</f>
        <v>3.5795963010838157E-2</v>
      </c>
      <c r="Z52" s="110">
        <f>Z51*$P$37</f>
        <v>0.16032927603644689</v>
      </c>
      <c r="AA52" s="110">
        <f t="shared" ref="AA52:AB52" si="54">AA51*$P$37</f>
        <v>0.15030065800573639</v>
      </c>
      <c r="AB52" s="110">
        <f t="shared" si="54"/>
        <v>0.13503184713375793</v>
      </c>
    </row>
    <row r="54" spans="1:28" x14ac:dyDescent="0.25">
      <c r="B54" t="s">
        <v>25</v>
      </c>
      <c r="F54" s="113">
        <f t="shared" ref="F54:Q54" si="55">F16</f>
        <v>1909</v>
      </c>
      <c r="G54" s="113">
        <f t="shared" si="55"/>
        <v>2390</v>
      </c>
      <c r="H54" s="113">
        <f t="shared" si="55"/>
        <v>2616</v>
      </c>
      <c r="I54" s="113">
        <f t="shared" si="55"/>
        <v>2919</v>
      </c>
      <c r="J54" s="113">
        <f t="shared" si="55"/>
        <v>1818</v>
      </c>
      <c r="K54" s="113">
        <f t="shared" si="55"/>
        <v>480</v>
      </c>
      <c r="L54" s="113">
        <f t="shared" si="55"/>
        <v>624</v>
      </c>
      <c r="M54" s="113">
        <f t="shared" si="55"/>
        <v>1307</v>
      </c>
      <c r="N54" s="113">
        <f t="shared" si="55"/>
        <v>2224</v>
      </c>
      <c r="O54" s="113">
        <f t="shared" si="55"/>
        <v>6922</v>
      </c>
      <c r="P54" s="113">
        <f t="shared" si="55"/>
        <v>10588</v>
      </c>
      <c r="Q54" s="113">
        <f t="shared" si="55"/>
        <v>13847</v>
      </c>
      <c r="R54" s="39">
        <f ca="1">R48*R55</f>
        <v>14924.161000000002</v>
      </c>
      <c r="S54" s="39">
        <f t="shared" ref="S54:X54" ca="1" si="56">S48*S55</f>
        <v>17124</v>
      </c>
      <c r="T54" s="39">
        <f t="shared" ca="1" si="56"/>
        <v>18663.999999999996</v>
      </c>
      <c r="U54" s="39">
        <f t="shared" ca="1" si="56"/>
        <v>19954</v>
      </c>
      <c r="V54" s="39">
        <f t="shared" ca="1" si="56"/>
        <v>19692</v>
      </c>
      <c r="W54" s="39">
        <f t="shared" ca="1" si="56"/>
        <v>20997.333333333332</v>
      </c>
      <c r="X54" s="39">
        <f t="shared" ca="1" si="56"/>
        <v>21697.333333333332</v>
      </c>
      <c r="Y54" s="39">
        <f ca="1">Y48*Y55</f>
        <v>22397.333333333332</v>
      </c>
      <c r="Z54" s="39">
        <f ca="1">Z48*Z55</f>
        <v>93892</v>
      </c>
      <c r="AA54" s="39">
        <f ca="1">AA48*AA55</f>
        <v>100843.99999999999</v>
      </c>
      <c r="AB54" s="39">
        <f t="shared" ref="AB54" ca="1" si="57">AB48*AB55</f>
        <v>110000.99999999999</v>
      </c>
    </row>
    <row r="55" spans="1:28" x14ac:dyDescent="0.25">
      <c r="B55" s="8" t="s">
        <v>383</v>
      </c>
      <c r="F55" s="66">
        <f t="shared" ref="F55:Q55" si="58">F17</f>
        <v>0.33721957251369017</v>
      </c>
      <c r="G55" s="66">
        <f t="shared" si="58"/>
        <v>0.36729675733825112</v>
      </c>
      <c r="H55" s="66">
        <f t="shared" si="58"/>
        <v>0.36829508658313387</v>
      </c>
      <c r="I55" s="66">
        <f t="shared" si="58"/>
        <v>0.38191809498887869</v>
      </c>
      <c r="J55" s="66">
        <f t="shared" si="58"/>
        <v>0.21935328185328185</v>
      </c>
      <c r="K55" s="66">
        <f t="shared" si="58"/>
        <v>7.1599045346062054E-2</v>
      </c>
      <c r="L55" s="66">
        <f t="shared" si="58"/>
        <v>0.10520991401112798</v>
      </c>
      <c r="M55" s="66">
        <f t="shared" si="58"/>
        <v>0.21599735580895721</v>
      </c>
      <c r="N55" s="66">
        <f t="shared" si="58"/>
        <v>0.3092324805339266</v>
      </c>
      <c r="O55" s="66">
        <f t="shared" si="58"/>
        <v>0.51247501295624487</v>
      </c>
      <c r="P55" s="66">
        <f t="shared" si="58"/>
        <v>0.58432671081677701</v>
      </c>
      <c r="Q55" s="66">
        <f t="shared" si="58"/>
        <v>0.62647604397593082</v>
      </c>
      <c r="R55" s="37">
        <f ca="1">OFFSET(R55,$D$38,0)</f>
        <v>0.61805445811073845</v>
      </c>
      <c r="S55" s="66">
        <f t="shared" ref="S55:AB55" ca="1" si="59">OFFSET(S55,$D$38,0)</f>
        <v>0.65609195402298848</v>
      </c>
      <c r="T55" s="66">
        <f t="shared" ca="1" si="59"/>
        <v>0.65522204669124096</v>
      </c>
      <c r="U55" s="66">
        <f t="shared" ca="1" si="59"/>
        <v>0.65442261650978972</v>
      </c>
      <c r="V55" s="66">
        <f t="shared" ca="1" si="59"/>
        <v>0.65332935204538667</v>
      </c>
      <c r="W55" s="66">
        <f t="shared" ca="1" si="59"/>
        <v>0.64560828123398573</v>
      </c>
      <c r="X55" s="66">
        <f t="shared" ca="1" si="59"/>
        <v>0.64723078452818927</v>
      </c>
      <c r="Y55" s="66">
        <f t="shared" ca="1" si="59"/>
        <v>0.64875929323163073</v>
      </c>
      <c r="Z55" s="66">
        <f t="shared" ca="1" si="59"/>
        <v>0.63365614982284457</v>
      </c>
      <c r="AA55" s="66">
        <f t="shared" ca="1" si="59"/>
        <v>0.60481965286024442</v>
      </c>
      <c r="AB55" s="66">
        <f t="shared" ca="1" si="59"/>
        <v>0.59301009186181908</v>
      </c>
    </row>
    <row r="56" spans="1:28" x14ac:dyDescent="0.25">
      <c r="B56" s="2" t="s">
        <v>27</v>
      </c>
      <c r="R56" s="109">
        <v>0.618054458110738</v>
      </c>
      <c r="S56" s="111">
        <f>S57*$H$39</f>
        <v>0.59048275862068966</v>
      </c>
      <c r="T56" s="111">
        <f t="shared" ref="T56:Y56" si="60">T57*$H$39</f>
        <v>0.58969984202211689</v>
      </c>
      <c r="U56" s="111">
        <f t="shared" si="60"/>
        <v>0.58898035485881073</v>
      </c>
      <c r="V56" s="111">
        <f t="shared" si="60"/>
        <v>0.58799641684084802</v>
      </c>
      <c r="W56" s="111">
        <f t="shared" si="60"/>
        <v>0.58104745311058714</v>
      </c>
      <c r="X56" s="111">
        <f t="shared" si="60"/>
        <v>0.58250770607537039</v>
      </c>
      <c r="Y56" s="111">
        <f t="shared" si="60"/>
        <v>0.58388336390846762</v>
      </c>
      <c r="Z56" s="111">
        <f t="shared" ref="Z56" si="61">Z57*$H$39</f>
        <v>0.57029053484056014</v>
      </c>
      <c r="AA56" s="111">
        <f t="shared" ref="AA56" si="62">AA57*$H$39</f>
        <v>0.54433768757421996</v>
      </c>
      <c r="AB56" s="111">
        <f>AB57*$H$39</f>
        <v>0.53370908267563721</v>
      </c>
    </row>
    <row r="57" spans="1:28" x14ac:dyDescent="0.25">
      <c r="B57" s="2" t="s">
        <v>28</v>
      </c>
      <c r="R57" s="109">
        <v>0.61805445811073845</v>
      </c>
      <c r="S57" s="109">
        <v>0.65609195402298848</v>
      </c>
      <c r="T57" s="109">
        <v>0.65522204669124096</v>
      </c>
      <c r="U57" s="109">
        <v>0.65442261650978972</v>
      </c>
      <c r="V57" s="109">
        <v>0.65332935204538667</v>
      </c>
      <c r="W57" s="109">
        <v>0.64560828123398573</v>
      </c>
      <c r="X57" s="109">
        <v>0.64723078452818927</v>
      </c>
      <c r="Y57" s="109">
        <v>0.64875929323163073</v>
      </c>
      <c r="Z57" s="109">
        <v>0.63365614982284457</v>
      </c>
      <c r="AA57" s="109">
        <v>0.60481965286024442</v>
      </c>
      <c r="AB57" s="109">
        <v>0.59301009186181908</v>
      </c>
    </row>
    <row r="58" spans="1:28" x14ac:dyDescent="0.25">
      <c r="B58" s="2" t="s">
        <v>29</v>
      </c>
      <c r="R58" s="109">
        <v>0.618054458110738</v>
      </c>
      <c r="S58" s="111">
        <f>S57*$P$39</f>
        <v>0.7217011494252874</v>
      </c>
      <c r="T58" s="111">
        <f t="shared" ref="T58:Y58" si="63">T57*$P$39</f>
        <v>0.72074425136036513</v>
      </c>
      <c r="U58" s="111">
        <f t="shared" si="63"/>
        <v>0.71986487816076872</v>
      </c>
      <c r="V58" s="111">
        <f t="shared" si="63"/>
        <v>0.71866228724992542</v>
      </c>
      <c r="W58" s="111">
        <f t="shared" si="63"/>
        <v>0.71016910935738431</v>
      </c>
      <c r="X58" s="111">
        <f t="shared" si="63"/>
        <v>0.71195386298100827</v>
      </c>
      <c r="Y58" s="111">
        <f t="shared" si="63"/>
        <v>0.71363522255479384</v>
      </c>
      <c r="Z58" s="111">
        <f t="shared" ref="Z58" si="64">Z57*$P$39</f>
        <v>0.69702176480512912</v>
      </c>
      <c r="AA58" s="111">
        <f t="shared" ref="AA58" si="65">AA57*$P$39</f>
        <v>0.66530161814626887</v>
      </c>
      <c r="AB58" s="111">
        <f t="shared" ref="AB58" si="66">AB57*$P$39</f>
        <v>0.65231110104800105</v>
      </c>
    </row>
    <row r="60" spans="1:28" x14ac:dyDescent="0.25">
      <c r="B60" t="s">
        <v>49</v>
      </c>
      <c r="R60" s="39">
        <f ca="1">R54*R61</f>
        <v>2537.1073700000006</v>
      </c>
      <c r="S60" s="39">
        <f t="shared" ref="S60:Y60" ca="1" si="67">S54*S61</f>
        <v>2911.0800000000004</v>
      </c>
      <c r="T60" s="39">
        <f t="shared" ca="1" si="67"/>
        <v>3172.8799999999997</v>
      </c>
      <c r="U60" s="39">
        <f t="shared" ca="1" si="67"/>
        <v>3392.1800000000003</v>
      </c>
      <c r="V60" s="39">
        <f t="shared" ca="1" si="67"/>
        <v>3347.6400000000003</v>
      </c>
      <c r="W60" s="39">
        <f t="shared" ca="1" si="67"/>
        <v>3569.5466666666666</v>
      </c>
      <c r="X60" s="39">
        <f t="shared" ca="1" si="67"/>
        <v>3688.5466666666666</v>
      </c>
      <c r="Y60" s="39">
        <f t="shared" ca="1" si="67"/>
        <v>3807.5466666666666</v>
      </c>
      <c r="Z60" s="39">
        <f ca="1">Z54*Z61</f>
        <v>15961.640000000001</v>
      </c>
      <c r="AA60" s="39">
        <f t="shared" ref="AA60" ca="1" si="68">AA54*AA61</f>
        <v>17143.48</v>
      </c>
      <c r="AB60" s="39">
        <f t="shared" ref="AB60" ca="1" si="69">AB54*AB61</f>
        <v>18700.169999999998</v>
      </c>
    </row>
    <row r="61" spans="1:28" x14ac:dyDescent="0.25">
      <c r="B61" s="8" t="s">
        <v>384</v>
      </c>
      <c r="R61" s="137">
        <f t="shared" ref="R61:AB61" si="70">$L$40</f>
        <v>0.17</v>
      </c>
      <c r="S61" s="137">
        <f t="shared" si="70"/>
        <v>0.17</v>
      </c>
      <c r="T61" s="137">
        <f t="shared" si="70"/>
        <v>0.17</v>
      </c>
      <c r="U61" s="137">
        <f t="shared" si="70"/>
        <v>0.17</v>
      </c>
      <c r="V61" s="137">
        <f t="shared" si="70"/>
        <v>0.17</v>
      </c>
      <c r="W61" s="137">
        <f t="shared" si="70"/>
        <v>0.17</v>
      </c>
      <c r="X61" s="137">
        <f t="shared" si="70"/>
        <v>0.17</v>
      </c>
      <c r="Y61" s="137">
        <f t="shared" si="70"/>
        <v>0.17</v>
      </c>
      <c r="Z61" s="137">
        <f t="shared" si="70"/>
        <v>0.17</v>
      </c>
      <c r="AA61" s="137">
        <f t="shared" si="70"/>
        <v>0.17</v>
      </c>
      <c r="AB61" s="137">
        <f t="shared" si="70"/>
        <v>0.17</v>
      </c>
    </row>
    <row r="63" spans="1:28" x14ac:dyDescent="0.25">
      <c r="B63" s="88" t="s">
        <v>373</v>
      </c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112">
        <f ca="1">R54-R60</f>
        <v>12387.053630000002</v>
      </c>
      <c r="S63" s="112">
        <f t="shared" ref="S63:Y63" ca="1" si="71">S54-S60</f>
        <v>14212.92</v>
      </c>
      <c r="T63" s="112">
        <f t="shared" ca="1" si="71"/>
        <v>15491.119999999997</v>
      </c>
      <c r="U63" s="112">
        <f t="shared" ca="1" si="71"/>
        <v>16561.82</v>
      </c>
      <c r="V63" s="112">
        <f t="shared" ca="1" si="71"/>
        <v>16344.36</v>
      </c>
      <c r="W63" s="112">
        <f t="shared" ca="1" si="71"/>
        <v>17427.786666666667</v>
      </c>
      <c r="X63" s="112">
        <f t="shared" ca="1" si="71"/>
        <v>18008.786666666667</v>
      </c>
      <c r="Y63" s="112">
        <f t="shared" ca="1" si="71"/>
        <v>18589.786666666667</v>
      </c>
      <c r="Z63" s="112">
        <f ca="1">Z54-Z60</f>
        <v>77930.36</v>
      </c>
      <c r="AA63" s="112">
        <f t="shared" ref="AA63:AB63" ca="1" si="72">AA54-AA60</f>
        <v>83700.51999999999</v>
      </c>
      <c r="AB63" s="112">
        <f t="shared" ca="1" si="72"/>
        <v>91300.829999999987</v>
      </c>
    </row>
    <row r="65" spans="2:28" x14ac:dyDescent="0.25">
      <c r="B65" t="s">
        <v>31</v>
      </c>
      <c r="F65" s="113">
        <f t="shared" ref="F65:AB65" si="73">F23</f>
        <v>281</v>
      </c>
      <c r="G65" s="113">
        <f t="shared" si="73"/>
        <v>286</v>
      </c>
      <c r="H65" s="113">
        <f t="shared" si="73"/>
        <v>298</v>
      </c>
      <c r="I65" s="113">
        <f t="shared" si="73"/>
        <v>309</v>
      </c>
      <c r="J65" s="113">
        <f t="shared" si="73"/>
        <v>334</v>
      </c>
      <c r="K65" s="113">
        <f t="shared" si="73"/>
        <v>378</v>
      </c>
      <c r="L65" s="113">
        <f t="shared" si="73"/>
        <v>406</v>
      </c>
      <c r="M65" s="113">
        <f t="shared" si="73"/>
        <v>426</v>
      </c>
      <c r="N65" s="113">
        <f t="shared" si="73"/>
        <v>384</v>
      </c>
      <c r="O65" s="113">
        <f t="shared" si="73"/>
        <v>365</v>
      </c>
      <c r="P65" s="113">
        <f t="shared" si="73"/>
        <v>372</v>
      </c>
      <c r="Q65" s="113">
        <f t="shared" si="73"/>
        <v>387</v>
      </c>
      <c r="R65" s="113">
        <f t="shared" si="73"/>
        <v>373.95672797114099</v>
      </c>
      <c r="S65" s="113">
        <f t="shared" si="73"/>
        <v>384.67180820521338</v>
      </c>
      <c r="T65" s="113">
        <f t="shared" si="73"/>
        <v>401.17083548745927</v>
      </c>
      <c r="U65" s="113">
        <f t="shared" si="73"/>
        <v>413.7337159621917</v>
      </c>
      <c r="V65" s="113">
        <f t="shared" si="73"/>
        <v>402.08034621833559</v>
      </c>
      <c r="W65" s="113">
        <f t="shared" si="73"/>
        <v>420.12525384908747</v>
      </c>
      <c r="X65" s="113">
        <f t="shared" si="73"/>
        <v>424.30735878616684</v>
      </c>
      <c r="Y65" s="113">
        <f t="shared" si="73"/>
        <v>429.31608436051209</v>
      </c>
      <c r="Z65" s="113">
        <f t="shared" si="73"/>
        <v>4539</v>
      </c>
      <c r="AA65" s="113">
        <f t="shared" si="73"/>
        <v>5108</v>
      </c>
      <c r="AB65" s="113">
        <f t="shared" si="73"/>
        <v>5682</v>
      </c>
    </row>
    <row r="66" spans="2:28" x14ac:dyDescent="0.25">
      <c r="B66" s="8" t="s">
        <v>383</v>
      </c>
      <c r="F66" s="114">
        <f t="shared" ref="F66:AB66" si="74">F26</f>
        <v>4.9637873167284935E-2</v>
      </c>
      <c r="G66" s="114">
        <f t="shared" si="74"/>
        <v>4.3952666359305365E-2</v>
      </c>
      <c r="H66" s="114">
        <f t="shared" si="74"/>
        <v>4.1954103899760661E-2</v>
      </c>
      <c r="I66" s="114">
        <f t="shared" si="74"/>
        <v>4.0429150856993328E-2</v>
      </c>
      <c r="J66" s="114">
        <f t="shared" si="74"/>
        <v>4.0299227799227802E-2</v>
      </c>
      <c r="K66" s="114">
        <f t="shared" si="74"/>
        <v>5.6384248210023864E-2</v>
      </c>
      <c r="L66" s="114">
        <f t="shared" si="74"/>
        <v>6.8453886359804414E-2</v>
      </c>
      <c r="M66" s="114">
        <f t="shared" si="74"/>
        <v>7.0401586514625678E-2</v>
      </c>
      <c r="N66" s="114">
        <f t="shared" si="74"/>
        <v>5.3392658509454953E-2</v>
      </c>
      <c r="O66" s="114">
        <f t="shared" si="74"/>
        <v>2.7023025098097283E-2</v>
      </c>
      <c r="P66" s="114">
        <f t="shared" si="74"/>
        <v>2.052980132450331E-2</v>
      </c>
      <c r="Q66" s="114">
        <f t="shared" si="74"/>
        <v>1.7508935438628241E-2</v>
      </c>
      <c r="R66" s="109">
        <f t="shared" si="74"/>
        <v>1.5486674451117777E-2</v>
      </c>
      <c r="S66" s="109">
        <f t="shared" si="74"/>
        <v>1.4738383456138444E-2</v>
      </c>
      <c r="T66" s="109">
        <f t="shared" si="74"/>
        <v>1.408358207784656E-2</v>
      </c>
      <c r="U66" s="109">
        <f t="shared" si="74"/>
        <v>1.3569043847764643E-2</v>
      </c>
      <c r="V66" s="109">
        <f t="shared" si="74"/>
        <v>1.3339980299868472E-2</v>
      </c>
      <c r="W66" s="109">
        <f t="shared" si="74"/>
        <v>1.2917656672617222E-2</v>
      </c>
      <c r="X66" s="109">
        <f t="shared" si="74"/>
        <v>1.2657075433613408E-2</v>
      </c>
      <c r="Y66" s="109">
        <f t="shared" si="74"/>
        <v>1.2435533968152324E-2</v>
      </c>
      <c r="Z66" s="109">
        <f t="shared" si="74"/>
        <v>3.0632697823519486E-2</v>
      </c>
      <c r="AA66" s="109">
        <f t="shared" si="74"/>
        <v>3.0635623208223876E-2</v>
      </c>
      <c r="AB66" s="109">
        <f t="shared" si="74"/>
        <v>3.063138827791435E-2</v>
      </c>
    </row>
    <row r="68" spans="2:28" x14ac:dyDescent="0.25">
      <c r="B68" t="s">
        <v>32</v>
      </c>
      <c r="F68" s="113">
        <f t="shared" ref="F68:AB68" si="75">F28</f>
        <v>298</v>
      </c>
      <c r="G68" s="113">
        <f t="shared" si="75"/>
        <v>183</v>
      </c>
      <c r="H68" s="113">
        <f t="shared" si="75"/>
        <v>222</v>
      </c>
      <c r="I68" s="113">
        <f t="shared" si="75"/>
        <v>273</v>
      </c>
      <c r="J68" s="113">
        <f t="shared" si="75"/>
        <v>361</v>
      </c>
      <c r="K68" s="113">
        <f t="shared" si="75"/>
        <v>433</v>
      </c>
      <c r="L68" s="113">
        <f t="shared" si="75"/>
        <v>530</v>
      </c>
      <c r="M68" s="113">
        <f t="shared" si="75"/>
        <v>509</v>
      </c>
      <c r="N68" s="113">
        <f t="shared" si="75"/>
        <v>248</v>
      </c>
      <c r="O68" s="113">
        <f t="shared" si="75"/>
        <v>289</v>
      </c>
      <c r="P68" s="113">
        <f t="shared" si="75"/>
        <v>278</v>
      </c>
      <c r="Q68" s="113">
        <f t="shared" si="75"/>
        <v>254</v>
      </c>
      <c r="R68" s="113">
        <f t="shared" si="75"/>
        <v>628.51576709044002</v>
      </c>
      <c r="S68" s="113">
        <f t="shared" si="75"/>
        <v>623.56289837626628</v>
      </c>
      <c r="T68" s="113">
        <f t="shared" si="75"/>
        <v>725.54902410612249</v>
      </c>
      <c r="U68" s="113">
        <f t="shared" si="75"/>
        <v>679.55334745670098</v>
      </c>
      <c r="V68" s="113">
        <f t="shared" si="75"/>
        <v>257.62523284615054</v>
      </c>
      <c r="W68" s="113">
        <f t="shared" si="75"/>
        <v>767.91674538343705</v>
      </c>
      <c r="X68" s="113">
        <f t="shared" si="75"/>
        <v>533.14645509237835</v>
      </c>
      <c r="Y68" s="113">
        <f t="shared" si="75"/>
        <v>543.75506005077023</v>
      </c>
      <c r="Z68" s="113">
        <f t="shared" si="75"/>
        <v>2179</v>
      </c>
      <c r="AA68" s="113">
        <f t="shared" si="75"/>
        <v>4046</v>
      </c>
      <c r="AB68" s="113">
        <f t="shared" si="75"/>
        <v>4457</v>
      </c>
    </row>
    <row r="69" spans="2:28" x14ac:dyDescent="0.25">
      <c r="B69" s="8" t="s">
        <v>383</v>
      </c>
      <c r="F69" s="114">
        <f t="shared" ref="F69:AB69" si="76">F29</f>
        <v>5.2640876170287933E-2</v>
      </c>
      <c r="G69" s="114">
        <f t="shared" si="76"/>
        <v>2.8123559243891195E-2</v>
      </c>
      <c r="H69" s="114">
        <f t="shared" si="76"/>
        <v>3.1254399549486132E-2</v>
      </c>
      <c r="I69" s="114">
        <f t="shared" si="76"/>
        <v>3.5718958524139734E-2</v>
      </c>
      <c r="J69" s="114">
        <f t="shared" si="76"/>
        <v>4.355694980694981E-2</v>
      </c>
      <c r="K69" s="114">
        <f t="shared" si="76"/>
        <v>6.4588305489260145E-2</v>
      </c>
      <c r="L69" s="114">
        <f t="shared" si="76"/>
        <v>8.9360984656887535E-2</v>
      </c>
      <c r="M69" s="114">
        <f t="shared" si="76"/>
        <v>8.4118327549165428E-2</v>
      </c>
      <c r="N69" s="114">
        <f t="shared" si="76"/>
        <v>3.4482758620689655E-2</v>
      </c>
      <c r="O69" s="114">
        <f t="shared" si="76"/>
        <v>2.1396313022877027E-2</v>
      </c>
      <c r="P69" s="114">
        <f t="shared" si="76"/>
        <v>1.5342163355408389E-2</v>
      </c>
      <c r="Q69" s="114">
        <f t="shared" si="76"/>
        <v>1.149165271682577E-2</v>
      </c>
      <c r="R69" s="109">
        <f t="shared" si="76"/>
        <v>2.6028730984819646E-2</v>
      </c>
      <c r="S69" s="109">
        <f t="shared" si="76"/>
        <v>2.3891298788362693E-2</v>
      </c>
      <c r="T69" s="109">
        <f t="shared" si="76"/>
        <v>2.547126642464885E-2</v>
      </c>
      <c r="U69" s="109">
        <f t="shared" si="76"/>
        <v>2.2287014117500278E-2</v>
      </c>
      <c r="V69" s="109">
        <f t="shared" si="76"/>
        <v>8.5473352856955814E-3</v>
      </c>
      <c r="W69" s="109">
        <f t="shared" si="76"/>
        <v>2.3611255879371844E-2</v>
      </c>
      <c r="X69" s="109">
        <f t="shared" si="76"/>
        <v>1.5903742321538579E-2</v>
      </c>
      <c r="Y69" s="109">
        <f t="shared" si="76"/>
        <v>1.5750363813385251E-2</v>
      </c>
      <c r="Z69" s="109">
        <f t="shared" si="76"/>
        <v>1.4705584612788931E-2</v>
      </c>
      <c r="AA69" s="109">
        <f t="shared" si="76"/>
        <v>2.4266196456631521E-2</v>
      </c>
      <c r="AB69" s="109">
        <f t="shared" si="76"/>
        <v>2.4027472290507612E-2</v>
      </c>
    </row>
    <row r="71" spans="2:28" x14ac:dyDescent="0.25">
      <c r="B71" t="s">
        <v>374</v>
      </c>
      <c r="F71" s="113">
        <f t="shared" ref="F71:AB71" si="77">F31</f>
        <v>887</v>
      </c>
      <c r="G71" s="113">
        <f t="shared" si="77"/>
        <v>249</v>
      </c>
      <c r="H71" s="113">
        <f t="shared" si="77"/>
        <v>192</v>
      </c>
      <c r="I71" s="113">
        <f t="shared" si="77"/>
        <v>390</v>
      </c>
      <c r="J71" s="113">
        <f t="shared" si="77"/>
        <v>389</v>
      </c>
      <c r="K71" s="113">
        <f t="shared" si="77"/>
        <v>382</v>
      </c>
      <c r="L71" s="113">
        <f t="shared" si="77"/>
        <v>417</v>
      </c>
      <c r="M71" s="113">
        <f t="shared" si="77"/>
        <v>-10</v>
      </c>
      <c r="N71" s="113">
        <f t="shared" si="77"/>
        <v>-911</v>
      </c>
      <c r="O71" s="113">
        <f t="shared" si="77"/>
        <v>136</v>
      </c>
      <c r="P71" s="113">
        <f t="shared" si="77"/>
        <v>2836</v>
      </c>
      <c r="Q71" s="113">
        <f t="shared" si="77"/>
        <v>2455</v>
      </c>
      <c r="R71" s="113">
        <f t="shared" si="77"/>
        <v>828.18890083484803</v>
      </c>
      <c r="S71" s="113">
        <f t="shared" si="77"/>
        <v>7149.060679966442</v>
      </c>
      <c r="T71" s="113">
        <f t="shared" si="77"/>
        <v>-1049.4840425883867</v>
      </c>
      <c r="U71" s="113">
        <f t="shared" si="77"/>
        <v>809.35880221261868</v>
      </c>
      <c r="V71" s="113">
        <f t="shared" si="77"/>
        <v>-293.16780602250583</v>
      </c>
      <c r="W71" s="113">
        <f t="shared" si="77"/>
        <v>1134.9574475801965</v>
      </c>
      <c r="X71" s="113">
        <f t="shared" si="77"/>
        <v>1157.3523335976934</v>
      </c>
      <c r="Y71" s="113">
        <f t="shared" si="77"/>
        <v>-65.812513008135284</v>
      </c>
      <c r="Z71" s="113">
        <f t="shared" si="77"/>
        <v>2659</v>
      </c>
      <c r="AA71" s="113">
        <f t="shared" si="77"/>
        <v>2624</v>
      </c>
      <c r="AB71" s="113">
        <f t="shared" si="77"/>
        <v>2652</v>
      </c>
    </row>
    <row r="72" spans="2:28" x14ac:dyDescent="0.25">
      <c r="B72" s="8" t="s">
        <v>383</v>
      </c>
      <c r="F72" s="114">
        <f t="shared" ref="F72:AB72" si="78">F32</f>
        <v>0.15668609786256846</v>
      </c>
      <c r="G72" s="114">
        <f t="shared" si="78"/>
        <v>3.8266482249884742E-2</v>
      </c>
      <c r="H72" s="114">
        <f t="shared" si="78"/>
        <v>2.7030832042798818E-2</v>
      </c>
      <c r="I72" s="114">
        <f t="shared" si="78"/>
        <v>5.102708360591391E-2</v>
      </c>
      <c r="J72" s="114">
        <f t="shared" si="78"/>
        <v>4.6935328185328189E-2</v>
      </c>
      <c r="K72" s="114">
        <f t="shared" si="78"/>
        <v>5.6980906921241053E-2</v>
      </c>
      <c r="L72" s="114">
        <f t="shared" si="78"/>
        <v>7.0308548305513405E-2</v>
      </c>
      <c r="M72" s="114">
        <f t="shared" si="78"/>
        <v>-1.6526194017517765E-3</v>
      </c>
      <c r="N72" s="114">
        <f t="shared" si="78"/>
        <v>-0.12666852057842046</v>
      </c>
      <c r="O72" s="114">
        <f t="shared" si="78"/>
        <v>1.0068853187236248E-2</v>
      </c>
      <c r="P72" s="114">
        <f t="shared" si="78"/>
        <v>0.15651214128035321</v>
      </c>
      <c r="Q72" s="114">
        <f t="shared" si="78"/>
        <v>0.11107089535357191</v>
      </c>
      <c r="R72" s="109">
        <f t="shared" si="78"/>
        <v>3.4297796862336853E-2</v>
      </c>
      <c r="S72" s="109">
        <f t="shared" si="78"/>
        <v>0.2739103708799403</v>
      </c>
      <c r="T72" s="109">
        <f t="shared" si="78"/>
        <v>-3.6843392753673397E-2</v>
      </c>
      <c r="U72" s="109">
        <f t="shared" si="78"/>
        <v>2.6544186881788681E-2</v>
      </c>
      <c r="V72" s="109">
        <f t="shared" si="78"/>
        <v>-9.7265454371953768E-3</v>
      </c>
      <c r="W72" s="109">
        <f t="shared" si="78"/>
        <v>3.4896713567086082E-2</v>
      </c>
      <c r="X72" s="109">
        <f t="shared" si="78"/>
        <v>3.452378443664194E-2</v>
      </c>
      <c r="Y72" s="109">
        <f t="shared" si="78"/>
        <v>-1.906319774301495E-3</v>
      </c>
      <c r="Z72" s="109">
        <f t="shared" si="78"/>
        <v>1.7944997469208707E-2</v>
      </c>
      <c r="AA72" s="109">
        <f t="shared" si="78"/>
        <v>1.5737641992634974E-2</v>
      </c>
      <c r="AB72" s="109">
        <f t="shared" si="78"/>
        <v>1.4296804243757278E-2</v>
      </c>
    </row>
    <row r="74" spans="2:28" x14ac:dyDescent="0.25">
      <c r="B74" s="144" t="s">
        <v>375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145">
        <f t="shared" ref="R74:AB74" ca="1" si="79">R63+R65-R68-R71</f>
        <v>11304.305690045854</v>
      </c>
      <c r="S74" s="145">
        <f t="shared" ca="1" si="79"/>
        <v>6824.9682298625048</v>
      </c>
      <c r="T74" s="145">
        <f t="shared" ca="1" si="79"/>
        <v>16216.22585396972</v>
      </c>
      <c r="U74" s="145">
        <f t="shared" ca="1" si="79"/>
        <v>15486.641566292872</v>
      </c>
      <c r="V74" s="145">
        <f t="shared" ca="1" si="79"/>
        <v>16781.98291939469</v>
      </c>
      <c r="W74" s="145">
        <f t="shared" ca="1" si="79"/>
        <v>15945.03772755212</v>
      </c>
      <c r="X74" s="145">
        <f t="shared" ca="1" si="79"/>
        <v>16742.595236762761</v>
      </c>
      <c r="Y74" s="145">
        <f t="shared" ca="1" si="79"/>
        <v>18541.160203984542</v>
      </c>
      <c r="Z74" s="145">
        <f t="shared" ca="1" si="79"/>
        <v>77631.360000000001</v>
      </c>
      <c r="AA74" s="145">
        <f t="shared" ca="1" si="79"/>
        <v>82138.51999999999</v>
      </c>
      <c r="AB74" s="146">
        <f t="shared" ca="1" si="79"/>
        <v>89873.829999999987</v>
      </c>
    </row>
    <row r="75" spans="2:28" x14ac:dyDescent="0.25">
      <c r="B75" s="147" t="s">
        <v>376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9">
        <f ca="1">R74/(1+$D$42)^R78</f>
        <v>11151.67451898364</v>
      </c>
      <c r="S75" s="149">
        <f t="shared" ref="S75:AB75" ca="1" si="80">S74/(1+$D$42)^S78</f>
        <v>6570.0696274083039</v>
      </c>
      <c r="T75" s="149">
        <f t="shared" ca="1" si="80"/>
        <v>15233.239433409668</v>
      </c>
      <c r="U75" s="149">
        <f t="shared" ca="1" si="80"/>
        <v>14196.225085039998</v>
      </c>
      <c r="V75" s="149">
        <f t="shared" ca="1" si="80"/>
        <v>15011.775133119496</v>
      </c>
      <c r="W75" s="149">
        <f t="shared" ca="1" si="80"/>
        <v>13918.341003338934</v>
      </c>
      <c r="X75" s="149">
        <f t="shared" ca="1" si="80"/>
        <v>14261.258281591088</v>
      </c>
      <c r="Y75" s="149">
        <f t="shared" ca="1" si="80"/>
        <v>15411.507416376264</v>
      </c>
      <c r="Z75" s="149">
        <f t="shared" ca="1" si="80"/>
        <v>58511.063393140903</v>
      </c>
      <c r="AA75" s="149">
        <f t="shared" ca="1" si="80"/>
        <v>56135.843585239003</v>
      </c>
      <c r="AB75" s="150">
        <f t="shared" ca="1" si="80"/>
        <v>55695.385362988491</v>
      </c>
    </row>
    <row r="77" spans="2:28" x14ac:dyDescent="0.25">
      <c r="B77" t="s">
        <v>387</v>
      </c>
      <c r="R77" s="9">
        <f t="shared" ref="R77:S77" si="81">S77-0.25</f>
        <v>0.13888888888888884</v>
      </c>
      <c r="S77" s="9">
        <f t="shared" si="81"/>
        <v>0.38888888888888884</v>
      </c>
      <c r="T77" s="9">
        <f>U77-0.25</f>
        <v>0.63888888888888884</v>
      </c>
      <c r="U77" s="9">
        <f>YEARFRAC(D5,D7)</f>
        <v>0.88888888888888884</v>
      </c>
      <c r="V77" s="9">
        <f>U77+0.25</f>
        <v>1.1388888888888888</v>
      </c>
      <c r="W77" s="9">
        <f t="shared" ref="W77:Y77" si="82">V77+0.25</f>
        <v>1.3888888888888888</v>
      </c>
      <c r="X77" s="9">
        <f t="shared" si="82"/>
        <v>1.6388888888888888</v>
      </c>
      <c r="Y77" s="9">
        <f t="shared" si="82"/>
        <v>1.8888888888888888</v>
      </c>
      <c r="Z77" s="9">
        <f>Y77+1</f>
        <v>2.8888888888888888</v>
      </c>
      <c r="AA77" s="9">
        <f t="shared" ref="AA77:AB77" si="83">Z77+1</f>
        <v>3.8888888888888888</v>
      </c>
      <c r="AB77" s="9">
        <f t="shared" si="83"/>
        <v>4.8888888888888893</v>
      </c>
    </row>
    <row r="78" spans="2:28" x14ac:dyDescent="0.25">
      <c r="B78" t="s">
        <v>388</v>
      </c>
      <c r="R78" s="9">
        <f>R77</f>
        <v>0.13888888888888884</v>
      </c>
      <c r="S78" s="9">
        <f t="shared" ref="S78:AB78" si="84">S77</f>
        <v>0.38888888888888884</v>
      </c>
      <c r="T78" s="9">
        <f t="shared" si="84"/>
        <v>0.63888888888888884</v>
      </c>
      <c r="U78" s="9">
        <f t="shared" si="84"/>
        <v>0.88888888888888884</v>
      </c>
      <c r="V78" s="9">
        <f t="shared" si="84"/>
        <v>1.1388888888888888</v>
      </c>
      <c r="W78" s="9">
        <f t="shared" si="84"/>
        <v>1.3888888888888888</v>
      </c>
      <c r="X78" s="9">
        <f t="shared" si="84"/>
        <v>1.6388888888888888</v>
      </c>
      <c r="Y78" s="9">
        <f t="shared" si="84"/>
        <v>1.8888888888888888</v>
      </c>
      <c r="Z78" s="9">
        <f t="shared" si="84"/>
        <v>2.8888888888888888</v>
      </c>
      <c r="AA78" s="9">
        <f t="shared" si="84"/>
        <v>3.8888888888888888</v>
      </c>
      <c r="AB78" s="9">
        <f t="shared" si="84"/>
        <v>4.8888888888888893</v>
      </c>
    </row>
    <row r="80" spans="2:28" x14ac:dyDescent="0.25">
      <c r="B80" t="s">
        <v>389</v>
      </c>
      <c r="E80" s="154">
        <f ca="1">(AB74*1+D43)/(D42-D43)</f>
        <v>1325044.2497962776</v>
      </c>
    </row>
    <row r="81" spans="2:5" x14ac:dyDescent="0.25">
      <c r="B81" t="s">
        <v>390</v>
      </c>
      <c r="E81" s="154">
        <f ca="1">E80/(1+D42)^AB78</f>
        <v>821138.36825932167</v>
      </c>
    </row>
    <row r="82" spans="2:5" x14ac:dyDescent="0.25">
      <c r="B82" t="s">
        <v>391</v>
      </c>
      <c r="E82" s="155">
        <f ca="1">E81+SUM(R75:AB75)</f>
        <v>1097234.7510999574</v>
      </c>
    </row>
    <row r="83" spans="2:5" x14ac:dyDescent="0.25">
      <c r="B83" t="s">
        <v>392</v>
      </c>
      <c r="E83" s="155">
        <f>'Balance Sheet'!N4+'Balance Sheet'!N5</f>
        <v>25984</v>
      </c>
    </row>
    <row r="84" spans="2:5" x14ac:dyDescent="0.25">
      <c r="B84" t="s">
        <v>396</v>
      </c>
      <c r="E84" s="155">
        <f>Debt!O8</f>
        <v>9709</v>
      </c>
    </row>
    <row r="85" spans="2:5" x14ac:dyDescent="0.25">
      <c r="B85" t="s">
        <v>393</v>
      </c>
      <c r="E85" s="155">
        <f ca="1">E82+E83-E84</f>
        <v>1113509.7510999574</v>
      </c>
    </row>
    <row r="87" spans="2:5" x14ac:dyDescent="0.25">
      <c r="B87" t="s">
        <v>394</v>
      </c>
      <c r="E87" s="81">
        <v>2494</v>
      </c>
    </row>
    <row r="88" spans="2:5" x14ac:dyDescent="0.25">
      <c r="B88" t="s">
        <v>395</v>
      </c>
      <c r="E88" s="156">
        <f ca="1">E85/E87</f>
        <v>446.47544149958196</v>
      </c>
    </row>
  </sheetData>
  <dataConsolidate/>
  <mergeCells count="3">
    <mergeCell ref="N36:P36"/>
    <mergeCell ref="F36:I36"/>
    <mergeCell ref="J36:M36"/>
  </mergeCells>
  <phoneticPr fontId="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2C74-11E1-492F-93B0-F18A487CBE43}">
  <dimension ref="B1:X46"/>
  <sheetViews>
    <sheetView showGridLines="0" topLeftCell="A19" workbookViewId="0">
      <selection activeCell="C21" sqref="C21"/>
    </sheetView>
  </sheetViews>
  <sheetFormatPr defaultRowHeight="15" x14ac:dyDescent="0.25"/>
  <cols>
    <col min="2" max="2" width="24.28515625" bestFit="1" customWidth="1"/>
    <col min="3" max="15" width="7.85546875" bestFit="1" customWidth="1"/>
    <col min="16" max="19" width="8.140625" bestFit="1" customWidth="1"/>
  </cols>
  <sheetData>
    <row r="1" spans="2:18" x14ac:dyDescent="0.25">
      <c r="B1" s="2" t="s">
        <v>256</v>
      </c>
      <c r="C1" s="2"/>
    </row>
    <row r="2" spans="2:18" x14ac:dyDescent="0.25">
      <c r="B2" s="30" t="s">
        <v>255</v>
      </c>
      <c r="C2" s="31" t="s">
        <v>251</v>
      </c>
      <c r="D2" s="31" t="s">
        <v>252</v>
      </c>
      <c r="E2" s="31" t="s">
        <v>253</v>
      </c>
      <c r="F2" s="31" t="s">
        <v>254</v>
      </c>
      <c r="G2" s="31" t="s">
        <v>33</v>
      </c>
      <c r="H2" s="31" t="s">
        <v>34</v>
      </c>
      <c r="I2" s="31" t="s">
        <v>35</v>
      </c>
      <c r="J2" s="31" t="s">
        <v>36</v>
      </c>
      <c r="K2" s="31" t="s">
        <v>37</v>
      </c>
      <c r="L2" s="31" t="s">
        <v>38</v>
      </c>
      <c r="M2" s="31" t="s">
        <v>39</v>
      </c>
      <c r="N2" s="31" t="s">
        <v>40</v>
      </c>
      <c r="O2" s="31" t="s">
        <v>41</v>
      </c>
      <c r="P2" s="31" t="s">
        <v>42</v>
      </c>
      <c r="Q2" s="31" t="s">
        <v>43</v>
      </c>
      <c r="R2" s="31" t="s">
        <v>44</v>
      </c>
    </row>
    <row r="3" spans="2:18" x14ac:dyDescent="0.25">
      <c r="B3" s="3" t="s">
        <v>245</v>
      </c>
      <c r="C3" s="32">
        <f>1/3*C23+2/3*D23</f>
        <v>1083.3333333333333</v>
      </c>
      <c r="D3" s="32">
        <f t="shared" ref="D3:R3" si="0">1/3*D23+2/3*E23</f>
        <v>1548.3333333333333</v>
      </c>
      <c r="E3" s="32">
        <f t="shared" si="0"/>
        <v>1850.6666666666665</v>
      </c>
      <c r="F3" s="32">
        <f t="shared" si="0"/>
        <v>1901.9999999999998</v>
      </c>
      <c r="G3" s="32">
        <f t="shared" si="0"/>
        <v>1999.6666666666665</v>
      </c>
      <c r="H3" s="32">
        <f t="shared" si="0"/>
        <v>2260</v>
      </c>
      <c r="I3" s="32">
        <f t="shared" si="0"/>
        <v>2746</v>
      </c>
      <c r="J3" s="32">
        <f t="shared" si="0"/>
        <v>3153.9999999999995</v>
      </c>
      <c r="K3" s="32">
        <f t="shared" si="0"/>
        <v>3587.6666666666665</v>
      </c>
      <c r="L3" s="32">
        <f t="shared" si="0"/>
        <v>3787.333333333333</v>
      </c>
      <c r="M3" s="32">
        <f t="shared" si="0"/>
        <v>3823.9999999999995</v>
      </c>
      <c r="N3" s="32">
        <f t="shared" si="0"/>
        <v>3688.333333333333</v>
      </c>
      <c r="O3" s="32">
        <f t="shared" si="0"/>
        <v>4061.333333333333</v>
      </c>
      <c r="P3" s="32">
        <f t="shared" si="0"/>
        <v>8310</v>
      </c>
      <c r="Q3" s="32">
        <f t="shared" si="0"/>
        <v>13117</v>
      </c>
      <c r="R3" s="32">
        <f t="shared" si="0"/>
        <v>17107.333333333332</v>
      </c>
    </row>
    <row r="4" spans="2:18" x14ac:dyDescent="0.25">
      <c r="B4" s="3" t="s">
        <v>245</v>
      </c>
      <c r="C4" s="26">
        <f>C3/C$18</f>
        <v>0.3507825148407987</v>
      </c>
      <c r="D4" s="26">
        <f t="shared" ref="D4:R4" si="1">D3/D$18</f>
        <v>0.42961524232334447</v>
      </c>
      <c r="E4" s="26">
        <f t="shared" si="1"/>
        <v>0.41687941132302153</v>
      </c>
      <c r="F4" s="26">
        <f t="shared" si="1"/>
        <v>0.38732011946782513</v>
      </c>
      <c r="G4" s="26">
        <f t="shared" si="1"/>
        <v>0.36747320061255745</v>
      </c>
      <c r="H4" s="26">
        <f t="shared" si="1"/>
        <v>0.36305220883534134</v>
      </c>
      <c r="I4" s="26">
        <f t="shared" si="1"/>
        <v>0.39772123786993679</v>
      </c>
      <c r="J4" s="26">
        <f t="shared" si="1"/>
        <v>0.42261825003349857</v>
      </c>
      <c r="K4" s="26">
        <f t="shared" si="1"/>
        <v>0.44440315454808205</v>
      </c>
      <c r="L4" s="26">
        <f t="shared" si="1"/>
        <v>0.52369100294985249</v>
      </c>
      <c r="M4" s="26">
        <f t="shared" si="1"/>
        <v>0.61790369492620911</v>
      </c>
      <c r="N4" s="26">
        <f t="shared" si="1"/>
        <v>0.61359729385016359</v>
      </c>
      <c r="O4" s="26">
        <f t="shared" si="1"/>
        <v>0.59623195497920234</v>
      </c>
      <c r="P4" s="26">
        <f t="shared" si="1"/>
        <v>0.72881950534993856</v>
      </c>
      <c r="Q4" s="26">
        <f t="shared" si="1"/>
        <v>0.79102257422558153</v>
      </c>
      <c r="R4" s="26">
        <f t="shared" si="1"/>
        <v>0.82344446940281757</v>
      </c>
    </row>
    <row r="6" spans="2:18" x14ac:dyDescent="0.25">
      <c r="B6" s="3" t="s">
        <v>246</v>
      </c>
      <c r="C6" s="32">
        <f t="shared" ref="C6:R6" si="2">1/3*C27+2/3*D27</f>
        <v>1389.6666666666665</v>
      </c>
      <c r="D6" s="32">
        <f t="shared" si="2"/>
        <v>1548.9999999999998</v>
      </c>
      <c r="E6" s="32">
        <f t="shared" si="2"/>
        <v>2065.333333333333</v>
      </c>
      <c r="F6" s="32">
        <f t="shared" si="2"/>
        <v>2420.333333333333</v>
      </c>
      <c r="G6" s="32">
        <f t="shared" si="2"/>
        <v>2671.6666666666665</v>
      </c>
      <c r="H6" s="32">
        <f t="shared" si="2"/>
        <v>2960.6666666666665</v>
      </c>
      <c r="I6" s="32">
        <f t="shared" si="2"/>
        <v>3167.6666666666661</v>
      </c>
      <c r="J6" s="32">
        <f t="shared" si="2"/>
        <v>3353.6666666666665</v>
      </c>
      <c r="K6" s="32">
        <f t="shared" si="2"/>
        <v>3553.333333333333</v>
      </c>
      <c r="L6" s="32">
        <f t="shared" si="2"/>
        <v>2568</v>
      </c>
      <c r="M6" s="32">
        <f t="shared" si="2"/>
        <v>1730</v>
      </c>
      <c r="N6" s="32">
        <f t="shared" si="2"/>
        <v>1745.333333333333</v>
      </c>
      <c r="O6" s="32">
        <f t="shared" si="2"/>
        <v>2103.6666666666665</v>
      </c>
      <c r="P6" s="32">
        <f t="shared" si="2"/>
        <v>2404</v>
      </c>
      <c r="Q6" s="32">
        <f t="shared" si="2"/>
        <v>2732.6666666666665</v>
      </c>
      <c r="R6" s="32">
        <f t="shared" si="2"/>
        <v>2862</v>
      </c>
    </row>
    <row r="7" spans="2:18" x14ac:dyDescent="0.25">
      <c r="B7" s="3" t="s">
        <v>246</v>
      </c>
      <c r="C7" s="26">
        <f>C6/C$18</f>
        <v>0.44997301672962764</v>
      </c>
      <c r="D7" s="26">
        <f t="shared" ref="D7:R7" si="3">D6/D$18</f>
        <v>0.42980022197558265</v>
      </c>
      <c r="E7" s="26">
        <f t="shared" si="3"/>
        <v>0.46523502027331437</v>
      </c>
      <c r="F7" s="26">
        <f t="shared" si="3"/>
        <v>0.49287265815910941</v>
      </c>
      <c r="G7" s="26">
        <f t="shared" si="3"/>
        <v>0.49096477794793264</v>
      </c>
      <c r="H7" s="26">
        <f t="shared" si="3"/>
        <v>0.47560910307898258</v>
      </c>
      <c r="I7" s="26">
        <f t="shared" si="3"/>
        <v>0.45879399410997918</v>
      </c>
      <c r="J7" s="26">
        <f t="shared" si="3"/>
        <v>0.44937245969002637</v>
      </c>
      <c r="K7" s="26">
        <f t="shared" si="3"/>
        <v>0.44015029522275895</v>
      </c>
      <c r="L7" s="26">
        <f t="shared" si="3"/>
        <v>0.35508849557522126</v>
      </c>
      <c r="M7" s="26">
        <f t="shared" si="3"/>
        <v>0.27954325110416889</v>
      </c>
      <c r="N7" s="26">
        <f t="shared" si="3"/>
        <v>0.29035656851328118</v>
      </c>
      <c r="O7" s="26">
        <f t="shared" si="3"/>
        <v>0.30883288475654513</v>
      </c>
      <c r="P7" s="26">
        <f t="shared" si="3"/>
        <v>0.21084020347307489</v>
      </c>
      <c r="Q7" s="26">
        <f t="shared" si="3"/>
        <v>0.16479385691599494</v>
      </c>
      <c r="R7" s="26">
        <f t="shared" si="3"/>
        <v>0.13775952251066972</v>
      </c>
    </row>
    <row r="9" spans="2:18" x14ac:dyDescent="0.25">
      <c r="B9" s="3" t="s">
        <v>247</v>
      </c>
      <c r="C9" s="32">
        <f t="shared" ref="C9:R9" si="4">1/3*C31+2/3*D31</f>
        <v>315</v>
      </c>
      <c r="D9" s="32">
        <f t="shared" si="4"/>
        <v>237.66666666666663</v>
      </c>
      <c r="E9" s="32">
        <f t="shared" si="4"/>
        <v>224.99999999999997</v>
      </c>
      <c r="F9" s="32">
        <f t="shared" si="4"/>
        <v>283.33333333333331</v>
      </c>
      <c r="G9" s="32">
        <f t="shared" si="4"/>
        <v>350.33333333333331</v>
      </c>
      <c r="H9" s="32">
        <f t="shared" si="4"/>
        <v>470</v>
      </c>
      <c r="I9" s="32">
        <f t="shared" si="4"/>
        <v>557.66666666666663</v>
      </c>
      <c r="J9" s="32">
        <f t="shared" si="4"/>
        <v>621</v>
      </c>
      <c r="K9" s="32">
        <f t="shared" si="4"/>
        <v>629</v>
      </c>
      <c r="L9" s="32">
        <f t="shared" si="4"/>
        <v>538</v>
      </c>
      <c r="M9" s="32">
        <f t="shared" si="4"/>
        <v>298.66666666666663</v>
      </c>
      <c r="N9" s="32">
        <f t="shared" si="4"/>
        <v>217.33333333333331</v>
      </c>
      <c r="O9" s="32">
        <f t="shared" si="4"/>
        <v>272</v>
      </c>
      <c r="P9" s="32">
        <f t="shared" si="4"/>
        <v>351</v>
      </c>
      <c r="Q9" s="32">
        <f t="shared" si="4"/>
        <v>403.66666666666663</v>
      </c>
      <c r="R9" s="32">
        <f t="shared" si="4"/>
        <v>447.33333333333326</v>
      </c>
    </row>
    <row r="10" spans="2:18" x14ac:dyDescent="0.25">
      <c r="B10" s="3" t="s">
        <v>247</v>
      </c>
      <c r="C10" s="26">
        <f>C9/C$18</f>
        <v>0.10199676200755532</v>
      </c>
      <c r="D10" s="26">
        <f t="shared" ref="D10:R10" si="5">D9/D$18</f>
        <v>6.594524602293747E-2</v>
      </c>
      <c r="E10" s="26">
        <f t="shared" si="5"/>
        <v>5.0683285778645448E-2</v>
      </c>
      <c r="F10" s="26">
        <f t="shared" si="5"/>
        <v>5.7697529188161831E-2</v>
      </c>
      <c r="G10" s="26">
        <f t="shared" si="5"/>
        <v>6.4379785604900458E-2</v>
      </c>
      <c r="H10" s="26">
        <f t="shared" si="5"/>
        <v>7.5502008032128518E-2</v>
      </c>
      <c r="I10" s="26">
        <f t="shared" si="5"/>
        <v>8.0770530584656983E-2</v>
      </c>
      <c r="J10" s="26">
        <f t="shared" si="5"/>
        <v>8.3210505158783338E-2</v>
      </c>
      <c r="K10" s="26">
        <f t="shared" si="5"/>
        <v>7.7914034435773563E-2</v>
      </c>
      <c r="L10" s="26">
        <f t="shared" si="5"/>
        <v>7.439159292035398E-2</v>
      </c>
      <c r="M10" s="26">
        <f t="shared" si="5"/>
        <v>4.8260260691586766E-2</v>
      </c>
      <c r="N10" s="26">
        <f t="shared" si="5"/>
        <v>3.6155936338934179E-2</v>
      </c>
      <c r="O10" s="26">
        <f t="shared" si="5"/>
        <v>3.9931490090530958E-2</v>
      </c>
      <c r="P10" s="26">
        <f t="shared" si="5"/>
        <v>3.0784072969654446E-2</v>
      </c>
      <c r="Q10" s="26">
        <f t="shared" si="5"/>
        <v>2.4343176472953143E-2</v>
      </c>
      <c r="R10" s="26">
        <f t="shared" si="5"/>
        <v>2.1531944934698202E-2</v>
      </c>
    </row>
    <row r="12" spans="2:18" x14ac:dyDescent="0.25">
      <c r="B12" s="3" t="s">
        <v>248</v>
      </c>
      <c r="C12" s="32">
        <f t="shared" ref="C12:R12" si="6">1/3*C35+2/3*D35</f>
        <v>157.66666666666666</v>
      </c>
      <c r="D12" s="32">
        <f t="shared" si="6"/>
        <v>125.66666666666666</v>
      </c>
      <c r="E12" s="32">
        <f t="shared" si="6"/>
        <v>120.33333333333333</v>
      </c>
      <c r="F12" s="32">
        <f t="shared" si="6"/>
        <v>138.33333333333331</v>
      </c>
      <c r="G12" s="32">
        <f t="shared" si="6"/>
        <v>151</v>
      </c>
      <c r="H12" s="32">
        <f t="shared" si="6"/>
        <v>152.66666666666666</v>
      </c>
      <c r="I12" s="32">
        <f t="shared" si="6"/>
        <v>140.66666666666666</v>
      </c>
      <c r="J12" s="32">
        <f t="shared" si="6"/>
        <v>128.33333333333331</v>
      </c>
      <c r="K12" s="32">
        <f t="shared" si="6"/>
        <v>133.66666666666666</v>
      </c>
      <c r="L12" s="32">
        <f t="shared" si="6"/>
        <v>192.66666666666666</v>
      </c>
      <c r="M12" s="32">
        <f t="shared" si="6"/>
        <v>240.66666666666663</v>
      </c>
      <c r="N12" s="32">
        <f t="shared" si="6"/>
        <v>279.66666666666663</v>
      </c>
      <c r="O12" s="32">
        <f t="shared" si="6"/>
        <v>295.33333333333331</v>
      </c>
      <c r="P12" s="32">
        <f t="shared" si="6"/>
        <v>267.33333333333331</v>
      </c>
      <c r="Q12" s="32">
        <f t="shared" si="6"/>
        <v>258.33333333333331</v>
      </c>
      <c r="R12" s="32">
        <f t="shared" si="6"/>
        <v>274.33333333333331</v>
      </c>
    </row>
    <row r="13" spans="2:18" x14ac:dyDescent="0.25">
      <c r="B13" s="3" t="s">
        <v>248</v>
      </c>
      <c r="C13" s="26">
        <f>C12/C$18</f>
        <v>5.1052347544522397E-2</v>
      </c>
      <c r="D13" s="26">
        <f t="shared" ref="D13:R13" si="7">D12/D$18</f>
        <v>3.4868664446910842E-2</v>
      </c>
      <c r="E13" s="26">
        <f t="shared" si="7"/>
        <v>2.7106172097912606E-2</v>
      </c>
      <c r="F13" s="26">
        <f t="shared" si="7"/>
        <v>2.8169970133043714E-2</v>
      </c>
      <c r="G13" s="26">
        <f t="shared" si="7"/>
        <v>2.7748851454823892E-2</v>
      </c>
      <c r="H13" s="26">
        <f t="shared" si="7"/>
        <v>2.4524765729585004E-2</v>
      </c>
      <c r="I13" s="26">
        <f t="shared" si="7"/>
        <v>2.037367836624342E-2</v>
      </c>
      <c r="J13" s="26">
        <f t="shared" si="7"/>
        <v>1.7195944437000312E-2</v>
      </c>
      <c r="K13" s="26">
        <f t="shared" si="7"/>
        <v>1.6557248441306412E-2</v>
      </c>
      <c r="L13" s="26">
        <f t="shared" si="7"/>
        <v>2.6640855457227136E-2</v>
      </c>
      <c r="M13" s="26">
        <f t="shared" si="7"/>
        <v>3.888829042335451E-2</v>
      </c>
      <c r="N13" s="26">
        <f t="shared" si="7"/>
        <v>4.6525813785837075E-2</v>
      </c>
      <c r="O13" s="26">
        <f t="shared" si="7"/>
        <v>4.3356985563983361E-2</v>
      </c>
      <c r="P13" s="26">
        <f t="shared" si="7"/>
        <v>2.34461790329182E-2</v>
      </c>
      <c r="Q13" s="26">
        <f t="shared" si="7"/>
        <v>1.5578828874102961E-2</v>
      </c>
      <c r="R13" s="26">
        <f t="shared" si="7"/>
        <v>1.3204762057568271E-2</v>
      </c>
    </row>
    <row r="15" spans="2:18" x14ac:dyDescent="0.25">
      <c r="B15" s="3" t="s">
        <v>249</v>
      </c>
      <c r="C15" s="32">
        <f t="shared" ref="C15:R15" si="8">1/3*C39+2/3*D39</f>
        <v>142.66666666666666</v>
      </c>
      <c r="D15" s="32">
        <f t="shared" si="8"/>
        <v>143.33333333333331</v>
      </c>
      <c r="E15" s="32">
        <f t="shared" si="8"/>
        <v>177.99999999999997</v>
      </c>
      <c r="F15" s="32">
        <f t="shared" si="8"/>
        <v>166.66666666666666</v>
      </c>
      <c r="G15" s="32">
        <f t="shared" si="8"/>
        <v>269</v>
      </c>
      <c r="H15" s="32">
        <f t="shared" si="8"/>
        <v>381.66666666666663</v>
      </c>
      <c r="I15" s="32">
        <f t="shared" si="8"/>
        <v>292.33333333333331</v>
      </c>
      <c r="J15" s="32">
        <f t="shared" si="8"/>
        <v>206</v>
      </c>
      <c r="K15" s="32">
        <f t="shared" si="8"/>
        <v>169.33333333333331</v>
      </c>
      <c r="L15" s="32">
        <f t="shared" si="8"/>
        <v>146</v>
      </c>
      <c r="M15" s="32">
        <f t="shared" si="8"/>
        <v>95.333333333333329</v>
      </c>
      <c r="N15" s="32">
        <f t="shared" si="8"/>
        <v>80.333333333333329</v>
      </c>
      <c r="O15" s="32">
        <f t="shared" si="8"/>
        <v>79.333333333333329</v>
      </c>
      <c r="P15" s="32">
        <f t="shared" si="8"/>
        <v>69.666666666666657</v>
      </c>
      <c r="Q15" s="32">
        <f t="shared" si="8"/>
        <v>70.666666666666657</v>
      </c>
      <c r="R15" s="32">
        <f t="shared" si="8"/>
        <v>84.333333333333329</v>
      </c>
    </row>
    <row r="16" spans="2:18" x14ac:dyDescent="0.25">
      <c r="B16" s="3" t="s">
        <v>249</v>
      </c>
      <c r="C16" s="26">
        <f>C15/C$18</f>
        <v>4.6195358877495957E-2</v>
      </c>
      <c r="D16" s="26">
        <f t="shared" ref="D16:R16" si="9">D15/D$18</f>
        <v>3.9770625231224564E-2</v>
      </c>
      <c r="E16" s="26">
        <f t="shared" si="9"/>
        <v>4.0096110527106175E-2</v>
      </c>
      <c r="F16" s="26">
        <f t="shared" si="9"/>
        <v>3.3939723051859896E-2</v>
      </c>
      <c r="G16" s="26">
        <f t="shared" si="9"/>
        <v>4.943338437978561E-2</v>
      </c>
      <c r="H16" s="26">
        <f t="shared" si="9"/>
        <v>6.1311914323962512E-2</v>
      </c>
      <c r="I16" s="26">
        <f t="shared" si="9"/>
        <v>4.2340559069183603E-2</v>
      </c>
      <c r="J16" s="26">
        <f t="shared" si="9"/>
        <v>2.7602840680691413E-2</v>
      </c>
      <c r="K16" s="26">
        <f t="shared" si="9"/>
        <v>2.0975267352078945E-2</v>
      </c>
      <c r="L16" s="26">
        <f t="shared" si="9"/>
        <v>2.0188053097345133E-2</v>
      </c>
      <c r="M16" s="26">
        <f t="shared" si="9"/>
        <v>1.5404502854680598E-2</v>
      </c>
      <c r="N16" s="26">
        <f t="shared" si="9"/>
        <v>1.3364387511783952E-2</v>
      </c>
      <c r="O16" s="26">
        <f t="shared" si="9"/>
        <v>1.1646684609738195E-2</v>
      </c>
      <c r="P16" s="26">
        <f t="shared" si="9"/>
        <v>6.1100391744138447E-3</v>
      </c>
      <c r="Q16" s="26">
        <f t="shared" si="9"/>
        <v>4.261563511367519E-3</v>
      </c>
      <c r="R16" s="26">
        <f t="shared" si="9"/>
        <v>4.0593010942463828E-3</v>
      </c>
    </row>
    <row r="18" spans="2:24" x14ac:dyDescent="0.25">
      <c r="B18" s="23" t="s">
        <v>250</v>
      </c>
      <c r="C18" s="33">
        <f t="shared" ref="C18:R18" si="10">SUM(C3,C6,C9,C12,C15)</f>
        <v>3088.333333333333</v>
      </c>
      <c r="D18" s="33">
        <f t="shared" si="10"/>
        <v>3603.9999999999995</v>
      </c>
      <c r="E18" s="33">
        <f t="shared" si="10"/>
        <v>4439.3333333333321</v>
      </c>
      <c r="F18" s="33">
        <f t="shared" si="10"/>
        <v>4910.6666666666661</v>
      </c>
      <c r="G18" s="33">
        <f t="shared" si="10"/>
        <v>5441.6666666666661</v>
      </c>
      <c r="H18" s="33">
        <f t="shared" si="10"/>
        <v>6225</v>
      </c>
      <c r="I18" s="33">
        <f t="shared" si="10"/>
        <v>6904.333333333333</v>
      </c>
      <c r="J18" s="33">
        <f t="shared" si="10"/>
        <v>7462.9999999999991</v>
      </c>
      <c r="K18" s="33">
        <f t="shared" si="10"/>
        <v>8073</v>
      </c>
      <c r="L18" s="33">
        <f t="shared" si="10"/>
        <v>7232</v>
      </c>
      <c r="M18" s="33">
        <f t="shared" si="10"/>
        <v>6188.666666666667</v>
      </c>
      <c r="N18" s="33">
        <f t="shared" si="10"/>
        <v>6010.9999999999991</v>
      </c>
      <c r="O18" s="33">
        <f t="shared" si="10"/>
        <v>6811.6666666666661</v>
      </c>
      <c r="P18" s="33">
        <f t="shared" si="10"/>
        <v>11402</v>
      </c>
      <c r="Q18" s="33">
        <f t="shared" si="10"/>
        <v>16582.333333333332</v>
      </c>
      <c r="R18" s="33">
        <f t="shared" si="10"/>
        <v>20775.333333333328</v>
      </c>
    </row>
    <row r="19" spans="2:24" x14ac:dyDescent="0.25">
      <c r="B19" s="2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</row>
    <row r="20" spans="2:24" x14ac:dyDescent="0.25">
      <c r="B20" s="2" t="s">
        <v>399</v>
      </c>
    </row>
    <row r="21" spans="2:24" x14ac:dyDescent="0.25">
      <c r="B21" s="2"/>
      <c r="C21" s="2"/>
    </row>
    <row r="22" spans="2:24" x14ac:dyDescent="0.25">
      <c r="B22" s="30" t="s">
        <v>255</v>
      </c>
      <c r="C22" s="31" t="s">
        <v>254</v>
      </c>
      <c r="D22" s="31" t="s">
        <v>33</v>
      </c>
      <c r="E22" s="31" t="s">
        <v>34</v>
      </c>
      <c r="F22" s="31" t="s">
        <v>35</v>
      </c>
      <c r="G22" s="31" t="s">
        <v>36</v>
      </c>
      <c r="H22" s="31" t="s">
        <v>37</v>
      </c>
      <c r="I22" s="31" t="s">
        <v>38</v>
      </c>
      <c r="J22" s="31" t="s">
        <v>39</v>
      </c>
      <c r="K22" s="31" t="s">
        <v>40</v>
      </c>
      <c r="L22" s="31" t="s">
        <v>41</v>
      </c>
      <c r="M22" s="31" t="s">
        <v>42</v>
      </c>
      <c r="N22" s="31" t="s">
        <v>43</v>
      </c>
      <c r="O22" s="31" t="s">
        <v>44</v>
      </c>
      <c r="P22" s="31" t="s">
        <v>45</v>
      </c>
      <c r="Q22" s="31" t="s">
        <v>46</v>
      </c>
      <c r="R22" s="31" t="s">
        <v>47</v>
      </c>
      <c r="S22" s="31" t="s">
        <v>48</v>
      </c>
    </row>
    <row r="23" spans="2:24" x14ac:dyDescent="0.25">
      <c r="B23" s="3" t="s">
        <v>245</v>
      </c>
      <c r="C23" s="24">
        <v>968</v>
      </c>
      <c r="D23" s="24">
        <v>1141</v>
      </c>
      <c r="E23" s="24">
        <v>1752</v>
      </c>
      <c r="F23" s="25">
        <v>1900</v>
      </c>
      <c r="G23" s="25">
        <v>1903</v>
      </c>
      <c r="H23" s="25">
        <v>2048</v>
      </c>
      <c r="I23" s="25">
        <v>2366</v>
      </c>
      <c r="J23" s="25">
        <v>2936</v>
      </c>
      <c r="K23" s="25">
        <v>3263</v>
      </c>
      <c r="L23" s="25">
        <v>3750</v>
      </c>
      <c r="M23" s="25">
        <v>3806</v>
      </c>
      <c r="N23" s="25">
        <v>3833</v>
      </c>
      <c r="O23" s="25">
        <v>3616</v>
      </c>
      <c r="P23" s="25">
        <v>4284</v>
      </c>
      <c r="Q23" s="25">
        <v>10323</v>
      </c>
      <c r="R23" s="25">
        <v>14514</v>
      </c>
      <c r="S23" s="25">
        <v>18404</v>
      </c>
    </row>
    <row r="24" spans="2:24" x14ac:dyDescent="0.25">
      <c r="B24" s="78" t="s">
        <v>348</v>
      </c>
      <c r="C24" s="24"/>
      <c r="D24" s="26">
        <f>D23/C23-1</f>
        <v>0.17871900826446274</v>
      </c>
      <c r="E24" s="26">
        <f t="shared" ref="E24:S24" si="11">E23/D23-1</f>
        <v>0.5354951796669587</v>
      </c>
      <c r="F24" s="26">
        <f t="shared" si="11"/>
        <v>8.4474885844748826E-2</v>
      </c>
      <c r="G24" s="26">
        <f t="shared" si="11"/>
        <v>1.5789473684211242E-3</v>
      </c>
      <c r="H24" s="26">
        <f t="shared" si="11"/>
        <v>7.6195480819758243E-2</v>
      </c>
      <c r="I24" s="26">
        <f t="shared" si="11"/>
        <v>0.1552734375</v>
      </c>
      <c r="J24" s="26">
        <f t="shared" si="11"/>
        <v>0.24091293322062546</v>
      </c>
      <c r="K24" s="26">
        <f t="shared" si="11"/>
        <v>0.11137602179836503</v>
      </c>
      <c r="L24" s="26">
        <f t="shared" si="11"/>
        <v>0.14924915721728471</v>
      </c>
      <c r="M24" s="26">
        <f t="shared" si="11"/>
        <v>1.4933333333333243E-2</v>
      </c>
      <c r="N24" s="26">
        <f t="shared" si="11"/>
        <v>7.0940620073567384E-3</v>
      </c>
      <c r="O24" s="26">
        <f t="shared" si="11"/>
        <v>-5.6613618575528268E-2</v>
      </c>
      <c r="P24" s="26">
        <f t="shared" si="11"/>
        <v>0.18473451327433632</v>
      </c>
      <c r="Q24" s="26">
        <f t="shared" si="11"/>
        <v>1.4096638655462184</v>
      </c>
      <c r="R24" s="26">
        <f t="shared" si="11"/>
        <v>0.40598663179308336</v>
      </c>
      <c r="S24" s="26">
        <f t="shared" si="11"/>
        <v>0.2680170869505305</v>
      </c>
    </row>
    <row r="25" spans="2:24" x14ac:dyDescent="0.25">
      <c r="B25" s="78" t="s">
        <v>347</v>
      </c>
      <c r="C25" s="26">
        <f>C23/C$43</f>
        <v>0.3117552334943639</v>
      </c>
      <c r="D25" s="26">
        <f t="shared" ref="D25:S25" si="12">D23/D$43</f>
        <v>0.37045454545454548</v>
      </c>
      <c r="E25" s="26">
        <f t="shared" si="12"/>
        <v>0.45318158303155714</v>
      </c>
      <c r="F25" s="26">
        <f t="shared" si="12"/>
        <v>0.40203131612357174</v>
      </c>
      <c r="G25" s="26">
        <f t="shared" si="12"/>
        <v>0.38037177693383972</v>
      </c>
      <c r="H25" s="26">
        <f t="shared" si="12"/>
        <v>0.3617735382441265</v>
      </c>
      <c r="I25" s="26">
        <f t="shared" si="12"/>
        <v>0.36360842169970803</v>
      </c>
      <c r="J25" s="26">
        <f t="shared" si="12"/>
        <v>0.41334647332113189</v>
      </c>
      <c r="K25" s="26">
        <f t="shared" si="12"/>
        <v>0.42692659950281303</v>
      </c>
      <c r="L25" s="26">
        <f t="shared" si="12"/>
        <v>0.45246138996138996</v>
      </c>
      <c r="M25" s="26">
        <f t="shared" si="12"/>
        <v>0.56772076372315039</v>
      </c>
      <c r="N25" s="26">
        <f t="shared" si="12"/>
        <v>0.64626538526386779</v>
      </c>
      <c r="O25" s="26">
        <f t="shared" si="12"/>
        <v>0.59758717567344244</v>
      </c>
      <c r="P25" s="26">
        <f t="shared" si="12"/>
        <v>0.59566184649610676</v>
      </c>
      <c r="Q25" s="26">
        <f t="shared" si="12"/>
        <v>0.76427037832235134</v>
      </c>
      <c r="R25" s="26">
        <f t="shared" si="12"/>
        <v>0.80099337748344368</v>
      </c>
      <c r="S25" s="26">
        <f t="shared" si="12"/>
        <v>0.8326471519703208</v>
      </c>
    </row>
    <row r="27" spans="2:24" x14ac:dyDescent="0.25">
      <c r="B27" s="3" t="s">
        <v>246</v>
      </c>
      <c r="C27" s="24">
        <v>1491</v>
      </c>
      <c r="D27" s="24">
        <v>1339</v>
      </c>
      <c r="E27" s="24">
        <v>1654</v>
      </c>
      <c r="F27" s="25">
        <v>2271</v>
      </c>
      <c r="G27" s="25">
        <v>2495</v>
      </c>
      <c r="H27" s="25">
        <v>2760</v>
      </c>
      <c r="I27" s="25">
        <v>3061</v>
      </c>
      <c r="J27" s="25">
        <v>3221</v>
      </c>
      <c r="K27" s="25">
        <v>3420</v>
      </c>
      <c r="L27" s="25">
        <v>3620</v>
      </c>
      <c r="M27" s="25">
        <v>2042</v>
      </c>
      <c r="N27" s="25">
        <v>1574</v>
      </c>
      <c r="O27" s="25">
        <v>1831</v>
      </c>
      <c r="P27" s="25">
        <v>2240</v>
      </c>
      <c r="Q27" s="25">
        <v>2486</v>
      </c>
      <c r="R27" s="25">
        <v>2856</v>
      </c>
      <c r="S27" s="25">
        <v>2865</v>
      </c>
    </row>
    <row r="28" spans="2:24" x14ac:dyDescent="0.25">
      <c r="B28" s="78" t="s">
        <v>348</v>
      </c>
      <c r="C28" s="24"/>
      <c r="D28" s="26">
        <f t="shared" ref="D28:S28" si="13">D27/C27-1</f>
        <v>-0.10194500335345402</v>
      </c>
      <c r="E28" s="26">
        <f t="shared" si="13"/>
        <v>0.23525018670649733</v>
      </c>
      <c r="F28" s="26">
        <f t="shared" si="13"/>
        <v>0.37303506650544138</v>
      </c>
      <c r="G28" s="26">
        <f t="shared" si="13"/>
        <v>9.8634962571554352E-2</v>
      </c>
      <c r="H28" s="26">
        <f t="shared" si="13"/>
        <v>0.10621242484969939</v>
      </c>
      <c r="I28" s="26">
        <f t="shared" si="13"/>
        <v>0.10905797101449277</v>
      </c>
      <c r="J28" s="26">
        <f t="shared" si="13"/>
        <v>5.2270499836654771E-2</v>
      </c>
      <c r="K28" s="26">
        <f t="shared" si="13"/>
        <v>6.1782055262340929E-2</v>
      </c>
      <c r="L28" s="26">
        <f t="shared" si="13"/>
        <v>5.8479532163742798E-2</v>
      </c>
      <c r="M28" s="26">
        <f t="shared" si="13"/>
        <v>-0.43591160220994474</v>
      </c>
      <c r="N28" s="26">
        <f t="shared" si="13"/>
        <v>-0.2291870714985309</v>
      </c>
      <c r="O28" s="26">
        <f t="shared" si="13"/>
        <v>0.1632782719186785</v>
      </c>
      <c r="P28" s="26">
        <f t="shared" si="13"/>
        <v>0.22337520480611683</v>
      </c>
      <c r="Q28" s="26">
        <f t="shared" si="13"/>
        <v>0.10982142857142851</v>
      </c>
      <c r="R28" s="26">
        <f t="shared" si="13"/>
        <v>0.14883346741753822</v>
      </c>
      <c r="S28" s="26">
        <f t="shared" si="13"/>
        <v>3.1512605042016695E-3</v>
      </c>
    </row>
    <row r="29" spans="2:24" x14ac:dyDescent="0.25">
      <c r="B29" s="78" t="s">
        <v>347</v>
      </c>
      <c r="C29" s="26">
        <f>C27/C$43</f>
        <v>0.48019323671497582</v>
      </c>
      <c r="D29" s="26">
        <f t="shared" ref="D29:S29" si="14">D27/D$43</f>
        <v>0.43474025974025976</v>
      </c>
      <c r="E29" s="26">
        <f t="shared" si="14"/>
        <v>0.42783238489394726</v>
      </c>
      <c r="F29" s="26">
        <f t="shared" si="14"/>
        <v>0.48053322048243757</v>
      </c>
      <c r="G29" s="26">
        <f t="shared" si="14"/>
        <v>0.49870077953228065</v>
      </c>
      <c r="H29" s="26">
        <f t="shared" si="14"/>
        <v>0.48754636989931105</v>
      </c>
      <c r="I29" s="26">
        <f t="shared" si="14"/>
        <v>0.47041647456585217</v>
      </c>
      <c r="J29" s="26">
        <f t="shared" si="14"/>
        <v>0.45347036463466139</v>
      </c>
      <c r="K29" s="26">
        <f t="shared" si="14"/>
        <v>0.44746827162109121</v>
      </c>
      <c r="L29" s="26">
        <f t="shared" si="14"/>
        <v>0.43677606177606176</v>
      </c>
      <c r="M29" s="26">
        <f t="shared" si="14"/>
        <v>0.3045942720763723</v>
      </c>
      <c r="N29" s="26">
        <f t="shared" si="14"/>
        <v>0.26538526386781319</v>
      </c>
      <c r="O29" s="26">
        <f t="shared" si="14"/>
        <v>0.30259461246075031</v>
      </c>
      <c r="P29" s="26">
        <f t="shared" si="14"/>
        <v>0.31145717463848721</v>
      </c>
      <c r="Q29" s="26">
        <f t="shared" si="14"/>
        <v>0.18405271340786258</v>
      </c>
      <c r="R29" s="26">
        <f t="shared" si="14"/>
        <v>0.15761589403973511</v>
      </c>
      <c r="S29" s="26">
        <f t="shared" si="14"/>
        <v>0.12962041351852691</v>
      </c>
      <c r="T29" s="26"/>
    </row>
    <row r="30" spans="2:24" x14ac:dyDescent="0.25">
      <c r="X30" s="18"/>
    </row>
    <row r="31" spans="2:24" x14ac:dyDescent="0.25">
      <c r="B31" s="3" t="s">
        <v>247</v>
      </c>
      <c r="C31" s="24">
        <v>331</v>
      </c>
      <c r="D31" s="24">
        <v>307</v>
      </c>
      <c r="E31" s="24">
        <v>203</v>
      </c>
      <c r="F31" s="25">
        <v>236</v>
      </c>
      <c r="G31" s="25">
        <v>307</v>
      </c>
      <c r="H31" s="25">
        <v>372</v>
      </c>
      <c r="I31" s="25">
        <v>519</v>
      </c>
      <c r="J31" s="25">
        <v>577</v>
      </c>
      <c r="K31" s="25">
        <v>643</v>
      </c>
      <c r="L31" s="25">
        <v>622</v>
      </c>
      <c r="M31" s="25">
        <v>496</v>
      </c>
      <c r="N31" s="25">
        <v>200</v>
      </c>
      <c r="O31" s="25">
        <v>226</v>
      </c>
      <c r="P31" s="25">
        <v>295</v>
      </c>
      <c r="Q31" s="25">
        <v>379</v>
      </c>
      <c r="R31" s="25">
        <v>416</v>
      </c>
      <c r="S31" s="25">
        <v>463</v>
      </c>
    </row>
    <row r="32" spans="2:24" x14ac:dyDescent="0.25">
      <c r="B32" s="78" t="s">
        <v>348</v>
      </c>
      <c r="C32" s="24"/>
      <c r="D32" s="26">
        <f t="shared" ref="D32:S32" si="15">D31/C31-1</f>
        <v>-7.2507552870090586E-2</v>
      </c>
      <c r="E32" s="26">
        <f t="shared" si="15"/>
        <v>-0.33876221498371339</v>
      </c>
      <c r="F32" s="26">
        <f t="shared" si="15"/>
        <v>0.16256157635467972</v>
      </c>
      <c r="G32" s="26">
        <f t="shared" si="15"/>
        <v>0.30084745762711873</v>
      </c>
      <c r="H32" s="26">
        <f t="shared" si="15"/>
        <v>0.21172638436482094</v>
      </c>
      <c r="I32" s="26">
        <f t="shared" si="15"/>
        <v>0.39516129032258074</v>
      </c>
      <c r="J32" s="26">
        <f t="shared" si="15"/>
        <v>0.11175337186897871</v>
      </c>
      <c r="K32" s="26">
        <f t="shared" si="15"/>
        <v>0.11438474870017323</v>
      </c>
      <c r="L32" s="26">
        <f t="shared" si="15"/>
        <v>-3.2659409020217689E-2</v>
      </c>
      <c r="M32" s="26">
        <f t="shared" si="15"/>
        <v>-0.202572347266881</v>
      </c>
      <c r="N32" s="26">
        <f t="shared" si="15"/>
        <v>-0.59677419354838712</v>
      </c>
      <c r="O32" s="26">
        <f t="shared" si="15"/>
        <v>0.12999999999999989</v>
      </c>
      <c r="P32" s="26">
        <f t="shared" si="15"/>
        <v>0.30530973451327426</v>
      </c>
      <c r="Q32" s="26">
        <f t="shared" si="15"/>
        <v>0.28474576271186436</v>
      </c>
      <c r="R32" s="26">
        <f t="shared" si="15"/>
        <v>9.7625329815303363E-2</v>
      </c>
      <c r="S32" s="26">
        <f t="shared" si="15"/>
        <v>0.11298076923076916</v>
      </c>
    </row>
    <row r="33" spans="2:19" x14ac:dyDescent="0.25">
      <c r="B33" s="78" t="s">
        <v>347</v>
      </c>
      <c r="C33" s="26">
        <f>C31/C$43</f>
        <v>0.10660225442834138</v>
      </c>
      <c r="D33" s="26">
        <f t="shared" ref="D33:S33" si="16">D31/D$43</f>
        <v>9.9675324675324681E-2</v>
      </c>
      <c r="E33" s="26">
        <f t="shared" si="16"/>
        <v>5.2509053285049144E-2</v>
      </c>
      <c r="F33" s="26">
        <f t="shared" si="16"/>
        <v>4.9936521371138382E-2</v>
      </c>
      <c r="G33" s="26">
        <f t="shared" si="16"/>
        <v>6.1363182090745552E-2</v>
      </c>
      <c r="H33" s="26">
        <f t="shared" si="16"/>
        <v>6.5712771595124536E-2</v>
      </c>
      <c r="I33" s="26">
        <f t="shared" si="16"/>
        <v>7.9760258183494692E-2</v>
      </c>
      <c r="J33" s="26">
        <f t="shared" si="16"/>
        <v>8.1233281711952696E-2</v>
      </c>
      <c r="K33" s="26">
        <f t="shared" si="16"/>
        <v>8.4129268611801644E-2</v>
      </c>
      <c r="L33" s="26">
        <f t="shared" si="16"/>
        <v>7.5048262548262551E-2</v>
      </c>
      <c r="M33" s="26">
        <f t="shared" si="16"/>
        <v>7.3985680190930783E-2</v>
      </c>
      <c r="N33" s="26">
        <f t="shared" si="16"/>
        <v>3.3721126285617943E-2</v>
      </c>
      <c r="O33" s="26">
        <f t="shared" si="16"/>
        <v>3.7349198479590152E-2</v>
      </c>
      <c r="P33" s="26">
        <f t="shared" si="16"/>
        <v>4.1017797552836487E-2</v>
      </c>
      <c r="Q33" s="26">
        <f t="shared" si="16"/>
        <v>2.8059524690901016E-2</v>
      </c>
      <c r="R33" s="26">
        <f t="shared" si="16"/>
        <v>2.2958057395143488E-2</v>
      </c>
      <c r="S33" s="26">
        <f t="shared" si="16"/>
        <v>2.0947382708229653E-2</v>
      </c>
    </row>
    <row r="35" spans="2:19" x14ac:dyDescent="0.25">
      <c r="B35" s="3" t="s">
        <v>248</v>
      </c>
      <c r="C35" s="24">
        <v>163</v>
      </c>
      <c r="D35" s="24">
        <v>155</v>
      </c>
      <c r="E35" s="24">
        <v>111</v>
      </c>
      <c r="F35" s="25">
        <v>125</v>
      </c>
      <c r="G35" s="25">
        <v>145</v>
      </c>
      <c r="H35" s="25">
        <v>154</v>
      </c>
      <c r="I35" s="25">
        <v>152</v>
      </c>
      <c r="J35" s="25">
        <v>135</v>
      </c>
      <c r="K35" s="25">
        <v>125</v>
      </c>
      <c r="L35" s="25">
        <v>138</v>
      </c>
      <c r="M35" s="25">
        <v>220</v>
      </c>
      <c r="N35" s="25">
        <v>251</v>
      </c>
      <c r="O35" s="25">
        <v>294</v>
      </c>
      <c r="P35" s="25">
        <v>296</v>
      </c>
      <c r="Q35" s="25">
        <v>253</v>
      </c>
      <c r="R35" s="25">
        <v>261</v>
      </c>
      <c r="S35" s="25">
        <v>281</v>
      </c>
    </row>
    <row r="36" spans="2:19" x14ac:dyDescent="0.25">
      <c r="B36" s="78" t="s">
        <v>348</v>
      </c>
      <c r="C36" s="24"/>
      <c r="D36" s="26">
        <f t="shared" ref="D36:S36" si="17">D35/C35-1</f>
        <v>-4.9079754601227044E-2</v>
      </c>
      <c r="E36" s="26">
        <f t="shared" si="17"/>
        <v>-0.28387096774193543</v>
      </c>
      <c r="F36" s="26">
        <f t="shared" si="17"/>
        <v>0.12612612612612617</v>
      </c>
      <c r="G36" s="26">
        <f t="shared" si="17"/>
        <v>0.15999999999999992</v>
      </c>
      <c r="H36" s="26">
        <f t="shared" si="17"/>
        <v>6.2068965517241281E-2</v>
      </c>
      <c r="I36" s="26">
        <f t="shared" si="17"/>
        <v>-1.2987012987012991E-2</v>
      </c>
      <c r="J36" s="26">
        <f t="shared" si="17"/>
        <v>-0.11184210526315785</v>
      </c>
      <c r="K36" s="26">
        <f t="shared" si="17"/>
        <v>-7.407407407407407E-2</v>
      </c>
      <c r="L36" s="26">
        <f t="shared" si="17"/>
        <v>0.10400000000000009</v>
      </c>
      <c r="M36" s="26">
        <f t="shared" si="17"/>
        <v>0.59420289855072461</v>
      </c>
      <c r="N36" s="26">
        <f t="shared" si="17"/>
        <v>0.14090909090909087</v>
      </c>
      <c r="O36" s="26">
        <f t="shared" si="17"/>
        <v>0.17131474103585664</v>
      </c>
      <c r="P36" s="26">
        <f t="shared" si="17"/>
        <v>6.8027210884353817E-3</v>
      </c>
      <c r="Q36" s="26">
        <f t="shared" si="17"/>
        <v>-0.14527027027027029</v>
      </c>
      <c r="R36" s="26">
        <f t="shared" si="17"/>
        <v>3.1620553359683834E-2</v>
      </c>
      <c r="S36" s="26">
        <f t="shared" si="17"/>
        <v>7.6628352490421436E-2</v>
      </c>
    </row>
    <row r="37" spans="2:19" x14ac:dyDescent="0.25">
      <c r="B37" s="78" t="s">
        <v>347</v>
      </c>
      <c r="C37" s="26">
        <f t="shared" ref="C37:S37" si="18">C35/C$43</f>
        <v>5.2495974235104673E-2</v>
      </c>
      <c r="D37" s="26">
        <f t="shared" si="18"/>
        <v>5.0324675324675328E-2</v>
      </c>
      <c r="E37" s="26">
        <f t="shared" si="18"/>
        <v>2.8711846870150024E-2</v>
      </c>
      <c r="F37" s="26">
        <f t="shared" si="18"/>
        <v>2.6449428692340245E-2</v>
      </c>
      <c r="G37" s="26">
        <f t="shared" si="18"/>
        <v>2.8982610433739755E-2</v>
      </c>
      <c r="H37" s="26">
        <f t="shared" si="18"/>
        <v>2.7203674262497791E-2</v>
      </c>
      <c r="I37" s="26">
        <f t="shared" si="18"/>
        <v>2.3359459044106346E-2</v>
      </c>
      <c r="J37" s="26">
        <f t="shared" si="18"/>
        <v>1.9006053780092919E-2</v>
      </c>
      <c r="K37" s="26">
        <f t="shared" si="18"/>
        <v>1.635483448907497E-2</v>
      </c>
      <c r="L37" s="26">
        <f t="shared" si="18"/>
        <v>1.6650579150579152E-2</v>
      </c>
      <c r="M37" s="26">
        <f t="shared" si="18"/>
        <v>3.2816229116945109E-2</v>
      </c>
      <c r="N37" s="26">
        <f t="shared" si="18"/>
        <v>4.2320013488450513E-2</v>
      </c>
      <c r="O37" s="26">
        <f t="shared" si="18"/>
        <v>4.8587010411502228E-2</v>
      </c>
      <c r="P37" s="26">
        <f t="shared" si="18"/>
        <v>4.1156840934371525E-2</v>
      </c>
      <c r="Q37" s="26">
        <f t="shared" si="18"/>
        <v>1.8731028355667433E-2</v>
      </c>
      <c r="R37" s="26">
        <f t="shared" si="18"/>
        <v>1.4403973509933774E-2</v>
      </c>
      <c r="S37" s="26">
        <f t="shared" si="18"/>
        <v>1.2713206352078904E-2</v>
      </c>
    </row>
    <row r="39" spans="2:19" x14ac:dyDescent="0.25">
      <c r="B39" s="3" t="s">
        <v>249</v>
      </c>
      <c r="C39" s="24">
        <v>152</v>
      </c>
      <c r="D39" s="24">
        <v>138</v>
      </c>
      <c r="E39" s="24">
        <v>146</v>
      </c>
      <c r="F39" s="25">
        <v>194</v>
      </c>
      <c r="G39" s="25">
        <v>153</v>
      </c>
      <c r="H39" s="25">
        <v>327</v>
      </c>
      <c r="I39" s="25">
        <v>409</v>
      </c>
      <c r="J39" s="25">
        <v>234</v>
      </c>
      <c r="K39" s="25">
        <v>192</v>
      </c>
      <c r="L39" s="25">
        <v>158</v>
      </c>
      <c r="M39" s="25">
        <v>140</v>
      </c>
      <c r="N39" s="25">
        <v>73</v>
      </c>
      <c r="O39" s="25">
        <v>84</v>
      </c>
      <c r="P39" s="25">
        <v>77</v>
      </c>
      <c r="Q39" s="25">
        <v>66</v>
      </c>
      <c r="R39" s="25">
        <v>73</v>
      </c>
      <c r="S39" s="25">
        <v>90</v>
      </c>
    </row>
    <row r="40" spans="2:19" x14ac:dyDescent="0.25">
      <c r="B40" s="78" t="s">
        <v>348</v>
      </c>
      <c r="C40" s="24"/>
      <c r="D40" s="26">
        <f t="shared" ref="D40:S40" si="19">D39/C39-1</f>
        <v>-9.210526315789469E-2</v>
      </c>
      <c r="E40" s="26">
        <f t="shared" si="19"/>
        <v>5.7971014492753659E-2</v>
      </c>
      <c r="F40" s="26">
        <f t="shared" si="19"/>
        <v>0.32876712328767121</v>
      </c>
      <c r="G40" s="26">
        <f t="shared" si="19"/>
        <v>-0.21134020618556704</v>
      </c>
      <c r="H40" s="26">
        <f t="shared" si="19"/>
        <v>1.1372549019607843</v>
      </c>
      <c r="I40" s="26">
        <f t="shared" si="19"/>
        <v>0.25076452599388377</v>
      </c>
      <c r="J40" s="26">
        <f t="shared" si="19"/>
        <v>-0.42787286063569685</v>
      </c>
      <c r="K40" s="26">
        <f t="shared" si="19"/>
        <v>-0.17948717948717952</v>
      </c>
      <c r="L40" s="26">
        <f t="shared" si="19"/>
        <v>-0.17708333333333337</v>
      </c>
      <c r="M40" s="26">
        <f t="shared" si="19"/>
        <v>-0.11392405063291144</v>
      </c>
      <c r="N40" s="26">
        <f t="shared" si="19"/>
        <v>-0.47857142857142854</v>
      </c>
      <c r="O40" s="26">
        <f t="shared" si="19"/>
        <v>0.15068493150684925</v>
      </c>
      <c r="P40" s="26">
        <f t="shared" si="19"/>
        <v>-8.333333333333337E-2</v>
      </c>
      <c r="Q40" s="26">
        <f t="shared" si="19"/>
        <v>-0.1428571428571429</v>
      </c>
      <c r="R40" s="26">
        <f t="shared" si="19"/>
        <v>0.10606060606060597</v>
      </c>
      <c r="S40" s="26">
        <f t="shared" si="19"/>
        <v>0.23287671232876717</v>
      </c>
    </row>
    <row r="41" spans="2:19" x14ac:dyDescent="0.25">
      <c r="B41" s="78" t="s">
        <v>347</v>
      </c>
      <c r="C41" s="26">
        <f>C39/C$43</f>
        <v>4.8953301127214167E-2</v>
      </c>
      <c r="D41" s="26">
        <f t="shared" ref="D41:S41" si="20">D39/D$43</f>
        <v>4.4805194805194806E-2</v>
      </c>
      <c r="E41" s="26">
        <f t="shared" si="20"/>
        <v>3.7765131919296431E-2</v>
      </c>
      <c r="F41" s="26">
        <f t="shared" si="20"/>
        <v>4.1049513330512058E-2</v>
      </c>
      <c r="G41" s="26">
        <f t="shared" si="20"/>
        <v>3.0581651009394362E-2</v>
      </c>
      <c r="H41" s="26">
        <f t="shared" si="20"/>
        <v>5.7763645998940114E-2</v>
      </c>
      <c r="I41" s="26">
        <f t="shared" si="20"/>
        <v>6.2855386506838792E-2</v>
      </c>
      <c r="J41" s="26">
        <f t="shared" si="20"/>
        <v>3.2943826552161055E-2</v>
      </c>
      <c r="K41" s="26">
        <f t="shared" si="20"/>
        <v>2.5121025775219154E-2</v>
      </c>
      <c r="L41" s="26">
        <f t="shared" si="20"/>
        <v>1.9063706563706564E-2</v>
      </c>
      <c r="M41" s="26">
        <f t="shared" si="20"/>
        <v>2.0883054892601432E-2</v>
      </c>
      <c r="N41" s="26">
        <f t="shared" si="20"/>
        <v>1.2308211094250548E-2</v>
      </c>
      <c r="O41" s="26">
        <f t="shared" si="20"/>
        <v>1.3882002974714923E-2</v>
      </c>
      <c r="P41" s="26">
        <f t="shared" si="20"/>
        <v>1.0706340378197997E-2</v>
      </c>
      <c r="Q41" s="26">
        <f t="shared" si="20"/>
        <v>4.8863552232175905E-3</v>
      </c>
      <c r="R41" s="26">
        <f t="shared" si="20"/>
        <v>4.0286975717439295E-3</v>
      </c>
      <c r="S41" s="26">
        <f t="shared" si="20"/>
        <v>4.0718454508437765E-3</v>
      </c>
    </row>
    <row r="43" spans="2:19" x14ac:dyDescent="0.25">
      <c r="B43" s="23" t="s">
        <v>250</v>
      </c>
      <c r="C43" s="27">
        <f t="shared" ref="C43:S43" si="21">SUM(C23,C27,C31,C35,C39)</f>
        <v>3105</v>
      </c>
      <c r="D43" s="27">
        <f t="shared" si="21"/>
        <v>3080</v>
      </c>
      <c r="E43" s="27">
        <f t="shared" si="21"/>
        <v>3866</v>
      </c>
      <c r="F43" s="28">
        <f t="shared" si="21"/>
        <v>4726</v>
      </c>
      <c r="G43" s="28">
        <f t="shared" si="21"/>
        <v>5003</v>
      </c>
      <c r="H43" s="28">
        <f t="shared" si="21"/>
        <v>5661</v>
      </c>
      <c r="I43" s="28">
        <f t="shared" si="21"/>
        <v>6507</v>
      </c>
      <c r="J43" s="28">
        <f t="shared" si="21"/>
        <v>7103</v>
      </c>
      <c r="K43" s="28">
        <f t="shared" si="21"/>
        <v>7643</v>
      </c>
      <c r="L43" s="28">
        <f t="shared" si="21"/>
        <v>8288</v>
      </c>
      <c r="M43" s="28">
        <f t="shared" si="21"/>
        <v>6704</v>
      </c>
      <c r="N43" s="28">
        <f t="shared" si="21"/>
        <v>5931</v>
      </c>
      <c r="O43" s="28">
        <f t="shared" si="21"/>
        <v>6051</v>
      </c>
      <c r="P43" s="28">
        <f t="shared" si="21"/>
        <v>7192</v>
      </c>
      <c r="Q43" s="28">
        <f t="shared" si="21"/>
        <v>13507</v>
      </c>
      <c r="R43" s="28">
        <f t="shared" si="21"/>
        <v>18120</v>
      </c>
      <c r="S43" s="28">
        <f t="shared" si="21"/>
        <v>22103</v>
      </c>
    </row>
    <row r="44" spans="2:19" x14ac:dyDescent="0.25">
      <c r="B44" s="3" t="s">
        <v>348</v>
      </c>
      <c r="C44" s="29"/>
      <c r="D44" s="26">
        <f t="shared" ref="D44:S44" si="22">D43/C43-1</f>
        <v>-8.0515297906602612E-3</v>
      </c>
      <c r="E44" s="26">
        <f t="shared" si="22"/>
        <v>0.2551948051948052</v>
      </c>
      <c r="F44" s="26">
        <f t="shared" si="22"/>
        <v>0.22245214692188298</v>
      </c>
      <c r="G44" s="26">
        <f t="shared" si="22"/>
        <v>5.8611933982225972E-2</v>
      </c>
      <c r="H44" s="26">
        <f t="shared" si="22"/>
        <v>0.13152108734759138</v>
      </c>
      <c r="I44" s="26">
        <f t="shared" si="22"/>
        <v>0.14944356120826718</v>
      </c>
      <c r="J44" s="26">
        <f t="shared" si="22"/>
        <v>9.1593668357153879E-2</v>
      </c>
      <c r="K44" s="26">
        <f t="shared" si="22"/>
        <v>7.6024215120371608E-2</v>
      </c>
      <c r="L44" s="26">
        <f t="shared" si="22"/>
        <v>8.4390945963626951E-2</v>
      </c>
      <c r="M44" s="26">
        <f t="shared" si="22"/>
        <v>-0.19111969111969107</v>
      </c>
      <c r="N44" s="26">
        <f t="shared" si="22"/>
        <v>-0.11530429594272074</v>
      </c>
      <c r="O44" s="26">
        <f t="shared" si="22"/>
        <v>2.0232675771370667E-2</v>
      </c>
      <c r="P44" s="26">
        <f t="shared" si="22"/>
        <v>0.1885638737398776</v>
      </c>
      <c r="Q44" s="26">
        <f t="shared" si="22"/>
        <v>0.87805895439377091</v>
      </c>
      <c r="R44" s="26">
        <f t="shared" si="22"/>
        <v>0.34152661582882948</v>
      </c>
      <c r="S44" s="26">
        <f t="shared" si="22"/>
        <v>0.21981236203090515</v>
      </c>
    </row>
    <row r="46" spans="2:19" x14ac:dyDescent="0.25">
      <c r="B46" s="3" t="s">
        <v>249</v>
      </c>
      <c r="C46" t="s">
        <v>257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A028-7668-4433-90E3-21FA98D03955}">
  <dimension ref="A1:O25"/>
  <sheetViews>
    <sheetView showGridLines="0" workbookViewId="0">
      <selection activeCell="B1" sqref="B1:N1"/>
    </sheetView>
  </sheetViews>
  <sheetFormatPr defaultRowHeight="15" x14ac:dyDescent="0.25"/>
  <cols>
    <col min="1" max="1" width="40.42578125" bestFit="1" customWidth="1"/>
    <col min="2" max="2" width="13.140625" bestFit="1" customWidth="1"/>
    <col min="3" max="3" width="15.85546875" bestFit="1" customWidth="1"/>
    <col min="4" max="4" width="15.42578125" bestFit="1" customWidth="1"/>
    <col min="5" max="5" width="16" bestFit="1" customWidth="1"/>
    <col min="6" max="6" width="13.5703125" bestFit="1" customWidth="1"/>
    <col min="7" max="7" width="15.85546875" bestFit="1" customWidth="1"/>
    <col min="8" max="8" width="15.42578125" bestFit="1" customWidth="1"/>
    <col min="9" max="9" width="16" bestFit="1" customWidth="1"/>
    <col min="10" max="10" width="15.85546875" bestFit="1" customWidth="1"/>
    <col min="11" max="11" width="16.140625" bestFit="1" customWidth="1"/>
    <col min="12" max="12" width="15.42578125" bestFit="1" customWidth="1"/>
    <col min="13" max="13" width="16" bestFit="1" customWidth="1"/>
    <col min="14" max="14" width="15.85546875" bestFit="1" customWidth="1"/>
    <col min="15" max="22" width="11.140625" bestFit="1" customWidth="1"/>
  </cols>
  <sheetData>
    <row r="1" spans="1:14" x14ac:dyDescent="0.25">
      <c r="A1" t="s">
        <v>291</v>
      </c>
      <c r="B1" t="s">
        <v>400</v>
      </c>
      <c r="C1" s="9" t="s">
        <v>202</v>
      </c>
      <c r="D1" s="9" t="s">
        <v>401</v>
      </c>
      <c r="E1" s="9" t="s">
        <v>402</v>
      </c>
      <c r="F1" s="10" t="s">
        <v>185</v>
      </c>
      <c r="G1" s="9" t="s">
        <v>124</v>
      </c>
      <c r="H1" s="9" t="s">
        <v>403</v>
      </c>
      <c r="I1" s="9" t="s">
        <v>404</v>
      </c>
      <c r="J1" s="9" t="s">
        <v>405</v>
      </c>
      <c r="K1" s="12" t="s">
        <v>406</v>
      </c>
      <c r="L1" s="12" t="s">
        <v>407</v>
      </c>
      <c r="M1" s="13" t="s">
        <v>408</v>
      </c>
      <c r="N1" s="13" t="s">
        <v>409</v>
      </c>
    </row>
    <row r="2" spans="1:14" x14ac:dyDescent="0.25">
      <c r="A2" t="s">
        <v>6</v>
      </c>
      <c r="B2" s="38">
        <v>5003</v>
      </c>
      <c r="C2" s="38" t="s">
        <v>186</v>
      </c>
      <c r="D2" s="38" t="s">
        <v>203</v>
      </c>
      <c r="E2" s="38">
        <v>7103</v>
      </c>
      <c r="F2" s="38">
        <v>7643</v>
      </c>
      <c r="G2" s="38">
        <v>8288</v>
      </c>
      <c r="H2" s="38" t="s">
        <v>125</v>
      </c>
      <c r="I2" s="38" t="s">
        <v>168</v>
      </c>
      <c r="J2" s="38">
        <v>6051</v>
      </c>
      <c r="K2" s="67">
        <v>7192</v>
      </c>
      <c r="L2" s="67">
        <v>13507</v>
      </c>
      <c r="M2" s="68">
        <v>18120</v>
      </c>
      <c r="N2" s="68">
        <v>22103</v>
      </c>
    </row>
    <row r="3" spans="1:14" x14ac:dyDescent="0.25">
      <c r="A3" t="s">
        <v>7</v>
      </c>
      <c r="B3" s="19">
        <v>1846</v>
      </c>
      <c r="C3" s="19" t="s">
        <v>187</v>
      </c>
      <c r="D3" s="19" t="s">
        <v>204</v>
      </c>
      <c r="E3" s="19" t="s">
        <v>141</v>
      </c>
      <c r="F3" s="19">
        <v>2643</v>
      </c>
      <c r="G3" s="19">
        <v>2857</v>
      </c>
      <c r="H3" s="19" t="s">
        <v>126</v>
      </c>
      <c r="I3" s="19" t="s">
        <v>169</v>
      </c>
      <c r="J3" s="19">
        <v>2218</v>
      </c>
      <c r="K3" s="69">
        <v>2544</v>
      </c>
      <c r="L3" s="69">
        <v>4045</v>
      </c>
      <c r="M3" s="70">
        <v>4720</v>
      </c>
      <c r="N3" s="70">
        <v>5312</v>
      </c>
    </row>
    <row r="4" spans="1:14" x14ac:dyDescent="0.25">
      <c r="A4" t="s">
        <v>14</v>
      </c>
      <c r="B4" s="19">
        <v>3157</v>
      </c>
      <c r="C4" s="19" t="s">
        <v>188</v>
      </c>
      <c r="D4" s="19" t="s">
        <v>205</v>
      </c>
      <c r="E4" s="19" t="s">
        <v>219</v>
      </c>
      <c r="F4" s="19">
        <v>5000</v>
      </c>
      <c r="G4" s="19">
        <v>5431</v>
      </c>
      <c r="H4" s="19" t="s">
        <v>127</v>
      </c>
      <c r="I4" s="19" t="s">
        <v>170</v>
      </c>
      <c r="J4" s="19">
        <v>3833</v>
      </c>
      <c r="K4" s="67">
        <v>4648</v>
      </c>
      <c r="L4" s="67">
        <v>9462</v>
      </c>
      <c r="M4" s="68">
        <v>13400</v>
      </c>
      <c r="N4" s="68">
        <v>16791</v>
      </c>
    </row>
    <row r="5" spans="1:14" x14ac:dyDescent="0.25">
      <c r="A5" s="2" t="s">
        <v>50</v>
      </c>
      <c r="B5" s="19"/>
      <c r="C5" s="19"/>
      <c r="D5" s="19"/>
      <c r="E5" s="19"/>
      <c r="F5" s="19"/>
      <c r="G5" s="19"/>
      <c r="H5" s="19"/>
      <c r="I5" s="19"/>
      <c r="J5" s="19"/>
      <c r="K5" s="69"/>
      <c r="L5" s="69"/>
      <c r="M5" s="70"/>
      <c r="N5" s="70"/>
    </row>
    <row r="6" spans="1:14" x14ac:dyDescent="0.25">
      <c r="A6" t="s">
        <v>8</v>
      </c>
      <c r="B6" s="19">
        <v>1145</v>
      </c>
      <c r="C6" s="19" t="s">
        <v>189</v>
      </c>
      <c r="D6" s="19" t="s">
        <v>206</v>
      </c>
      <c r="E6" s="19" t="s">
        <v>220</v>
      </c>
      <c r="F6" s="19">
        <v>1467</v>
      </c>
      <c r="G6" s="19">
        <v>1618</v>
      </c>
      <c r="H6" s="19" t="s">
        <v>128</v>
      </c>
      <c r="I6" s="19" t="s">
        <v>171</v>
      </c>
      <c r="J6" s="19">
        <v>1952</v>
      </c>
      <c r="K6" s="67">
        <v>1875</v>
      </c>
      <c r="L6" s="67">
        <v>2040</v>
      </c>
      <c r="M6" s="68">
        <v>2294</v>
      </c>
      <c r="N6" s="68">
        <v>2466</v>
      </c>
    </row>
    <row r="7" spans="1:14" x14ac:dyDescent="0.25">
      <c r="A7" t="s">
        <v>51</v>
      </c>
      <c r="B7" s="19">
        <v>505</v>
      </c>
      <c r="C7" s="19" t="s">
        <v>190</v>
      </c>
      <c r="D7" s="19" t="s">
        <v>207</v>
      </c>
      <c r="E7" s="19" t="s">
        <v>221</v>
      </c>
      <c r="F7" s="19">
        <v>563</v>
      </c>
      <c r="G7" s="19">
        <v>592</v>
      </c>
      <c r="H7" s="19" t="s">
        <v>129</v>
      </c>
      <c r="I7" s="19" t="s">
        <v>172</v>
      </c>
      <c r="J7" s="19">
        <v>625</v>
      </c>
      <c r="K7" s="69">
        <v>633</v>
      </c>
      <c r="L7" s="69">
        <v>622</v>
      </c>
      <c r="M7" s="70">
        <v>689</v>
      </c>
      <c r="N7" s="70">
        <v>710</v>
      </c>
    </row>
    <row r="8" spans="1:14" x14ac:dyDescent="0.25">
      <c r="A8" t="s">
        <v>9</v>
      </c>
      <c r="B8" s="19" t="s">
        <v>52</v>
      </c>
      <c r="C8" s="19" t="s">
        <v>52</v>
      </c>
      <c r="D8" s="19" t="s">
        <v>52</v>
      </c>
      <c r="E8" s="19" t="s">
        <v>52</v>
      </c>
      <c r="F8" s="19"/>
      <c r="G8" s="19">
        <v>1353</v>
      </c>
      <c r="H8" s="19" t="s">
        <v>52</v>
      </c>
      <c r="I8" s="19" t="s">
        <v>52</v>
      </c>
      <c r="J8" s="19"/>
      <c r="K8" s="67" t="s">
        <v>52</v>
      </c>
      <c r="L8" s="67" t="s">
        <v>52</v>
      </c>
      <c r="M8" s="68" t="s">
        <v>52</v>
      </c>
      <c r="N8" s="68"/>
    </row>
    <row r="9" spans="1:14" x14ac:dyDescent="0.25">
      <c r="A9" t="s">
        <v>53</v>
      </c>
      <c r="B9" s="19">
        <v>1650</v>
      </c>
      <c r="C9" s="19" t="s">
        <v>191</v>
      </c>
      <c r="D9" s="19" t="s">
        <v>208</v>
      </c>
      <c r="E9" s="19" t="s">
        <v>222</v>
      </c>
      <c r="F9" s="19">
        <v>2030</v>
      </c>
      <c r="G9" s="19">
        <v>3563</v>
      </c>
      <c r="H9" s="19" t="s">
        <v>130</v>
      </c>
      <c r="I9" s="19" t="s">
        <v>173</v>
      </c>
      <c r="J9" s="19">
        <v>2577</v>
      </c>
      <c r="K9" s="69">
        <v>2508</v>
      </c>
      <c r="L9" s="69">
        <v>2662</v>
      </c>
      <c r="M9" s="70">
        <v>2983</v>
      </c>
      <c r="N9" s="70">
        <v>3176</v>
      </c>
    </row>
    <row r="10" spans="1:14" x14ac:dyDescent="0.25">
      <c r="A10" t="s">
        <v>54</v>
      </c>
      <c r="B10" s="19">
        <v>1507</v>
      </c>
      <c r="C10" s="19" t="s">
        <v>192</v>
      </c>
      <c r="D10" s="19" t="s">
        <v>209</v>
      </c>
      <c r="E10" s="19" t="s">
        <v>223</v>
      </c>
      <c r="F10" s="19">
        <v>2970</v>
      </c>
      <c r="G10" s="19">
        <v>1868</v>
      </c>
      <c r="H10" s="19" t="s">
        <v>131</v>
      </c>
      <c r="I10" s="19" t="s">
        <v>174</v>
      </c>
      <c r="J10" s="19">
        <v>1256</v>
      </c>
      <c r="K10" s="67">
        <v>2140</v>
      </c>
      <c r="L10" s="67">
        <v>6800</v>
      </c>
      <c r="M10" s="68">
        <v>10417</v>
      </c>
      <c r="N10" s="68">
        <v>13615</v>
      </c>
    </row>
    <row r="11" spans="1:14" x14ac:dyDescent="0.25">
      <c r="A11" t="s">
        <v>10</v>
      </c>
      <c r="B11" s="19">
        <v>7</v>
      </c>
      <c r="C11" s="19" t="s">
        <v>193</v>
      </c>
      <c r="D11" s="19" t="s">
        <v>193</v>
      </c>
      <c r="E11" s="19" t="s">
        <v>224</v>
      </c>
      <c r="F11" s="19">
        <v>10</v>
      </c>
      <c r="G11" s="19">
        <v>18</v>
      </c>
      <c r="H11" s="19" t="s">
        <v>132</v>
      </c>
      <c r="I11" s="19" t="s">
        <v>175</v>
      </c>
      <c r="J11" s="19">
        <v>115</v>
      </c>
      <c r="K11" s="69">
        <v>150</v>
      </c>
      <c r="L11" s="69">
        <v>187</v>
      </c>
      <c r="M11" s="70">
        <v>234</v>
      </c>
      <c r="N11" s="70">
        <v>295</v>
      </c>
    </row>
    <row r="12" spans="1:14" x14ac:dyDescent="0.25">
      <c r="A12" t="s">
        <v>11</v>
      </c>
      <c r="B12" s="19">
        <v>-52</v>
      </c>
      <c r="C12" s="19">
        <v>-53</v>
      </c>
      <c r="D12" s="19" t="s">
        <v>210</v>
      </c>
      <c r="E12" s="19" t="s">
        <v>225</v>
      </c>
      <c r="F12" s="19">
        <v>-61</v>
      </c>
      <c r="G12" s="19">
        <v>-68</v>
      </c>
      <c r="H12" s="19" t="s">
        <v>133</v>
      </c>
      <c r="I12" s="19" t="s">
        <v>133</v>
      </c>
      <c r="J12" s="19">
        <v>-64</v>
      </c>
      <c r="K12" s="67">
        <v>-66</v>
      </c>
      <c r="L12" s="67">
        <v>-65</v>
      </c>
      <c r="M12" s="68">
        <v>-63</v>
      </c>
      <c r="N12" s="68">
        <v>-63</v>
      </c>
    </row>
    <row r="13" spans="1:14" x14ac:dyDescent="0.25">
      <c r="A13" t="s">
        <v>55</v>
      </c>
      <c r="B13" s="19">
        <v>10</v>
      </c>
      <c r="C13" s="19" t="s">
        <v>194</v>
      </c>
      <c r="D13" s="19" t="s">
        <v>211</v>
      </c>
      <c r="E13" s="19" t="s">
        <v>226</v>
      </c>
      <c r="F13" s="19">
        <v>-54</v>
      </c>
      <c r="G13" s="19">
        <v>-13</v>
      </c>
      <c r="H13" s="19" t="s">
        <v>134</v>
      </c>
      <c r="I13" s="19" t="s">
        <v>176</v>
      </c>
      <c r="J13" s="19">
        <v>-19</v>
      </c>
      <c r="K13" s="69">
        <v>-15</v>
      </c>
      <c r="L13" s="69">
        <v>59</v>
      </c>
      <c r="M13" s="70">
        <v>-66</v>
      </c>
      <c r="N13" s="70">
        <v>259</v>
      </c>
    </row>
    <row r="14" spans="1:14" x14ac:dyDescent="0.25">
      <c r="A14" t="s">
        <v>56</v>
      </c>
      <c r="B14" s="19">
        <v>-36</v>
      </c>
      <c r="C14" s="19" t="s">
        <v>175</v>
      </c>
      <c r="D14" s="19" t="s">
        <v>117</v>
      </c>
      <c r="E14" s="19" t="s">
        <v>227</v>
      </c>
      <c r="F14" s="19">
        <v>-105</v>
      </c>
      <c r="G14" s="19">
        <v>-63</v>
      </c>
      <c r="H14" s="19" t="s">
        <v>135</v>
      </c>
      <c r="I14" s="19" t="s">
        <v>177</v>
      </c>
      <c r="J14" s="19">
        <v>32</v>
      </c>
      <c r="K14" s="67">
        <v>69</v>
      </c>
      <c r="L14" s="67">
        <v>181</v>
      </c>
      <c r="M14" s="68">
        <v>105</v>
      </c>
      <c r="N14" s="68">
        <v>491</v>
      </c>
    </row>
    <row r="15" spans="1:14" x14ac:dyDescent="0.25">
      <c r="A15" t="s">
        <v>57</v>
      </c>
      <c r="B15" s="19">
        <v>1471</v>
      </c>
      <c r="C15" s="19" t="s">
        <v>195</v>
      </c>
      <c r="D15" s="19" t="s">
        <v>212</v>
      </c>
      <c r="E15" s="19" t="s">
        <v>228</v>
      </c>
      <c r="F15" s="19">
        <v>2865</v>
      </c>
      <c r="G15" s="19">
        <v>1805</v>
      </c>
      <c r="H15" s="19" t="s">
        <v>136</v>
      </c>
      <c r="I15" s="19" t="s">
        <v>178</v>
      </c>
      <c r="J15" s="19">
        <v>1288</v>
      </c>
      <c r="K15" s="69">
        <v>2209</v>
      </c>
      <c r="L15" s="69">
        <v>6981</v>
      </c>
      <c r="M15" s="70">
        <v>10522</v>
      </c>
      <c r="N15" s="70">
        <v>14106</v>
      </c>
    </row>
    <row r="16" spans="1:14" x14ac:dyDescent="0.25">
      <c r="A16" t="s">
        <v>58</v>
      </c>
      <c r="B16" s="19">
        <v>14</v>
      </c>
      <c r="C16" s="19" t="s">
        <v>196</v>
      </c>
      <c r="D16" s="19" t="s">
        <v>213</v>
      </c>
      <c r="E16" s="19" t="s">
        <v>229</v>
      </c>
      <c r="F16" s="19">
        <v>-137</v>
      </c>
      <c r="G16" s="19">
        <v>187</v>
      </c>
      <c r="H16" s="19" t="s">
        <v>137</v>
      </c>
      <c r="I16" s="19" t="s">
        <v>179</v>
      </c>
      <c r="J16" s="19">
        <v>-126</v>
      </c>
      <c r="K16" s="67">
        <v>166</v>
      </c>
      <c r="L16" s="67">
        <v>793</v>
      </c>
      <c r="M16" s="68">
        <v>1279</v>
      </c>
      <c r="N16" s="68">
        <v>1820</v>
      </c>
    </row>
    <row r="17" spans="1:15" x14ac:dyDescent="0.25">
      <c r="A17" t="s">
        <v>59</v>
      </c>
      <c r="B17" s="19">
        <v>1457</v>
      </c>
      <c r="C17" s="19" t="s">
        <v>197</v>
      </c>
      <c r="D17" s="19" t="s">
        <v>214</v>
      </c>
      <c r="E17" s="19" t="s">
        <v>230</v>
      </c>
      <c r="F17" s="19">
        <v>3002</v>
      </c>
      <c r="G17" s="19">
        <v>1618</v>
      </c>
      <c r="H17" s="19" t="s">
        <v>138</v>
      </c>
      <c r="I17" s="19" t="s">
        <v>180</v>
      </c>
      <c r="J17" s="19">
        <v>1414</v>
      </c>
      <c r="K17" s="69">
        <v>2043</v>
      </c>
      <c r="L17" s="69">
        <v>6188</v>
      </c>
      <c r="M17" s="70">
        <v>9243</v>
      </c>
      <c r="N17" s="70">
        <v>12286</v>
      </c>
    </row>
    <row r="18" spans="1:15" x14ac:dyDescent="0.25">
      <c r="A18" t="s">
        <v>60</v>
      </c>
      <c r="B18">
        <v>0</v>
      </c>
      <c r="F18" s="3"/>
      <c r="G18" s="11"/>
      <c r="H18" s="11"/>
      <c r="I18" s="11"/>
      <c r="J18" s="11"/>
      <c r="K18" s="14"/>
      <c r="L18" s="14" t="s">
        <v>60</v>
      </c>
      <c r="M18" s="15"/>
      <c r="N18" s="15"/>
    </row>
    <row r="19" spans="1:15" x14ac:dyDescent="0.25">
      <c r="A19" t="s">
        <v>61</v>
      </c>
      <c r="B19">
        <v>0</v>
      </c>
      <c r="F19" s="3"/>
      <c r="G19" s="11"/>
      <c r="H19" s="11"/>
      <c r="I19" s="11"/>
      <c r="J19" s="11"/>
      <c r="K19" s="16"/>
      <c r="L19" s="16"/>
      <c r="M19" s="17"/>
      <c r="N19" s="17"/>
    </row>
    <row r="20" spans="1:15" x14ac:dyDescent="0.25">
      <c r="A20" t="s">
        <v>12</v>
      </c>
      <c r="B20" s="20">
        <v>2.3599999999999994</v>
      </c>
      <c r="C20" s="20" t="s">
        <v>198</v>
      </c>
      <c r="D20" s="20" t="s">
        <v>215</v>
      </c>
      <c r="E20" s="20" t="s">
        <v>231</v>
      </c>
      <c r="F20" s="20">
        <v>1.2000000000000002</v>
      </c>
      <c r="G20" s="21">
        <v>0.65</v>
      </c>
      <c r="H20" s="21" t="s">
        <v>139</v>
      </c>
      <c r="I20" s="21">
        <v>0.27</v>
      </c>
      <c r="J20" s="21">
        <v>0.57999999999999985</v>
      </c>
      <c r="K20" s="14">
        <v>0.83</v>
      </c>
      <c r="L20" s="14">
        <v>2.5</v>
      </c>
      <c r="M20" s="15">
        <v>3.75</v>
      </c>
      <c r="N20" s="15">
        <v>4.9700000000000006</v>
      </c>
    </row>
    <row r="21" spans="1:15" x14ac:dyDescent="0.25">
      <c r="A21" t="s">
        <v>13</v>
      </c>
      <c r="B21" s="20">
        <v>2.3200000000000003</v>
      </c>
      <c r="C21" s="20" t="s">
        <v>199</v>
      </c>
      <c r="D21" s="20" t="s">
        <v>216</v>
      </c>
      <c r="E21" s="20" t="s">
        <v>232</v>
      </c>
      <c r="F21" s="20">
        <v>1.1800000000000002</v>
      </c>
      <c r="G21" s="21">
        <v>0.64</v>
      </c>
      <c r="H21" s="21" t="s">
        <v>139</v>
      </c>
      <c r="I21" s="21">
        <v>0.27</v>
      </c>
      <c r="J21" s="21">
        <v>0.57000000000000006</v>
      </c>
      <c r="K21" s="16">
        <v>0.82</v>
      </c>
      <c r="L21" s="16">
        <v>2.48</v>
      </c>
      <c r="M21" s="17">
        <v>3.71</v>
      </c>
      <c r="N21" s="17">
        <v>4.92</v>
      </c>
    </row>
    <row r="22" spans="1:15" x14ac:dyDescent="0.25">
      <c r="A22" t="s">
        <v>60</v>
      </c>
      <c r="B22" s="20"/>
      <c r="C22" s="20"/>
      <c r="D22" s="20"/>
      <c r="E22" s="20"/>
      <c r="F22" s="22"/>
      <c r="G22" s="22"/>
      <c r="H22" s="22"/>
      <c r="I22" s="22"/>
      <c r="J22" s="22"/>
      <c r="K22" s="14"/>
      <c r="L22" s="14" t="s">
        <v>60</v>
      </c>
      <c r="M22" s="15"/>
      <c r="N22" s="15"/>
      <c r="O22" s="18"/>
    </row>
    <row r="23" spans="1:15" x14ac:dyDescent="0.25">
      <c r="A23" t="s">
        <v>410</v>
      </c>
      <c r="B23" s="20"/>
      <c r="C23" s="20"/>
      <c r="D23" s="20"/>
      <c r="E23" s="20"/>
      <c r="F23" s="22"/>
      <c r="G23" s="22"/>
      <c r="H23" s="22"/>
      <c r="I23" s="22"/>
      <c r="J23" s="22"/>
      <c r="K23" s="16"/>
      <c r="L23" s="16"/>
      <c r="M23" s="17"/>
      <c r="N23" s="17"/>
      <c r="O23" s="18"/>
    </row>
    <row r="24" spans="1:15" x14ac:dyDescent="0.25">
      <c r="A24" t="s">
        <v>12</v>
      </c>
      <c r="B24" s="20">
        <v>617</v>
      </c>
      <c r="C24" s="20" t="s">
        <v>200</v>
      </c>
      <c r="D24" s="20" t="s">
        <v>217</v>
      </c>
      <c r="E24" s="20" t="s">
        <v>142</v>
      </c>
      <c r="F24" s="22" t="s">
        <v>182</v>
      </c>
      <c r="G24" s="22">
        <v>2506</v>
      </c>
      <c r="H24" s="22" t="s">
        <v>140</v>
      </c>
      <c r="I24" s="22">
        <v>2483</v>
      </c>
      <c r="J24" s="22" t="s">
        <v>181</v>
      </c>
      <c r="K24" s="14">
        <v>2470</v>
      </c>
      <c r="L24" s="14">
        <v>2473</v>
      </c>
      <c r="M24" s="15">
        <v>2468</v>
      </c>
      <c r="N24" s="15">
        <v>2469</v>
      </c>
      <c r="O24" s="18"/>
    </row>
    <row r="25" spans="1:15" x14ac:dyDescent="0.25">
      <c r="A25" t="s">
        <v>13</v>
      </c>
      <c r="B25" s="20">
        <v>628</v>
      </c>
      <c r="C25" s="20" t="s">
        <v>201</v>
      </c>
      <c r="D25" s="20" t="s">
        <v>218</v>
      </c>
      <c r="E25" s="20" t="s">
        <v>233</v>
      </c>
      <c r="F25" s="22" t="s">
        <v>184</v>
      </c>
      <c r="G25" s="22">
        <v>2537</v>
      </c>
      <c r="H25" s="22" t="s">
        <v>143</v>
      </c>
      <c r="I25" s="22">
        <v>2499</v>
      </c>
      <c r="J25" s="22" t="s">
        <v>183</v>
      </c>
      <c r="K25" s="16">
        <v>2490</v>
      </c>
      <c r="L25" s="16">
        <v>2499</v>
      </c>
      <c r="M25" s="17">
        <v>2494</v>
      </c>
      <c r="N25" s="17">
        <v>2494</v>
      </c>
    </row>
  </sheetData>
  <phoneticPr fontId="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08E1-1885-45A1-8C98-D32F1F53087C}">
  <dimension ref="A1:N36"/>
  <sheetViews>
    <sheetView showGridLines="0" workbookViewId="0">
      <selection activeCell="O12" sqref="O12"/>
    </sheetView>
  </sheetViews>
  <sheetFormatPr defaultRowHeight="15" x14ac:dyDescent="0.25"/>
  <cols>
    <col min="1" max="1" width="43.140625" bestFit="1" customWidth="1"/>
    <col min="2" max="2" width="13.140625" bestFit="1" customWidth="1"/>
    <col min="3" max="3" width="15.85546875" bestFit="1" customWidth="1"/>
    <col min="4" max="4" width="15.42578125" bestFit="1" customWidth="1"/>
    <col min="5" max="5" width="16" bestFit="1" customWidth="1"/>
    <col min="6" max="6" width="13.5703125" bestFit="1" customWidth="1"/>
    <col min="7" max="7" width="15.85546875" bestFit="1" customWidth="1"/>
    <col min="8" max="8" width="15.42578125" bestFit="1" customWidth="1"/>
    <col min="9" max="9" width="16" customWidth="1"/>
    <col min="10" max="10" width="15.85546875" bestFit="1" customWidth="1"/>
    <col min="11" max="11" width="16.140625" bestFit="1" customWidth="1"/>
    <col min="12" max="12" width="15.42578125" bestFit="1" customWidth="1"/>
    <col min="13" max="13" width="16" bestFit="1" customWidth="1"/>
    <col min="14" max="14" width="15.85546875" bestFit="1" customWidth="1"/>
    <col min="15" max="15" width="17.5703125" customWidth="1"/>
  </cols>
  <sheetData>
    <row r="1" spans="1:14" x14ac:dyDescent="0.25">
      <c r="A1" t="s">
        <v>292</v>
      </c>
      <c r="B1" t="s">
        <v>400</v>
      </c>
      <c r="C1" s="9" t="s">
        <v>202</v>
      </c>
      <c r="D1" s="9" t="s">
        <v>401</v>
      </c>
      <c r="E1" s="9" t="s">
        <v>402</v>
      </c>
      <c r="F1" s="10" t="s">
        <v>185</v>
      </c>
      <c r="G1" s="9" t="s">
        <v>124</v>
      </c>
      <c r="H1" s="9" t="s">
        <v>403</v>
      </c>
      <c r="I1" s="9" t="s">
        <v>404</v>
      </c>
      <c r="J1" s="9" t="s">
        <v>405</v>
      </c>
      <c r="K1" s="12" t="s">
        <v>406</v>
      </c>
      <c r="L1" s="12" t="s">
        <v>407</v>
      </c>
      <c r="M1" s="13" t="s">
        <v>408</v>
      </c>
      <c r="N1" s="13" t="s">
        <v>409</v>
      </c>
    </row>
    <row r="2" spans="1:14" x14ac:dyDescent="0.25">
      <c r="A2" s="2" t="s">
        <v>62</v>
      </c>
    </row>
    <row r="3" spans="1:14" x14ac:dyDescent="0.25">
      <c r="A3" t="s">
        <v>63</v>
      </c>
    </row>
    <row r="4" spans="1:14" x14ac:dyDescent="0.25">
      <c r="A4" t="s">
        <v>64</v>
      </c>
      <c r="B4" s="52">
        <v>847</v>
      </c>
      <c r="C4" s="41">
        <v>978</v>
      </c>
      <c r="D4" s="41">
        <v>5628</v>
      </c>
      <c r="E4" s="41">
        <v>1288</v>
      </c>
      <c r="F4" s="41">
        <v>1990</v>
      </c>
      <c r="G4" s="41">
        <v>3887</v>
      </c>
      <c r="H4" s="41">
        <v>3013</v>
      </c>
      <c r="I4" s="41">
        <v>2800</v>
      </c>
      <c r="J4" s="47" t="s">
        <v>65</v>
      </c>
      <c r="K4" s="47">
        <v>5079</v>
      </c>
      <c r="L4" s="47" t="s">
        <v>144</v>
      </c>
      <c r="M4" s="52">
        <v>5519</v>
      </c>
      <c r="N4" s="52">
        <v>7280</v>
      </c>
    </row>
    <row r="5" spans="1:14" x14ac:dyDescent="0.25">
      <c r="A5" t="s">
        <v>66</v>
      </c>
      <c r="B5" s="53">
        <v>10714</v>
      </c>
      <c r="C5" s="42">
        <v>11689</v>
      </c>
      <c r="D5" s="42">
        <v>14026</v>
      </c>
      <c r="E5" s="42">
        <v>18010</v>
      </c>
      <c r="F5" s="42">
        <v>19218</v>
      </c>
      <c r="G5" s="42">
        <v>16451</v>
      </c>
      <c r="H5" s="42">
        <v>14024</v>
      </c>
      <c r="I5" s="42">
        <v>10343</v>
      </c>
      <c r="J5" s="48" t="s">
        <v>67</v>
      </c>
      <c r="K5" s="48">
        <v>10241</v>
      </c>
      <c r="L5" s="48" t="s">
        <v>145</v>
      </c>
      <c r="M5" s="53">
        <v>12762</v>
      </c>
      <c r="N5" s="53">
        <v>18704</v>
      </c>
    </row>
    <row r="6" spans="1:14" x14ac:dyDescent="0.25">
      <c r="A6" t="s">
        <v>68</v>
      </c>
      <c r="B6" s="53">
        <v>2429</v>
      </c>
      <c r="C6" s="42">
        <v>3024</v>
      </c>
      <c r="D6" s="42">
        <v>3586</v>
      </c>
      <c r="E6" s="42">
        <v>3954</v>
      </c>
      <c r="F6" s="42">
        <v>4650</v>
      </c>
      <c r="G6" s="42">
        <v>5438</v>
      </c>
      <c r="H6" s="42">
        <v>5317</v>
      </c>
      <c r="I6" s="42">
        <v>4908</v>
      </c>
      <c r="J6" s="48" t="s">
        <v>69</v>
      </c>
      <c r="K6" s="48">
        <v>4080</v>
      </c>
      <c r="L6" s="48" t="s">
        <v>146</v>
      </c>
      <c r="M6" s="53">
        <v>8309</v>
      </c>
      <c r="N6" s="53">
        <v>9999</v>
      </c>
    </row>
    <row r="7" spans="1:14" x14ac:dyDescent="0.25">
      <c r="A7" t="s">
        <v>70</v>
      </c>
      <c r="B7" s="53">
        <v>1826</v>
      </c>
      <c r="C7" s="42">
        <v>1992</v>
      </c>
      <c r="D7" s="42">
        <v>2114</v>
      </c>
      <c r="E7" s="42">
        <v>2233</v>
      </c>
      <c r="F7" s="42">
        <v>2605</v>
      </c>
      <c r="G7" s="42">
        <v>3163</v>
      </c>
      <c r="H7" s="42">
        <v>3889</v>
      </c>
      <c r="I7" s="42">
        <v>4454</v>
      </c>
      <c r="J7" s="48" t="s">
        <v>71</v>
      </c>
      <c r="K7" s="48">
        <v>4611</v>
      </c>
      <c r="L7" s="48" t="s">
        <v>147</v>
      </c>
      <c r="M7" s="53">
        <v>4779</v>
      </c>
      <c r="N7" s="53">
        <v>5282</v>
      </c>
    </row>
    <row r="8" spans="1:14" x14ac:dyDescent="0.25">
      <c r="A8" t="s">
        <v>72</v>
      </c>
      <c r="B8" s="53">
        <v>239</v>
      </c>
      <c r="C8" s="42">
        <v>444</v>
      </c>
      <c r="D8" s="42">
        <v>452</v>
      </c>
      <c r="E8" s="42">
        <v>321</v>
      </c>
      <c r="F8" s="42">
        <v>366</v>
      </c>
      <c r="G8" s="42">
        <v>636</v>
      </c>
      <c r="H8" s="42">
        <v>1175</v>
      </c>
      <c r="I8" s="42">
        <v>718</v>
      </c>
      <c r="J8" s="48" t="s">
        <v>73</v>
      </c>
      <c r="K8" s="48">
        <v>872</v>
      </c>
      <c r="L8" s="48" t="s">
        <v>148</v>
      </c>
      <c r="M8" s="53">
        <v>1289</v>
      </c>
      <c r="N8" s="53">
        <v>3080</v>
      </c>
    </row>
    <row r="9" spans="1:14" x14ac:dyDescent="0.25">
      <c r="A9" s="2" t="s">
        <v>74</v>
      </c>
      <c r="B9" s="53">
        <v>16055</v>
      </c>
      <c r="C9" s="42">
        <v>18127</v>
      </c>
      <c r="D9" s="42">
        <v>25806</v>
      </c>
      <c r="E9" s="42">
        <v>25806</v>
      </c>
      <c r="F9" s="42">
        <v>28829</v>
      </c>
      <c r="G9" s="42">
        <v>29575</v>
      </c>
      <c r="H9" s="42">
        <v>27418</v>
      </c>
      <c r="I9" s="42">
        <v>23223</v>
      </c>
      <c r="J9" s="48" t="s">
        <v>75</v>
      </c>
      <c r="K9" s="48">
        <v>24883</v>
      </c>
      <c r="L9" s="48" t="s">
        <v>149</v>
      </c>
      <c r="M9" s="53">
        <v>32658</v>
      </c>
      <c r="N9" s="53">
        <v>44345</v>
      </c>
    </row>
    <row r="10" spans="1:14" x14ac:dyDescent="0.25">
      <c r="A10" t="s">
        <v>76</v>
      </c>
      <c r="B10" s="53">
        <v>2149</v>
      </c>
      <c r="C10" s="42">
        <v>2268</v>
      </c>
      <c r="D10" s="42">
        <v>2364</v>
      </c>
      <c r="E10" s="42">
        <v>2509</v>
      </c>
      <c r="F10" s="42">
        <v>2778</v>
      </c>
      <c r="G10" s="42">
        <v>2916</v>
      </c>
      <c r="H10" s="42">
        <v>3233</v>
      </c>
      <c r="I10" s="42">
        <v>3774</v>
      </c>
      <c r="J10" s="48" t="s">
        <v>77</v>
      </c>
      <c r="K10" s="48">
        <v>3740</v>
      </c>
      <c r="L10" s="48" t="s">
        <v>150</v>
      </c>
      <c r="M10" s="53">
        <v>3844</v>
      </c>
      <c r="N10" s="53">
        <v>3914</v>
      </c>
    </row>
    <row r="11" spans="1:14" x14ac:dyDescent="0.25">
      <c r="A11" t="s">
        <v>78</v>
      </c>
      <c r="B11" s="53">
        <v>707</v>
      </c>
      <c r="C11" s="42">
        <v>727</v>
      </c>
      <c r="D11" s="42">
        <v>801</v>
      </c>
      <c r="E11" s="42">
        <v>830</v>
      </c>
      <c r="F11" s="42">
        <v>829</v>
      </c>
      <c r="G11" s="42">
        <v>856</v>
      </c>
      <c r="H11" s="42">
        <v>852</v>
      </c>
      <c r="I11" s="42">
        <v>927</v>
      </c>
      <c r="J11" s="48" t="s">
        <v>79</v>
      </c>
      <c r="K11" s="48">
        <v>1094</v>
      </c>
      <c r="L11" s="48" t="s">
        <v>151</v>
      </c>
      <c r="M11" s="53">
        <v>1316</v>
      </c>
      <c r="N11" s="53">
        <v>1346</v>
      </c>
    </row>
    <row r="12" spans="1:14" x14ac:dyDescent="0.25">
      <c r="A12" t="s">
        <v>80</v>
      </c>
      <c r="B12" s="53">
        <v>4193</v>
      </c>
      <c r="C12" s="42">
        <v>4193</v>
      </c>
      <c r="D12" s="42">
        <v>4193</v>
      </c>
      <c r="E12" s="42">
        <v>4302</v>
      </c>
      <c r="F12" s="42">
        <v>4349</v>
      </c>
      <c r="G12" s="42">
        <v>4365</v>
      </c>
      <c r="H12" s="42">
        <v>4372</v>
      </c>
      <c r="I12" s="42">
        <v>4372</v>
      </c>
      <c r="J12" s="48" t="s">
        <v>82</v>
      </c>
      <c r="K12" s="48">
        <v>4430</v>
      </c>
      <c r="L12" s="48" t="s">
        <v>81</v>
      </c>
      <c r="M12" s="53">
        <v>4430</v>
      </c>
      <c r="N12" s="53">
        <v>4430</v>
      </c>
    </row>
    <row r="13" spans="1:14" x14ac:dyDescent="0.25">
      <c r="A13" t="s">
        <v>83</v>
      </c>
      <c r="B13" s="53">
        <v>2737</v>
      </c>
      <c r="C13" s="42">
        <v>2613</v>
      </c>
      <c r="D13" s="42">
        <v>2478</v>
      </c>
      <c r="E13" s="42">
        <v>2454</v>
      </c>
      <c r="F13" s="42">
        <v>2339</v>
      </c>
      <c r="G13" s="42">
        <v>2211</v>
      </c>
      <c r="H13" s="42">
        <v>2036</v>
      </c>
      <c r="I13" s="42">
        <v>1850</v>
      </c>
      <c r="J13" s="48" t="s">
        <v>84</v>
      </c>
      <c r="K13" s="48">
        <v>1541</v>
      </c>
      <c r="L13" s="48" t="s">
        <v>152</v>
      </c>
      <c r="M13" s="53">
        <v>1251</v>
      </c>
      <c r="N13" s="53">
        <v>1112</v>
      </c>
    </row>
    <row r="14" spans="1:14" x14ac:dyDescent="0.25">
      <c r="A14" t="s">
        <v>85</v>
      </c>
      <c r="B14" s="53">
        <v>806</v>
      </c>
      <c r="C14" s="42">
        <v>778</v>
      </c>
      <c r="D14" s="42">
        <v>958</v>
      </c>
      <c r="E14" s="42">
        <v>970</v>
      </c>
      <c r="F14" s="42">
        <v>1222</v>
      </c>
      <c r="G14" s="42">
        <v>1784</v>
      </c>
      <c r="H14" s="42">
        <v>2225</v>
      </c>
      <c r="I14" s="42">
        <v>2762</v>
      </c>
      <c r="J14" s="48" t="s">
        <v>86</v>
      </c>
      <c r="K14" s="48">
        <v>4568</v>
      </c>
      <c r="L14" s="48" t="s">
        <v>153</v>
      </c>
      <c r="M14" s="53">
        <v>5982</v>
      </c>
      <c r="N14" s="53">
        <v>6081</v>
      </c>
    </row>
    <row r="15" spans="1:14" x14ac:dyDescent="0.25">
      <c r="A15" t="s">
        <v>87</v>
      </c>
      <c r="B15" s="53">
        <v>2144</v>
      </c>
      <c r="C15" s="42">
        <v>2090</v>
      </c>
      <c r="D15" s="42">
        <v>2050</v>
      </c>
      <c r="E15" s="42">
        <v>3761</v>
      </c>
      <c r="F15" s="42">
        <v>3841</v>
      </c>
      <c r="G15" s="42">
        <v>3505</v>
      </c>
      <c r="H15" s="42">
        <v>3340</v>
      </c>
      <c r="I15" s="42">
        <v>3580</v>
      </c>
      <c r="J15" s="48" t="s">
        <v>88</v>
      </c>
      <c r="K15" s="48">
        <v>4204</v>
      </c>
      <c r="L15" s="48" t="s">
        <v>154</v>
      </c>
      <c r="M15" s="53">
        <v>4667</v>
      </c>
      <c r="N15" s="53">
        <v>4500</v>
      </c>
    </row>
    <row r="16" spans="1:14" x14ac:dyDescent="0.25">
      <c r="A16" s="2" t="s">
        <v>89</v>
      </c>
      <c r="B16" s="52">
        <v>28791</v>
      </c>
      <c r="C16" s="41">
        <v>30796</v>
      </c>
      <c r="D16" s="41">
        <v>38650</v>
      </c>
      <c r="E16" s="41">
        <v>40632</v>
      </c>
      <c r="F16" s="41">
        <v>44187</v>
      </c>
      <c r="G16" s="41">
        <v>45212</v>
      </c>
      <c r="H16" s="41">
        <v>43476</v>
      </c>
      <c r="I16" s="41">
        <v>40488</v>
      </c>
      <c r="J16" s="47" t="s">
        <v>90</v>
      </c>
      <c r="K16" s="47">
        <v>44460</v>
      </c>
      <c r="L16" s="47" t="s">
        <v>155</v>
      </c>
      <c r="M16" s="52">
        <v>54148</v>
      </c>
      <c r="N16" s="52">
        <v>65728</v>
      </c>
    </row>
    <row r="17" spans="1:14" x14ac:dyDescent="0.25">
      <c r="A17" t="s">
        <v>60</v>
      </c>
      <c r="C17" s="43"/>
      <c r="D17" s="43"/>
      <c r="E17" s="43"/>
      <c r="F17" s="43"/>
      <c r="G17" s="43"/>
      <c r="H17" s="43"/>
      <c r="I17" s="43"/>
      <c r="J17" s="49"/>
      <c r="K17" s="49"/>
      <c r="L17" s="49"/>
      <c r="M17" s="49"/>
      <c r="N17" s="49"/>
    </row>
    <row r="18" spans="1:14" x14ac:dyDescent="0.25">
      <c r="A18" s="2" t="s">
        <v>91</v>
      </c>
      <c r="B18" s="51"/>
      <c r="C18" s="43"/>
      <c r="D18" s="43"/>
      <c r="E18" s="43"/>
      <c r="F18" s="43"/>
      <c r="G18" s="43"/>
      <c r="H18" s="43"/>
      <c r="I18" s="43"/>
      <c r="J18" s="49"/>
      <c r="K18" s="49"/>
      <c r="L18" s="49"/>
      <c r="M18" s="51"/>
      <c r="N18" s="51"/>
    </row>
    <row r="19" spans="1:14" x14ac:dyDescent="0.25">
      <c r="A19" t="s">
        <v>92</v>
      </c>
      <c r="B19" s="51"/>
      <c r="C19" s="43"/>
      <c r="D19" s="43"/>
      <c r="E19" s="43"/>
      <c r="F19" s="43"/>
      <c r="G19" s="43"/>
      <c r="H19" s="43"/>
      <c r="I19" s="43"/>
      <c r="J19" s="49"/>
      <c r="K19" s="49"/>
      <c r="L19" s="49"/>
      <c r="M19" s="51"/>
      <c r="N19" s="51"/>
    </row>
    <row r="20" spans="1:14" x14ac:dyDescent="0.25">
      <c r="A20" t="s">
        <v>93</v>
      </c>
      <c r="B20" s="52">
        <v>1201</v>
      </c>
      <c r="C20" s="41">
        <v>1218</v>
      </c>
      <c r="D20" s="41">
        <v>1474</v>
      </c>
      <c r="E20" s="41">
        <v>1664</v>
      </c>
      <c r="F20" s="41">
        <v>1783</v>
      </c>
      <c r="G20" s="41">
        <v>1999</v>
      </c>
      <c r="H20" s="41">
        <v>2421</v>
      </c>
      <c r="I20" s="41">
        <v>1491</v>
      </c>
      <c r="J20" s="47" t="s">
        <v>94</v>
      </c>
      <c r="K20" s="47">
        <v>1141</v>
      </c>
      <c r="L20" s="47" t="s">
        <v>156</v>
      </c>
      <c r="M20" s="52">
        <v>2380</v>
      </c>
      <c r="N20" s="52">
        <v>2699</v>
      </c>
    </row>
    <row r="21" spans="1:14" x14ac:dyDescent="0.25">
      <c r="A21" t="s">
        <v>95</v>
      </c>
      <c r="B21" s="53">
        <v>1725</v>
      </c>
      <c r="C21" s="42">
        <v>1787</v>
      </c>
      <c r="D21" s="42">
        <v>1974</v>
      </c>
      <c r="E21" s="42">
        <v>1948</v>
      </c>
      <c r="F21" s="42">
        <v>2552</v>
      </c>
      <c r="G21" s="42">
        <v>3563</v>
      </c>
      <c r="H21" s="42">
        <v>3903</v>
      </c>
      <c r="I21" s="42">
        <v>4115</v>
      </c>
      <c r="J21" s="48" t="s">
        <v>96</v>
      </c>
      <c r="K21" s="48">
        <v>4869</v>
      </c>
      <c r="L21" s="48" t="s">
        <v>157</v>
      </c>
      <c r="M21" s="53">
        <v>5472</v>
      </c>
      <c r="N21" s="53">
        <v>6682</v>
      </c>
    </row>
    <row r="22" spans="1:14" x14ac:dyDescent="0.25">
      <c r="A22" t="s">
        <v>97</v>
      </c>
      <c r="B22" s="53">
        <v>999</v>
      </c>
      <c r="C22" s="42">
        <v>999</v>
      </c>
      <c r="D22" s="42">
        <v>1000</v>
      </c>
      <c r="E22" s="44">
        <v>0</v>
      </c>
      <c r="F22" s="44">
        <v>0</v>
      </c>
      <c r="G22" s="43"/>
      <c r="H22" s="42">
        <v>1249</v>
      </c>
      <c r="I22" s="42">
        <v>1249</v>
      </c>
      <c r="J22" s="48" t="s">
        <v>98</v>
      </c>
      <c r="K22" s="48">
        <v>1250</v>
      </c>
      <c r="L22" s="48" t="s">
        <v>158</v>
      </c>
      <c r="M22" s="53">
        <v>1249</v>
      </c>
      <c r="N22" s="53">
        <v>1250</v>
      </c>
    </row>
    <row r="23" spans="1:14" x14ac:dyDescent="0.25">
      <c r="A23" s="2" t="s">
        <v>99</v>
      </c>
      <c r="B23" s="53">
        <v>3925</v>
      </c>
      <c r="C23" s="42">
        <v>4004</v>
      </c>
      <c r="D23" s="42">
        <v>4448</v>
      </c>
      <c r="E23" s="42">
        <v>3612</v>
      </c>
      <c r="F23" s="42">
        <v>4335</v>
      </c>
      <c r="G23" s="42">
        <v>5562</v>
      </c>
      <c r="H23" s="42">
        <v>7573</v>
      </c>
      <c r="I23" s="42">
        <v>6855</v>
      </c>
      <c r="J23" s="48" t="s">
        <v>100</v>
      </c>
      <c r="K23" s="48">
        <v>7260</v>
      </c>
      <c r="L23" s="48" t="s">
        <v>159</v>
      </c>
      <c r="M23" s="53">
        <v>9101</v>
      </c>
      <c r="N23" s="53">
        <v>10631</v>
      </c>
    </row>
    <row r="24" spans="1:14" x14ac:dyDescent="0.25">
      <c r="A24" t="s">
        <v>101</v>
      </c>
      <c r="B24" s="53">
        <v>5964</v>
      </c>
      <c r="C24" s="42">
        <v>5964</v>
      </c>
      <c r="D24" s="42">
        <v>10943</v>
      </c>
      <c r="E24" s="42">
        <v>10944</v>
      </c>
      <c r="F24" s="42">
        <v>10946</v>
      </c>
      <c r="G24" s="42">
        <v>10947</v>
      </c>
      <c r="H24" s="42">
        <v>9700</v>
      </c>
      <c r="I24" s="42">
        <v>9701</v>
      </c>
      <c r="J24" s="48" t="s">
        <v>102</v>
      </c>
      <c r="K24" s="48">
        <v>9704</v>
      </c>
      <c r="L24" s="48" t="s">
        <v>160</v>
      </c>
      <c r="M24" s="53">
        <v>8457</v>
      </c>
      <c r="N24" s="53">
        <v>8459</v>
      </c>
    </row>
    <row r="25" spans="1:14" x14ac:dyDescent="0.25">
      <c r="A25" t="s">
        <v>103</v>
      </c>
      <c r="B25" s="53">
        <v>634</v>
      </c>
      <c r="C25" s="42">
        <v>640</v>
      </c>
      <c r="D25" s="42">
        <v>716</v>
      </c>
      <c r="E25" s="42">
        <v>743</v>
      </c>
      <c r="F25" s="42">
        <v>741</v>
      </c>
      <c r="G25" s="42">
        <v>752</v>
      </c>
      <c r="H25" s="42">
        <v>743</v>
      </c>
      <c r="I25" s="42">
        <v>798</v>
      </c>
      <c r="J25" s="48" t="s">
        <v>104</v>
      </c>
      <c r="K25" s="48">
        <v>939</v>
      </c>
      <c r="L25" s="48" t="s">
        <v>161</v>
      </c>
      <c r="M25" s="53">
        <v>1091</v>
      </c>
      <c r="N25" s="53">
        <v>1119</v>
      </c>
    </row>
    <row r="26" spans="1:14" x14ac:dyDescent="0.25">
      <c r="A26" t="s">
        <v>105</v>
      </c>
      <c r="B26" s="53">
        <v>1375</v>
      </c>
      <c r="C26" s="42">
        <v>1414</v>
      </c>
      <c r="D26" s="42">
        <v>1396</v>
      </c>
      <c r="E26" s="42">
        <v>1535</v>
      </c>
      <c r="F26" s="42">
        <v>1553</v>
      </c>
      <c r="G26" s="42">
        <v>1631</v>
      </c>
      <c r="H26" s="42">
        <v>1609</v>
      </c>
      <c r="I26" s="42">
        <v>1785</v>
      </c>
      <c r="J26" s="48" t="s">
        <v>106</v>
      </c>
      <c r="K26" s="48">
        <v>2037</v>
      </c>
      <c r="L26" s="48" t="s">
        <v>162</v>
      </c>
      <c r="M26" s="53">
        <v>2234</v>
      </c>
      <c r="N26" s="53">
        <v>2541</v>
      </c>
    </row>
    <row r="27" spans="1:14" x14ac:dyDescent="0.25">
      <c r="A27" s="2" t="s">
        <v>107</v>
      </c>
      <c r="B27" s="53">
        <v>11898</v>
      </c>
      <c r="C27" s="42">
        <v>12022</v>
      </c>
      <c r="D27" s="42">
        <v>17503</v>
      </c>
      <c r="E27" s="42">
        <v>16834</v>
      </c>
      <c r="F27" s="42">
        <v>17575</v>
      </c>
      <c r="G27" s="42">
        <v>18892</v>
      </c>
      <c r="H27" s="42">
        <v>19625</v>
      </c>
      <c r="I27" s="42">
        <v>19139</v>
      </c>
      <c r="J27" s="48" t="s">
        <v>108</v>
      </c>
      <c r="K27" s="48">
        <v>19940</v>
      </c>
      <c r="L27" s="48" t="s">
        <v>163</v>
      </c>
      <c r="M27" s="53">
        <v>20883</v>
      </c>
      <c r="N27" s="53">
        <v>22750</v>
      </c>
    </row>
    <row r="28" spans="1:14" x14ac:dyDescent="0.25">
      <c r="A28" t="s">
        <v>109</v>
      </c>
      <c r="B28" s="51"/>
      <c r="C28" s="43"/>
      <c r="E28" s="43"/>
      <c r="F28" s="43"/>
      <c r="G28" s="43"/>
      <c r="H28" s="43"/>
      <c r="I28" s="43"/>
      <c r="J28" s="49"/>
      <c r="K28" s="49"/>
      <c r="L28" s="49"/>
      <c r="M28" s="51"/>
      <c r="N28" s="49"/>
    </row>
    <row r="29" spans="1:14" x14ac:dyDescent="0.25">
      <c r="A29" s="2" t="s">
        <v>110</v>
      </c>
      <c r="C29" s="43"/>
      <c r="E29" s="43"/>
      <c r="F29" s="43"/>
      <c r="G29" s="43"/>
      <c r="H29" s="43"/>
      <c r="I29" s="43"/>
      <c r="J29" s="49"/>
      <c r="K29" s="49"/>
      <c r="L29" s="49"/>
      <c r="M29" s="51"/>
      <c r="N29" s="49"/>
    </row>
    <row r="30" spans="1:14" x14ac:dyDescent="0.25">
      <c r="A30" t="s">
        <v>111</v>
      </c>
      <c r="B30" s="54">
        <v>0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50" t="s">
        <v>52</v>
      </c>
      <c r="K30" s="50" t="s">
        <v>52</v>
      </c>
      <c r="L30" s="50" t="s">
        <v>52</v>
      </c>
      <c r="M30" s="54">
        <v>0</v>
      </c>
      <c r="N30" s="54">
        <v>0</v>
      </c>
    </row>
    <row r="31" spans="1:14" x14ac:dyDescent="0.25">
      <c r="A31" t="s">
        <v>112</v>
      </c>
      <c r="B31" s="53">
        <v>3</v>
      </c>
      <c r="C31" s="42">
        <v>1</v>
      </c>
      <c r="D31" s="42">
        <v>3</v>
      </c>
      <c r="E31" s="42">
        <v>3</v>
      </c>
      <c r="F31" s="42">
        <v>3</v>
      </c>
      <c r="G31" s="42">
        <v>3</v>
      </c>
      <c r="H31" s="42">
        <v>2</v>
      </c>
      <c r="I31" s="42">
        <v>2</v>
      </c>
      <c r="J31" s="48" t="s">
        <v>113</v>
      </c>
      <c r="K31" s="48">
        <v>2</v>
      </c>
      <c r="L31" s="48" t="s">
        <v>113</v>
      </c>
      <c r="M31" s="53">
        <v>2</v>
      </c>
      <c r="N31" s="53">
        <v>2</v>
      </c>
    </row>
    <row r="32" spans="1:14" x14ac:dyDescent="0.25">
      <c r="A32" t="s">
        <v>114</v>
      </c>
      <c r="B32" s="53">
        <v>8719</v>
      </c>
      <c r="C32" s="42">
        <v>9280</v>
      </c>
      <c r="D32" s="42">
        <v>9745</v>
      </c>
      <c r="E32" s="42">
        <v>10465</v>
      </c>
      <c r="F32" s="42">
        <v>10385</v>
      </c>
      <c r="G32" s="42">
        <v>10623</v>
      </c>
      <c r="H32" s="42">
        <v>10968</v>
      </c>
      <c r="I32" s="42">
        <v>11565</v>
      </c>
      <c r="J32" s="48" t="s">
        <v>115</v>
      </c>
      <c r="K32" s="48">
        <v>12453</v>
      </c>
      <c r="L32" s="48" t="s">
        <v>164</v>
      </c>
      <c r="M32" s="53">
        <v>12991</v>
      </c>
      <c r="N32" s="53">
        <v>13132</v>
      </c>
    </row>
    <row r="33" spans="1:14" x14ac:dyDescent="0.25">
      <c r="A33" t="s">
        <v>116</v>
      </c>
      <c r="B33" s="53">
        <v>19</v>
      </c>
      <c r="C33" s="42">
        <v>14</v>
      </c>
      <c r="D33" s="42">
        <v>8</v>
      </c>
      <c r="E33" s="42">
        <v>9</v>
      </c>
      <c r="F33" s="42">
        <v>-11</v>
      </c>
      <c r="G33" s="42">
        <v>-64</v>
      </c>
      <c r="H33" s="42">
        <v>-90</v>
      </c>
      <c r="I33" s="42">
        <v>-123</v>
      </c>
      <c r="J33" s="48" t="s">
        <v>118</v>
      </c>
      <c r="K33" s="48">
        <v>-50</v>
      </c>
      <c r="L33" s="48" t="s">
        <v>165</v>
      </c>
      <c r="M33" s="53">
        <v>-88</v>
      </c>
      <c r="N33" s="53">
        <v>27</v>
      </c>
    </row>
    <row r="34" spans="1:14" x14ac:dyDescent="0.25">
      <c r="A34" t="s">
        <v>119</v>
      </c>
      <c r="B34" s="53">
        <v>18908</v>
      </c>
      <c r="C34" s="42">
        <v>20721</v>
      </c>
      <c r="D34" s="42">
        <v>22995</v>
      </c>
      <c r="E34" s="42">
        <v>25359</v>
      </c>
      <c r="F34" s="42">
        <v>16235</v>
      </c>
      <c r="G34" s="42">
        <v>15758</v>
      </c>
      <c r="H34" s="42">
        <v>12971</v>
      </c>
      <c r="I34" s="42">
        <v>9905</v>
      </c>
      <c r="J34" s="48" t="s">
        <v>120</v>
      </c>
      <c r="K34" s="48">
        <v>12115</v>
      </c>
      <c r="L34" s="48" t="s">
        <v>166</v>
      </c>
      <c r="M34" s="53">
        <v>20360</v>
      </c>
      <c r="N34" s="53">
        <v>29817</v>
      </c>
    </row>
    <row r="35" spans="1:14" x14ac:dyDescent="0.25">
      <c r="A35" t="s">
        <v>121</v>
      </c>
      <c r="B35" s="53">
        <v>16893</v>
      </c>
      <c r="C35" s="42">
        <v>18774</v>
      </c>
      <c r="D35" s="42">
        <v>21147</v>
      </c>
      <c r="E35" s="42">
        <v>23798</v>
      </c>
      <c r="F35" s="42">
        <v>26612</v>
      </c>
      <c r="G35" s="42">
        <v>26320</v>
      </c>
      <c r="H35" s="42">
        <v>23851</v>
      </c>
      <c r="I35" s="42">
        <v>21349</v>
      </c>
      <c r="J35" s="48" t="s">
        <v>122</v>
      </c>
      <c r="K35" s="48">
        <v>24520</v>
      </c>
      <c r="L35" s="48" t="s">
        <v>167</v>
      </c>
      <c r="M35" s="53">
        <v>33265</v>
      </c>
      <c r="N35" s="53">
        <v>42978</v>
      </c>
    </row>
    <row r="36" spans="1:14" x14ac:dyDescent="0.25">
      <c r="A36" t="s">
        <v>123</v>
      </c>
      <c r="B36" s="52">
        <v>28791</v>
      </c>
      <c r="C36" s="41">
        <v>30796</v>
      </c>
      <c r="D36" s="41">
        <v>38650</v>
      </c>
      <c r="E36" s="41">
        <v>40632</v>
      </c>
      <c r="F36" s="41">
        <v>44187</v>
      </c>
      <c r="G36" s="41">
        <v>45212</v>
      </c>
      <c r="H36" s="41">
        <v>43476</v>
      </c>
      <c r="I36" s="41">
        <v>40488</v>
      </c>
      <c r="J36" s="47" t="s">
        <v>90</v>
      </c>
      <c r="K36" s="47">
        <v>44460</v>
      </c>
      <c r="L36" s="47" t="s">
        <v>155</v>
      </c>
      <c r="M36" s="52">
        <v>54148</v>
      </c>
      <c r="N36" s="52">
        <v>65728</v>
      </c>
    </row>
  </sheetData>
  <phoneticPr fontId="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29F22-7ADE-49C9-A427-82453D5493A1}">
  <dimension ref="A1:M50"/>
  <sheetViews>
    <sheetView showGridLines="0" zoomScale="80" zoomScaleNormal="80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defaultRowHeight="15" x14ac:dyDescent="0.25"/>
  <cols>
    <col min="1" max="1" width="69.5703125" bestFit="1" customWidth="1"/>
    <col min="2" max="2" width="19.7109375" customWidth="1"/>
    <col min="3" max="3" width="11.5703125" bestFit="1" customWidth="1"/>
    <col min="4" max="4" width="12.5703125" bestFit="1" customWidth="1"/>
    <col min="5" max="5" width="12.140625" bestFit="1" customWidth="1"/>
    <col min="6" max="6" width="19.7109375" bestFit="1" customWidth="1"/>
    <col min="7" max="7" width="17.140625" bestFit="1" customWidth="1"/>
    <col min="8" max="8" width="12.5703125" bestFit="1" customWidth="1"/>
    <col min="9" max="9" width="12.140625" bestFit="1" customWidth="1"/>
    <col min="10" max="10" width="19.7109375" bestFit="1" customWidth="1"/>
    <col min="11" max="11" width="17.140625" bestFit="1" customWidth="1"/>
    <col min="12" max="12" width="18.7109375" bestFit="1" customWidth="1"/>
    <col min="13" max="13" width="12.140625" bestFit="1" customWidth="1"/>
  </cols>
  <sheetData>
    <row r="1" spans="1:13" ht="29.25" customHeight="1" x14ac:dyDescent="0.25">
      <c r="A1" s="13" t="s">
        <v>293</v>
      </c>
      <c r="B1" s="55" t="s">
        <v>301</v>
      </c>
      <c r="C1" s="55" t="s">
        <v>411</v>
      </c>
      <c r="D1" s="55" t="s">
        <v>412</v>
      </c>
      <c r="E1" s="55" t="s">
        <v>302</v>
      </c>
      <c r="F1" s="55" t="s">
        <v>300</v>
      </c>
      <c r="G1" s="55" t="s">
        <v>413</v>
      </c>
      <c r="H1" s="55" t="s">
        <v>414</v>
      </c>
      <c r="I1" s="55" t="s">
        <v>415</v>
      </c>
      <c r="J1" s="55" t="s">
        <v>416</v>
      </c>
      <c r="K1" s="55" t="s">
        <v>417</v>
      </c>
      <c r="L1" s="55" t="s">
        <v>418</v>
      </c>
      <c r="M1" s="55" t="s">
        <v>419</v>
      </c>
    </row>
    <row r="2" spans="1:13" x14ac:dyDescent="0.25">
      <c r="A2" s="89" t="s">
        <v>261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x14ac:dyDescent="0.25">
      <c r="A3" s="36" t="s">
        <v>59</v>
      </c>
      <c r="B3" s="36">
        <v>1912</v>
      </c>
      <c r="C3" s="36">
        <v>4285</v>
      </c>
      <c r="D3" s="36">
        <v>6749</v>
      </c>
      <c r="E3" s="36">
        <v>9752</v>
      </c>
      <c r="F3" s="36">
        <v>1618</v>
      </c>
      <c r="G3" s="36">
        <v>2274</v>
      </c>
      <c r="H3" s="36">
        <v>2954</v>
      </c>
      <c r="I3" s="36">
        <v>4368</v>
      </c>
      <c r="J3" s="36">
        <v>2043</v>
      </c>
      <c r="K3" s="36">
        <v>8232</v>
      </c>
      <c r="L3" s="36">
        <v>17475</v>
      </c>
      <c r="M3" s="36">
        <v>29760</v>
      </c>
    </row>
    <row r="4" spans="1:13" ht="30" x14ac:dyDescent="0.25">
      <c r="A4" s="157" t="s">
        <v>289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 x14ac:dyDescent="0.25">
      <c r="A5" s="36" t="s">
        <v>9</v>
      </c>
      <c r="B5" s="36"/>
      <c r="C5" s="36"/>
      <c r="D5" s="36"/>
      <c r="E5" s="36">
        <v>0</v>
      </c>
      <c r="F5" s="36">
        <v>1353</v>
      </c>
      <c r="G5" s="36">
        <v>1353</v>
      </c>
      <c r="H5" s="36">
        <v>1353</v>
      </c>
      <c r="I5" s="36">
        <v>1353</v>
      </c>
      <c r="J5" s="36">
        <v>0</v>
      </c>
      <c r="K5" s="36">
        <v>0</v>
      </c>
      <c r="L5" s="36">
        <v>0</v>
      </c>
      <c r="M5" s="36">
        <v>0</v>
      </c>
    </row>
    <row r="6" spans="1:13" x14ac:dyDescent="0.25">
      <c r="A6" s="35" t="s">
        <v>262</v>
      </c>
      <c r="B6" s="35">
        <v>429</v>
      </c>
      <c r="C6" s="35">
        <v>894</v>
      </c>
      <c r="D6" s="35">
        <v>1453</v>
      </c>
      <c r="E6" s="35">
        <v>2004</v>
      </c>
      <c r="F6" s="35">
        <v>578</v>
      </c>
      <c r="G6" s="35">
        <v>1226</v>
      </c>
      <c r="H6" s="35">
        <v>1971</v>
      </c>
      <c r="I6" s="35">
        <v>2709</v>
      </c>
      <c r="J6" s="35">
        <v>735</v>
      </c>
      <c r="K6" s="35">
        <v>1576</v>
      </c>
      <c r="L6" s="35">
        <v>2555</v>
      </c>
      <c r="M6" s="35">
        <v>3549</v>
      </c>
    </row>
    <row r="7" spans="1:13" x14ac:dyDescent="0.25">
      <c r="A7" s="36" t="s">
        <v>263</v>
      </c>
      <c r="B7" s="36">
        <v>281</v>
      </c>
      <c r="C7" s="36">
        <v>567</v>
      </c>
      <c r="D7" s="36">
        <v>865</v>
      </c>
      <c r="E7" s="36">
        <v>1174</v>
      </c>
      <c r="F7" s="36">
        <v>334</v>
      </c>
      <c r="G7" s="36">
        <v>712</v>
      </c>
      <c r="H7" s="36">
        <v>1118</v>
      </c>
      <c r="I7" s="36">
        <v>1544</v>
      </c>
      <c r="J7" s="36">
        <v>384</v>
      </c>
      <c r="K7" s="36">
        <v>749</v>
      </c>
      <c r="L7" s="36">
        <v>1121</v>
      </c>
      <c r="M7" s="36">
        <v>1508</v>
      </c>
    </row>
    <row r="8" spans="1:13" x14ac:dyDescent="0.25">
      <c r="A8" s="35" t="s">
        <v>264</v>
      </c>
      <c r="B8" s="35">
        <v>24</v>
      </c>
      <c r="C8" s="35">
        <v>-161</v>
      </c>
      <c r="D8" s="35">
        <v>-182</v>
      </c>
      <c r="E8" s="35">
        <v>-406</v>
      </c>
      <c r="F8" s="35">
        <v>-542</v>
      </c>
      <c r="G8" s="35">
        <v>-985</v>
      </c>
      <c r="H8" s="35">
        <v>-1517</v>
      </c>
      <c r="I8" s="35">
        <v>-2164</v>
      </c>
      <c r="J8" s="35">
        <v>-1135</v>
      </c>
      <c r="K8" s="35">
        <v>-1881</v>
      </c>
      <c r="L8" s="35">
        <v>-2411</v>
      </c>
      <c r="M8" s="35">
        <v>-2489</v>
      </c>
    </row>
    <row r="9" spans="1:13" x14ac:dyDescent="0.25">
      <c r="A9" s="35" t="s">
        <v>265</v>
      </c>
      <c r="B9" s="35">
        <v>-133</v>
      </c>
      <c r="C9" s="35">
        <v>-133</v>
      </c>
      <c r="D9" s="35">
        <v>-152</v>
      </c>
      <c r="E9" s="35">
        <v>-100</v>
      </c>
      <c r="F9" s="35">
        <v>17</v>
      </c>
      <c r="G9" s="35">
        <v>24</v>
      </c>
      <c r="H9" s="35">
        <v>35</v>
      </c>
      <c r="I9" s="35">
        <v>45</v>
      </c>
      <c r="J9" s="35">
        <v>14</v>
      </c>
      <c r="K9" s="35">
        <v>-45</v>
      </c>
      <c r="L9" s="35">
        <v>24</v>
      </c>
      <c r="M9" s="35">
        <v>-238</v>
      </c>
    </row>
    <row r="10" spans="1:13" x14ac:dyDescent="0.25">
      <c r="A10" s="36" t="s">
        <v>266</v>
      </c>
      <c r="B10" s="36">
        <v>-3</v>
      </c>
      <c r="C10" s="36">
        <v>16</v>
      </c>
      <c r="D10" s="36">
        <v>25</v>
      </c>
      <c r="E10" s="36">
        <v>47</v>
      </c>
      <c r="F10" s="36">
        <v>23</v>
      </c>
      <c r="G10" s="36">
        <v>18</v>
      </c>
      <c r="H10" s="36">
        <v>-27</v>
      </c>
      <c r="I10" s="36">
        <v>-7</v>
      </c>
      <c r="J10" s="36">
        <v>-34</v>
      </c>
      <c r="K10" s="36">
        <v>-102</v>
      </c>
      <c r="L10" s="36">
        <v>-170</v>
      </c>
      <c r="M10" s="36">
        <v>-278</v>
      </c>
    </row>
    <row r="11" spans="1:13" x14ac:dyDescent="0.25">
      <c r="A11" s="89" t="s">
        <v>267</v>
      </c>
      <c r="B11" s="35">
        <f>SUM(B12,B13,B14,B15,B16,B17)</f>
        <v>-636</v>
      </c>
      <c r="C11" s="35">
        <f t="shared" ref="C11:M11" si="0">SUM(C12,C13,C14,C15,C16,C17)</f>
        <v>-912</v>
      </c>
      <c r="D11" s="35">
        <f t="shared" si="0"/>
        <v>-2683</v>
      </c>
      <c r="E11" s="35">
        <f t="shared" si="0"/>
        <v>-3363</v>
      </c>
      <c r="F11" s="35">
        <f t="shared" si="0"/>
        <v>-1650</v>
      </c>
      <c r="G11" s="35">
        <f t="shared" si="0"/>
        <v>-1621</v>
      </c>
      <c r="H11" s="35">
        <f t="shared" si="0"/>
        <v>-2494</v>
      </c>
      <c r="I11" s="35">
        <f t="shared" si="0"/>
        <v>-2207</v>
      </c>
      <c r="J11" s="35">
        <f t="shared" si="0"/>
        <v>904</v>
      </c>
      <c r="K11" s="35">
        <f t="shared" si="0"/>
        <v>730</v>
      </c>
      <c r="L11" s="35">
        <f t="shared" si="0"/>
        <v>-2003</v>
      </c>
      <c r="M11" s="35">
        <f t="shared" si="0"/>
        <v>-3722</v>
      </c>
    </row>
    <row r="12" spans="1:13" x14ac:dyDescent="0.25">
      <c r="A12" s="36" t="s">
        <v>268</v>
      </c>
      <c r="B12" s="36">
        <v>-595</v>
      </c>
      <c r="C12" s="36">
        <v>-1157</v>
      </c>
      <c r="D12" s="36">
        <v>-1523</v>
      </c>
      <c r="E12" s="36">
        <v>-2215</v>
      </c>
      <c r="F12" s="36">
        <v>-788</v>
      </c>
      <c r="G12" s="36">
        <v>-668</v>
      </c>
      <c r="H12" s="36">
        <v>-258</v>
      </c>
      <c r="I12" s="36">
        <v>822</v>
      </c>
      <c r="J12" s="36">
        <v>-252</v>
      </c>
      <c r="K12" s="36">
        <v>-3239</v>
      </c>
      <c r="L12" s="36">
        <v>-4482</v>
      </c>
      <c r="M12" s="36">
        <v>-6172</v>
      </c>
    </row>
    <row r="13" spans="1:13" x14ac:dyDescent="0.25">
      <c r="A13" s="35" t="s">
        <v>70</v>
      </c>
      <c r="B13" s="35">
        <v>-159</v>
      </c>
      <c r="C13" s="35">
        <v>-282</v>
      </c>
      <c r="D13" s="35">
        <v>-400</v>
      </c>
      <c r="E13" s="35">
        <v>-774</v>
      </c>
      <c r="F13" s="35">
        <v>-560</v>
      </c>
      <c r="G13" s="35">
        <v>-1285</v>
      </c>
      <c r="H13" s="35">
        <v>-1848</v>
      </c>
      <c r="I13" s="35">
        <v>-2554</v>
      </c>
      <c r="J13" s="35">
        <v>566</v>
      </c>
      <c r="K13" s="35">
        <v>861</v>
      </c>
      <c r="L13" s="35">
        <v>405</v>
      </c>
      <c r="M13" s="35">
        <v>-98</v>
      </c>
    </row>
    <row r="14" spans="1:13" x14ac:dyDescent="0.25">
      <c r="A14" s="36" t="s">
        <v>269</v>
      </c>
      <c r="B14" s="36">
        <v>2</v>
      </c>
      <c r="C14" s="36">
        <v>18</v>
      </c>
      <c r="D14" s="36">
        <v>-1557</v>
      </c>
      <c r="E14" s="36">
        <v>-1715</v>
      </c>
      <c r="F14" s="36">
        <v>-1261</v>
      </c>
      <c r="G14" s="36">
        <v>-1554</v>
      </c>
      <c r="H14" s="36">
        <v>-1307</v>
      </c>
      <c r="I14" s="36">
        <v>-1517</v>
      </c>
      <c r="J14" s="36">
        <v>-215</v>
      </c>
      <c r="K14" s="36">
        <v>-592</v>
      </c>
      <c r="L14" s="36">
        <v>-337</v>
      </c>
      <c r="M14" s="36">
        <v>-1522</v>
      </c>
    </row>
    <row r="15" spans="1:13" x14ac:dyDescent="0.25">
      <c r="A15" s="35" t="s">
        <v>93</v>
      </c>
      <c r="B15" s="35">
        <v>36</v>
      </c>
      <c r="C15" s="35">
        <v>245</v>
      </c>
      <c r="D15" s="35">
        <v>474</v>
      </c>
      <c r="E15" s="35">
        <v>568</v>
      </c>
      <c r="F15" s="35">
        <v>255</v>
      </c>
      <c r="G15" s="35">
        <v>559</v>
      </c>
      <c r="H15" s="35">
        <v>-358</v>
      </c>
      <c r="I15" s="35">
        <v>-551</v>
      </c>
      <c r="J15" s="35">
        <v>11</v>
      </c>
      <c r="K15" s="35">
        <v>789</v>
      </c>
      <c r="L15" s="35">
        <v>1250</v>
      </c>
      <c r="M15" s="35">
        <v>1531</v>
      </c>
    </row>
    <row r="16" spans="1:13" x14ac:dyDescent="0.25">
      <c r="A16" s="36" t="s">
        <v>95</v>
      </c>
      <c r="B16" s="36">
        <v>33</v>
      </c>
      <c r="C16" s="36">
        <v>166</v>
      </c>
      <c r="D16" s="36">
        <v>70</v>
      </c>
      <c r="E16" s="36">
        <v>581</v>
      </c>
      <c r="F16" s="36">
        <v>634</v>
      </c>
      <c r="G16" s="36">
        <v>1267</v>
      </c>
      <c r="H16" s="36">
        <v>1175</v>
      </c>
      <c r="I16" s="36">
        <v>1341</v>
      </c>
      <c r="J16" s="36">
        <v>689</v>
      </c>
      <c r="K16" s="36">
        <v>2675</v>
      </c>
      <c r="L16" s="36">
        <v>953</v>
      </c>
      <c r="M16" s="36">
        <v>2025</v>
      </c>
    </row>
    <row r="17" spans="1:13" x14ac:dyDescent="0.25">
      <c r="A17" s="35" t="s">
        <v>105</v>
      </c>
      <c r="B17" s="35">
        <v>47</v>
      </c>
      <c r="C17" s="35">
        <v>98</v>
      </c>
      <c r="D17" s="35">
        <v>253</v>
      </c>
      <c r="E17" s="35">
        <v>192</v>
      </c>
      <c r="F17" s="35">
        <v>70</v>
      </c>
      <c r="G17" s="35">
        <v>60</v>
      </c>
      <c r="H17" s="35">
        <v>102</v>
      </c>
      <c r="I17" s="35">
        <v>252</v>
      </c>
      <c r="J17" s="35">
        <v>105</v>
      </c>
      <c r="K17" s="35">
        <v>236</v>
      </c>
      <c r="L17" s="35">
        <v>208</v>
      </c>
      <c r="M17" s="35">
        <v>514</v>
      </c>
    </row>
    <row r="18" spans="1:13" x14ac:dyDescent="0.25">
      <c r="A18" s="36" t="s">
        <v>270</v>
      </c>
      <c r="B18" s="36">
        <v>1874</v>
      </c>
      <c r="C18" s="36">
        <v>4556</v>
      </c>
      <c r="D18" s="36">
        <v>6075</v>
      </c>
      <c r="E18" s="36">
        <v>9108</v>
      </c>
      <c r="F18" s="36">
        <v>1731</v>
      </c>
      <c r="G18" s="36">
        <v>3001</v>
      </c>
      <c r="H18" s="36">
        <v>3393</v>
      </c>
      <c r="I18" s="36">
        <v>5641</v>
      </c>
      <c r="J18" s="36">
        <v>2911</v>
      </c>
      <c r="K18" s="36">
        <v>9259</v>
      </c>
      <c r="L18" s="36">
        <v>16591</v>
      </c>
      <c r="M18" s="36">
        <v>28090</v>
      </c>
    </row>
    <row r="19" spans="1:13" x14ac:dyDescent="0.25">
      <c r="A19" s="89" t="s">
        <v>271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13" x14ac:dyDescent="0.25">
      <c r="A20" s="36" t="s">
        <v>272</v>
      </c>
      <c r="B20" s="36">
        <v>3140</v>
      </c>
      <c r="C20" s="36">
        <v>5236</v>
      </c>
      <c r="D20" s="36">
        <v>7780</v>
      </c>
      <c r="E20" s="36">
        <v>15197</v>
      </c>
      <c r="F20" s="36">
        <v>5947</v>
      </c>
      <c r="G20" s="36">
        <v>10983</v>
      </c>
      <c r="H20" s="36">
        <v>16792</v>
      </c>
      <c r="I20" s="36">
        <v>19425</v>
      </c>
      <c r="J20" s="36">
        <v>2512</v>
      </c>
      <c r="K20" s="36">
        <v>5111</v>
      </c>
      <c r="L20" s="36">
        <v>8001</v>
      </c>
      <c r="M20" s="36">
        <v>9732</v>
      </c>
    </row>
    <row r="21" spans="1:13" x14ac:dyDescent="0.25">
      <c r="A21" s="35" t="s">
        <v>273</v>
      </c>
      <c r="B21" s="35">
        <v>358</v>
      </c>
      <c r="C21" s="35">
        <v>705</v>
      </c>
      <c r="D21" s="35">
        <v>916</v>
      </c>
      <c r="E21" s="35">
        <v>1023</v>
      </c>
      <c r="F21" s="35">
        <v>1029</v>
      </c>
      <c r="G21" s="35">
        <v>1731</v>
      </c>
      <c r="H21" s="35">
        <v>1806</v>
      </c>
      <c r="I21" s="35">
        <v>1806</v>
      </c>
      <c r="J21" s="35">
        <v>0</v>
      </c>
      <c r="K21" s="35">
        <v>0</v>
      </c>
      <c r="L21" s="35">
        <v>0</v>
      </c>
      <c r="M21" s="35">
        <v>50</v>
      </c>
    </row>
    <row r="22" spans="1:13" x14ac:dyDescent="0.25">
      <c r="A22" s="35" t="s">
        <v>274</v>
      </c>
      <c r="B22" s="35">
        <v>-4470</v>
      </c>
      <c r="C22" s="35">
        <v>-9268</v>
      </c>
      <c r="D22" s="35">
        <v>-16020</v>
      </c>
      <c r="E22" s="35">
        <v>-24787</v>
      </c>
      <c r="F22" s="35">
        <v>-3932</v>
      </c>
      <c r="G22" s="35">
        <v>-7576</v>
      </c>
      <c r="H22" s="35">
        <v>-9764</v>
      </c>
      <c r="I22" s="35">
        <v>-11897</v>
      </c>
      <c r="J22" s="35">
        <v>-2801</v>
      </c>
      <c r="K22" s="35">
        <v>-5343</v>
      </c>
      <c r="L22" s="35">
        <v>-10688</v>
      </c>
      <c r="M22" s="35">
        <v>-18211</v>
      </c>
    </row>
    <row r="23" spans="1:13" x14ac:dyDescent="0.25">
      <c r="A23" s="36" t="s">
        <v>275</v>
      </c>
      <c r="B23" s="36">
        <v>-298</v>
      </c>
      <c r="C23" s="36">
        <v>-481</v>
      </c>
      <c r="D23" s="36">
        <v>-703</v>
      </c>
      <c r="E23" s="36">
        <v>-976</v>
      </c>
      <c r="F23" s="36">
        <v>-361</v>
      </c>
      <c r="G23" s="36">
        <v>-794</v>
      </c>
      <c r="H23" s="36">
        <v>-1324</v>
      </c>
      <c r="I23" s="36">
        <v>-1833</v>
      </c>
      <c r="J23" s="36">
        <v>-248</v>
      </c>
      <c r="K23" s="36">
        <v>-537</v>
      </c>
      <c r="L23" s="36">
        <v>-815</v>
      </c>
      <c r="M23" s="36">
        <v>-1069</v>
      </c>
    </row>
    <row r="24" spans="1:13" x14ac:dyDescent="0.25">
      <c r="A24" s="35" t="s">
        <v>276</v>
      </c>
      <c r="B24" s="35">
        <v>-2</v>
      </c>
      <c r="C24" s="35">
        <v>3</v>
      </c>
      <c r="D24" s="35">
        <v>-203</v>
      </c>
      <c r="E24" s="35">
        <v>-24</v>
      </c>
      <c r="F24" s="35">
        <v>-36</v>
      </c>
      <c r="G24" s="35">
        <v>-49</v>
      </c>
      <c r="H24" s="35">
        <v>-49</v>
      </c>
      <c r="I24" s="35">
        <v>-49</v>
      </c>
      <c r="J24" s="35">
        <v>-221</v>
      </c>
      <c r="K24" s="35">
        <v>-435</v>
      </c>
      <c r="L24" s="35">
        <v>-872</v>
      </c>
      <c r="M24" s="35">
        <v>-985</v>
      </c>
    </row>
    <row r="25" spans="1:13" x14ac:dyDescent="0.25">
      <c r="A25" s="36" t="s">
        <v>277</v>
      </c>
      <c r="B25" s="36">
        <v>0</v>
      </c>
      <c r="C25" s="36">
        <v>0</v>
      </c>
      <c r="D25" s="36">
        <v>-14</v>
      </c>
      <c r="E25" s="36">
        <v>-263</v>
      </c>
      <c r="F25" s="36">
        <v>-35</v>
      </c>
      <c r="G25" s="36">
        <v>-65</v>
      </c>
      <c r="H25" s="36">
        <v>-83</v>
      </c>
      <c r="I25" s="36">
        <v>-77</v>
      </c>
      <c r="J25" s="36">
        <v>-83</v>
      </c>
      <c r="K25" s="36">
        <v>-83</v>
      </c>
      <c r="L25" s="36">
        <v>-83</v>
      </c>
      <c r="M25" s="36">
        <v>-83</v>
      </c>
    </row>
    <row r="26" spans="1:13" x14ac:dyDescent="0.25">
      <c r="A26" s="35" t="s">
        <v>278</v>
      </c>
      <c r="B26" s="35">
        <v>-1272</v>
      </c>
      <c r="C26" s="35">
        <v>-3805</v>
      </c>
      <c r="D26" s="35">
        <v>-8244</v>
      </c>
      <c r="E26" s="35">
        <v>-9830</v>
      </c>
      <c r="F26" s="35">
        <v>2612</v>
      </c>
      <c r="G26" s="35">
        <v>4230</v>
      </c>
      <c r="H26" s="35">
        <v>7378</v>
      </c>
      <c r="I26" s="35">
        <v>7375</v>
      </c>
      <c r="J26" s="35">
        <v>-841</v>
      </c>
      <c r="K26" s="35">
        <v>-1287</v>
      </c>
      <c r="L26" s="35">
        <v>-4457</v>
      </c>
      <c r="M26" s="35">
        <v>-10566</v>
      </c>
    </row>
    <row r="27" spans="1:13" x14ac:dyDescent="0.25">
      <c r="A27" s="90" t="s">
        <v>279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</row>
    <row r="28" spans="1:13" x14ac:dyDescent="0.25">
      <c r="A28" s="35" t="s">
        <v>284</v>
      </c>
      <c r="B28" s="35" t="s">
        <v>290</v>
      </c>
      <c r="C28" s="35">
        <v>4985</v>
      </c>
      <c r="D28" s="35">
        <v>4977</v>
      </c>
      <c r="E28" s="35">
        <v>4977</v>
      </c>
      <c r="F28" s="35" t="s">
        <v>290</v>
      </c>
      <c r="G28" s="35">
        <v>0</v>
      </c>
      <c r="H28" s="35">
        <v>0</v>
      </c>
      <c r="I28" s="35"/>
      <c r="J28" s="35"/>
      <c r="K28" s="35"/>
      <c r="L28" s="35"/>
      <c r="M28" s="35"/>
    </row>
    <row r="29" spans="1:13" x14ac:dyDescent="0.25">
      <c r="A29" s="36" t="s">
        <v>280</v>
      </c>
      <c r="B29" s="36">
        <v>126</v>
      </c>
      <c r="C29" s="36">
        <v>128</v>
      </c>
      <c r="D29" s="36">
        <v>277</v>
      </c>
      <c r="E29" s="36">
        <v>281</v>
      </c>
      <c r="F29" s="36">
        <v>204</v>
      </c>
      <c r="G29" s="36">
        <v>205</v>
      </c>
      <c r="H29" s="36">
        <v>349</v>
      </c>
      <c r="I29" s="36">
        <v>355</v>
      </c>
      <c r="J29" s="36">
        <v>246</v>
      </c>
      <c r="K29" s="36">
        <v>247</v>
      </c>
      <c r="L29" s="36">
        <v>403</v>
      </c>
      <c r="M29" s="36">
        <v>403</v>
      </c>
    </row>
    <row r="30" spans="1:13" x14ac:dyDescent="0.25">
      <c r="A30" s="35" t="s">
        <v>294</v>
      </c>
      <c r="B30" s="35"/>
      <c r="C30" s="35"/>
      <c r="D30" s="35"/>
      <c r="E30" s="35">
        <v>0</v>
      </c>
      <c r="F30" s="35">
        <v>-1996</v>
      </c>
      <c r="G30" s="35">
        <v>-5341</v>
      </c>
      <c r="H30" s="35">
        <v>-8826</v>
      </c>
      <c r="I30" s="35">
        <v>-10039</v>
      </c>
      <c r="J30" s="35">
        <v>0</v>
      </c>
      <c r="K30" s="35">
        <v>-3067</v>
      </c>
      <c r="L30" s="35">
        <v>-6874</v>
      </c>
      <c r="M30" s="35">
        <v>-9533</v>
      </c>
    </row>
    <row r="31" spans="1:13" x14ac:dyDescent="0.25">
      <c r="A31" s="36" t="s">
        <v>281</v>
      </c>
      <c r="B31" s="36">
        <v>-477</v>
      </c>
      <c r="C31" s="36">
        <v>-843</v>
      </c>
      <c r="D31" s="36">
        <v>-1282</v>
      </c>
      <c r="E31" s="36">
        <v>-1904</v>
      </c>
      <c r="F31" s="36">
        <v>-532</v>
      </c>
      <c r="G31" s="36">
        <v>-837</v>
      </c>
      <c r="H31" s="36">
        <v>-1131</v>
      </c>
      <c r="I31" s="36">
        <v>-1475</v>
      </c>
      <c r="J31" s="36">
        <v>-507</v>
      </c>
      <c r="K31" s="36">
        <v>-1179</v>
      </c>
      <c r="L31" s="36">
        <v>-1942</v>
      </c>
      <c r="M31" s="36">
        <v>-2783</v>
      </c>
    </row>
    <row r="32" spans="1:13" x14ac:dyDescent="0.25">
      <c r="A32" s="35" t="s">
        <v>282</v>
      </c>
      <c r="B32" s="35">
        <v>-99</v>
      </c>
      <c r="C32" s="35">
        <v>-198</v>
      </c>
      <c r="D32" s="35">
        <v>-298</v>
      </c>
      <c r="E32" s="35">
        <v>-399</v>
      </c>
      <c r="F32" s="35">
        <v>-100</v>
      </c>
      <c r="G32" s="35">
        <v>-200</v>
      </c>
      <c r="H32" s="35">
        <v>-300</v>
      </c>
      <c r="I32" s="35">
        <v>-398</v>
      </c>
      <c r="J32" s="35">
        <v>-99</v>
      </c>
      <c r="K32" s="35">
        <v>-199</v>
      </c>
      <c r="L32" s="35">
        <v>-296</v>
      </c>
      <c r="M32" s="35">
        <v>-395</v>
      </c>
    </row>
    <row r="33" spans="1:13" x14ac:dyDescent="0.25">
      <c r="A33" s="36" t="s">
        <v>283</v>
      </c>
      <c r="B33" s="36">
        <v>-19</v>
      </c>
      <c r="C33" s="36">
        <v>-40</v>
      </c>
      <c r="D33" s="36">
        <v>-62</v>
      </c>
      <c r="E33" s="36"/>
      <c r="F33" s="36">
        <v>-22</v>
      </c>
      <c r="G33" s="36">
        <v>-36</v>
      </c>
      <c r="H33" s="36">
        <v>-54</v>
      </c>
      <c r="I33" s="36">
        <v>-58</v>
      </c>
      <c r="J33" s="36">
        <v>-20</v>
      </c>
      <c r="K33" s="36">
        <v>-31</v>
      </c>
      <c r="L33" s="36">
        <v>-44</v>
      </c>
      <c r="M33" s="36">
        <v>-74</v>
      </c>
    </row>
    <row r="34" spans="1:13" x14ac:dyDescent="0.25">
      <c r="A34" s="35" t="s">
        <v>297</v>
      </c>
      <c r="B34" s="35"/>
      <c r="C34" s="35"/>
      <c r="D34" s="35">
        <v>-1000</v>
      </c>
      <c r="E34" s="35">
        <v>-1000</v>
      </c>
      <c r="F34" s="35"/>
      <c r="G34" s="35"/>
      <c r="H34" s="35" t="s">
        <v>290</v>
      </c>
      <c r="I34" s="35">
        <v>0</v>
      </c>
      <c r="J34" s="35"/>
      <c r="K34" s="35">
        <v>-1250</v>
      </c>
      <c r="L34" s="35">
        <v>-1250</v>
      </c>
      <c r="M34" s="35">
        <v>-1250</v>
      </c>
    </row>
    <row r="35" spans="1:13" x14ac:dyDescent="0.25">
      <c r="A35" s="36" t="s">
        <v>266</v>
      </c>
      <c r="B35" s="36">
        <v>-2</v>
      </c>
      <c r="C35" s="36">
        <v>-2</v>
      </c>
      <c r="D35" s="36">
        <v>-2</v>
      </c>
      <c r="E35" s="36">
        <v>-7</v>
      </c>
      <c r="F35" s="36">
        <v>0</v>
      </c>
      <c r="G35" s="36">
        <v>1</v>
      </c>
      <c r="H35" s="36">
        <v>1</v>
      </c>
      <c r="I35" s="36">
        <v>-2</v>
      </c>
      <c r="J35" s="36"/>
      <c r="K35" s="36"/>
      <c r="L35" s="36">
        <v>-1</v>
      </c>
      <c r="M35" s="36">
        <v>-1</v>
      </c>
    </row>
    <row r="36" spans="1:13" x14ac:dyDescent="0.25">
      <c r="A36" s="90" t="s">
        <v>285</v>
      </c>
      <c r="B36" s="36">
        <v>-471</v>
      </c>
      <c r="C36" s="36">
        <v>4030</v>
      </c>
      <c r="D36" s="36">
        <v>2610</v>
      </c>
      <c r="E36" s="36">
        <v>1865</v>
      </c>
      <c r="F36" s="36">
        <v>-2446</v>
      </c>
      <c r="G36" s="36">
        <v>-6208</v>
      </c>
      <c r="H36" s="36">
        <v>-9961</v>
      </c>
      <c r="I36" s="36">
        <v>-11617</v>
      </c>
      <c r="J36" s="36">
        <v>-380</v>
      </c>
      <c r="K36" s="36">
        <v>-5479</v>
      </c>
      <c r="L36" s="36">
        <v>-10004</v>
      </c>
      <c r="M36" s="36">
        <v>-13633</v>
      </c>
    </row>
    <row r="37" spans="1:13" x14ac:dyDescent="0.25">
      <c r="A37" s="35" t="s">
        <v>286</v>
      </c>
      <c r="B37" s="35">
        <v>131</v>
      </c>
      <c r="C37" s="35">
        <v>4781</v>
      </c>
      <c r="D37" s="35">
        <v>441</v>
      </c>
      <c r="E37" s="35">
        <v>1143</v>
      </c>
      <c r="F37" s="35">
        <v>1897</v>
      </c>
      <c r="G37" s="35">
        <v>1023</v>
      </c>
      <c r="H37" s="35">
        <v>810</v>
      </c>
      <c r="I37" s="35">
        <v>1399</v>
      </c>
      <c r="J37" s="35">
        <v>1690</v>
      </c>
      <c r="K37" s="35">
        <v>2493</v>
      </c>
      <c r="L37" s="35">
        <v>2130</v>
      </c>
      <c r="M37" s="35">
        <v>3891</v>
      </c>
    </row>
    <row r="38" spans="1:13" x14ac:dyDescent="0.25">
      <c r="A38" s="36" t="s">
        <v>287</v>
      </c>
      <c r="B38" s="36">
        <v>847</v>
      </c>
      <c r="C38" s="36">
        <v>847</v>
      </c>
      <c r="D38" s="36">
        <v>847</v>
      </c>
      <c r="E38" s="36">
        <v>847</v>
      </c>
      <c r="F38" s="36">
        <v>1990</v>
      </c>
      <c r="G38" s="36">
        <v>1990</v>
      </c>
      <c r="H38" s="36">
        <v>1990</v>
      </c>
      <c r="I38" s="36">
        <v>1990</v>
      </c>
      <c r="J38" s="36">
        <v>3389</v>
      </c>
      <c r="K38" s="36">
        <v>3389</v>
      </c>
      <c r="L38" s="36">
        <v>3389</v>
      </c>
      <c r="M38" s="36">
        <v>3389</v>
      </c>
    </row>
    <row r="39" spans="1:13" x14ac:dyDescent="0.25">
      <c r="A39" s="35" t="s">
        <v>288</v>
      </c>
      <c r="B39" s="35">
        <v>978</v>
      </c>
      <c r="C39" s="35">
        <v>5628</v>
      </c>
      <c r="D39" s="35">
        <v>1288</v>
      </c>
      <c r="E39" s="35">
        <v>1990</v>
      </c>
      <c r="F39" s="35">
        <v>3887</v>
      </c>
      <c r="G39" s="35">
        <v>3013</v>
      </c>
      <c r="H39" s="35">
        <v>2800</v>
      </c>
      <c r="I39" s="35">
        <v>3389</v>
      </c>
      <c r="J39" s="35">
        <v>5079</v>
      </c>
      <c r="K39" s="35">
        <v>5882</v>
      </c>
      <c r="L39" s="35">
        <v>5519</v>
      </c>
      <c r="M39" s="35">
        <v>7280</v>
      </c>
    </row>
    <row r="40" spans="1:13" x14ac:dyDescent="0.25">
      <c r="A40" s="89" t="s">
        <v>295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</row>
    <row r="41" spans="1:13" x14ac:dyDescent="0.25">
      <c r="A41" s="36" t="s">
        <v>296</v>
      </c>
      <c r="B41" s="36"/>
      <c r="C41" s="36">
        <v>241</v>
      </c>
      <c r="D41" s="36">
        <v>313</v>
      </c>
      <c r="E41" s="36">
        <v>396</v>
      </c>
      <c r="F41" s="36"/>
      <c r="G41" s="36">
        <v>1108</v>
      </c>
      <c r="H41" s="36">
        <v>1372</v>
      </c>
      <c r="I41" s="36">
        <v>1404</v>
      </c>
      <c r="J41" s="36"/>
      <c r="K41" s="36">
        <v>328</v>
      </c>
      <c r="L41" s="36">
        <v>4676</v>
      </c>
      <c r="M41" s="36">
        <v>6549</v>
      </c>
    </row>
    <row r="42" spans="1:13" x14ac:dyDescent="0.25">
      <c r="A42" s="35" t="s">
        <v>303</v>
      </c>
      <c r="B42" s="35"/>
      <c r="C42" s="35"/>
      <c r="D42" s="35"/>
      <c r="E42" s="35">
        <v>246</v>
      </c>
      <c r="F42" s="35"/>
      <c r="G42" s="35"/>
      <c r="H42" s="35"/>
      <c r="I42" s="35">
        <v>254</v>
      </c>
      <c r="J42" s="35"/>
      <c r="K42" s="35"/>
      <c r="L42" s="35"/>
      <c r="M42" s="35">
        <v>252</v>
      </c>
    </row>
    <row r="43" spans="1:13" x14ac:dyDescent="0.25">
      <c r="A43" s="46" t="s">
        <v>298</v>
      </c>
      <c r="B43">
        <v>137</v>
      </c>
      <c r="C43">
        <v>138</v>
      </c>
      <c r="D43">
        <v>143</v>
      </c>
      <c r="E43">
        <v>145</v>
      </c>
      <c r="F43">
        <v>155</v>
      </c>
      <c r="G43">
        <v>182</v>
      </c>
      <c r="H43">
        <v>181</v>
      </c>
      <c r="I43">
        <v>181</v>
      </c>
      <c r="J43">
        <v>181</v>
      </c>
      <c r="K43">
        <v>146</v>
      </c>
      <c r="L43">
        <v>144</v>
      </c>
      <c r="M43">
        <v>143</v>
      </c>
    </row>
    <row r="44" spans="1:13" x14ac:dyDescent="0.25">
      <c r="A44" s="42" t="s">
        <v>299</v>
      </c>
      <c r="B44">
        <f>B43</f>
        <v>137</v>
      </c>
      <c r="C44">
        <f>C43+B44</f>
        <v>275</v>
      </c>
      <c r="D44">
        <f>D43+C44</f>
        <v>418</v>
      </c>
      <c r="E44">
        <f>E43+D44</f>
        <v>563</v>
      </c>
      <c r="F44">
        <f>F43</f>
        <v>155</v>
      </c>
      <c r="G44">
        <f>G43+F44</f>
        <v>337</v>
      </c>
      <c r="H44">
        <f>H43+G44</f>
        <v>518</v>
      </c>
      <c r="I44">
        <f>I43+H44</f>
        <v>699</v>
      </c>
      <c r="J44">
        <f>J43</f>
        <v>181</v>
      </c>
      <c r="K44">
        <f>K43+J44</f>
        <v>327</v>
      </c>
      <c r="L44">
        <f>L43+K44</f>
        <v>471</v>
      </c>
      <c r="M44">
        <f>M43+L44</f>
        <v>614</v>
      </c>
    </row>
    <row r="45" spans="1:13" x14ac:dyDescent="0.25">
      <c r="A45" s="45"/>
      <c r="B45" s="42"/>
      <c r="C45" s="42"/>
      <c r="D45" s="42"/>
      <c r="E45" s="42"/>
      <c r="F45" s="42"/>
      <c r="G45" s="53"/>
      <c r="H45" s="42"/>
      <c r="J45" s="53" t="s">
        <v>304</v>
      </c>
    </row>
    <row r="46" spans="1:13" x14ac:dyDescent="0.25">
      <c r="A46" s="45"/>
      <c r="B46" s="41"/>
      <c r="C46" s="41"/>
      <c r="D46" s="41"/>
      <c r="E46" s="41"/>
      <c r="F46" s="41"/>
      <c r="G46" s="52"/>
      <c r="H46" s="41"/>
      <c r="J46" s="52"/>
    </row>
    <row r="47" spans="1:13" x14ac:dyDescent="0.25">
      <c r="B47" s="43"/>
    </row>
    <row r="48" spans="1:13" x14ac:dyDescent="0.25">
      <c r="B48" s="41"/>
    </row>
    <row r="49" spans="2:2" x14ac:dyDescent="0.25">
      <c r="B49" s="42"/>
    </row>
    <row r="50" spans="2:2" x14ac:dyDescent="0.25">
      <c r="B50" s="4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CBE34-A453-408A-A52C-3817E9BE8150}">
  <dimension ref="A1:X25"/>
  <sheetViews>
    <sheetView showGridLines="0" zoomScale="80" zoomScaleNormal="80" workbookViewId="0">
      <selection activeCell="AA21" sqref="AA21"/>
    </sheetView>
  </sheetViews>
  <sheetFormatPr defaultRowHeight="15" x14ac:dyDescent="0.25"/>
  <cols>
    <col min="3" max="3" width="19.7109375" customWidth="1"/>
    <col min="4" max="9" width="8.5703125" bestFit="1" customWidth="1"/>
    <col min="10" max="11" width="8.85546875" bestFit="1" customWidth="1"/>
    <col min="12" max="13" width="8.5703125" bestFit="1" customWidth="1"/>
    <col min="14" max="24" width="8.85546875" bestFit="1" customWidth="1"/>
  </cols>
  <sheetData>
    <row r="1" spans="1:24" x14ac:dyDescent="0.25">
      <c r="A1" s="2" t="s">
        <v>314</v>
      </c>
      <c r="E1" s="162" t="s">
        <v>310</v>
      </c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 t="s">
        <v>311</v>
      </c>
      <c r="R1" s="162"/>
      <c r="S1" s="162"/>
      <c r="T1" s="162"/>
      <c r="U1" s="162"/>
      <c r="V1" s="162"/>
      <c r="W1" s="162"/>
      <c r="X1" s="162"/>
    </row>
    <row r="2" spans="1:24" x14ac:dyDescent="0.25">
      <c r="A2" s="2" t="s">
        <v>305</v>
      </c>
      <c r="D2" s="5" t="s">
        <v>36</v>
      </c>
      <c r="E2" s="5" t="s">
        <v>37</v>
      </c>
      <c r="F2" s="5" t="str">
        <f>IF(MID(E2,2,1)="4","Q1 "&amp;RIGHT(E2,4)+1, "Q"&amp;MID(E2,2,1)+1&amp;" "&amp;RIGHT(E2,4))</f>
        <v>Q2 2022</v>
      </c>
      <c r="G2" s="5" t="str">
        <f t="shared" ref="G2:O2" si="0">IF(MID(F2,2,1)="4","Q1 "&amp;RIGHT(F2,4)+1, "Q"&amp;MID(F2,2,1)+1&amp;" "&amp;RIGHT(F2,4))</f>
        <v>Q3 2022</v>
      </c>
      <c r="H2" s="5" t="str">
        <f t="shared" si="0"/>
        <v>Q4 2022</v>
      </c>
      <c r="I2" s="5" t="str">
        <f t="shared" si="0"/>
        <v>Q1 2023</v>
      </c>
      <c r="J2" s="5" t="str">
        <f t="shared" si="0"/>
        <v>Q2 2023</v>
      </c>
      <c r="K2" s="5" t="str">
        <f t="shared" si="0"/>
        <v>Q3 2023</v>
      </c>
      <c r="L2" s="5" t="str">
        <f t="shared" si="0"/>
        <v>Q4 2023</v>
      </c>
      <c r="M2" s="5" t="str">
        <f t="shared" si="0"/>
        <v>Q1 2024</v>
      </c>
      <c r="N2" s="5" t="str">
        <f t="shared" si="0"/>
        <v>Q2 2024</v>
      </c>
      <c r="O2" s="5" t="str">
        <f t="shared" si="0"/>
        <v>Q3 2024</v>
      </c>
      <c r="P2" s="5" t="str">
        <f>IF(MID(O2,2,1)="4","Q1 "&amp;RIGHT(O2,4)+1, "Q"&amp;MID(O2,2,1)+1&amp;" "&amp;RIGHT(O2,4))</f>
        <v>Q4 2024</v>
      </c>
      <c r="Q2" s="34" t="str">
        <f>IF(MID(P2,2,1)="4","Q1 "&amp;RIGHT(P2,4)+1, "Q"&amp;MID(P2,2,1)+1&amp;" "&amp;RIGHT(P2,4))</f>
        <v>Q1 2025</v>
      </c>
      <c r="R2" s="34" t="str">
        <f t="shared" ref="R2:X2" si="1">IF(MID(Q2,2,1)="4","Q1 "&amp;RIGHT(Q2,4)+1, "Q"&amp;MID(Q2,2,1)+1&amp;" "&amp;RIGHT(Q2,4))</f>
        <v>Q2 2025</v>
      </c>
      <c r="S2" s="34" t="str">
        <f t="shared" si="1"/>
        <v>Q3 2025</v>
      </c>
      <c r="T2" s="34" t="str">
        <f t="shared" si="1"/>
        <v>Q4 2025</v>
      </c>
      <c r="U2" s="34" t="str">
        <f t="shared" si="1"/>
        <v>Q1 2026</v>
      </c>
      <c r="V2" s="34" t="str">
        <f t="shared" si="1"/>
        <v>Q2 2026</v>
      </c>
      <c r="W2" s="34" t="str">
        <f t="shared" si="1"/>
        <v>Q3 2026</v>
      </c>
      <c r="X2" s="34" t="str">
        <f t="shared" si="1"/>
        <v>Q4 2026</v>
      </c>
    </row>
    <row r="3" spans="1:24" x14ac:dyDescent="0.25">
      <c r="A3" s="56" t="s">
        <v>306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5">
      <c r="A4" t="s">
        <v>313</v>
      </c>
      <c r="D4" s="62">
        <f>'Balance Sheet'!B6</f>
        <v>2429</v>
      </c>
      <c r="E4" s="62">
        <f>'Balance Sheet'!C6</f>
        <v>3024</v>
      </c>
      <c r="F4" s="62">
        <f>'Balance Sheet'!D6</f>
        <v>3586</v>
      </c>
      <c r="G4" s="62">
        <f>'Balance Sheet'!E6</f>
        <v>3954</v>
      </c>
      <c r="H4" s="62">
        <f>'Balance Sheet'!F6</f>
        <v>4650</v>
      </c>
      <c r="I4" s="62">
        <f>'Balance Sheet'!G6</f>
        <v>5438</v>
      </c>
      <c r="J4" s="62">
        <f>'Balance Sheet'!H6</f>
        <v>5317</v>
      </c>
      <c r="K4" s="62">
        <f>'Balance Sheet'!I6</f>
        <v>4908</v>
      </c>
      <c r="L4" s="62" t="str">
        <f>'Balance Sheet'!J6</f>
        <v>3,827</v>
      </c>
      <c r="M4" s="62">
        <f>'Balance Sheet'!K6</f>
        <v>4080</v>
      </c>
      <c r="N4" s="62" t="str">
        <f>'Balance Sheet'!L6</f>
        <v>7,066</v>
      </c>
      <c r="O4" s="62">
        <f>'Balance Sheet'!M6</f>
        <v>8309</v>
      </c>
      <c r="P4" s="62">
        <f>'Balance Sheet'!N6</f>
        <v>9999</v>
      </c>
      <c r="Q4" s="91">
        <f>(Q17/90)*DCF!R$10</f>
        <v>10516.432628555491</v>
      </c>
      <c r="R4" s="91">
        <f>(R17/90)*DCF!S$10</f>
        <v>11366.997623112531</v>
      </c>
      <c r="S4" s="91">
        <f>(S17/90)*DCF!T$10</f>
        <v>12405.706026603848</v>
      </c>
      <c r="T4" s="91">
        <f>(T17/90)*DCF!U$10</f>
        <v>13279.353430127363</v>
      </c>
      <c r="U4" s="91">
        <f>(U17/90)*DCF!V$10</f>
        <v>13126.922427518575</v>
      </c>
      <c r="V4" s="91">
        <f>(V17/90)*DCF!W$10</f>
        <v>14164.469451942397</v>
      </c>
      <c r="W4" s="91">
        <f>(W17/90)*DCF!X$10</f>
        <v>14599.986602253222</v>
      </c>
      <c r="X4" s="91">
        <f>(X17/90)*DCF!Y$10</f>
        <v>15035.503752564047</v>
      </c>
    </row>
    <row r="5" spans="1:24" x14ac:dyDescent="0.25">
      <c r="A5" t="s">
        <v>70</v>
      </c>
      <c r="D5" s="62">
        <f>'Balance Sheet'!B7</f>
        <v>1826</v>
      </c>
      <c r="E5" s="62">
        <f>'Balance Sheet'!C7</f>
        <v>1992</v>
      </c>
      <c r="F5" s="62">
        <f>'Balance Sheet'!D7</f>
        <v>2114</v>
      </c>
      <c r="G5" s="62">
        <f>'Balance Sheet'!E7</f>
        <v>2233</v>
      </c>
      <c r="H5" s="62">
        <f>'Balance Sheet'!F7</f>
        <v>2605</v>
      </c>
      <c r="I5" s="62">
        <f>'Balance Sheet'!G7</f>
        <v>3163</v>
      </c>
      <c r="J5" s="62">
        <f>'Balance Sheet'!H7</f>
        <v>3889</v>
      </c>
      <c r="K5" s="62">
        <f>'Balance Sheet'!I7</f>
        <v>4454</v>
      </c>
      <c r="L5" s="62" t="str">
        <f>'Balance Sheet'!J7</f>
        <v>5,159</v>
      </c>
      <c r="M5" s="62">
        <f>'Balance Sheet'!K7</f>
        <v>4611</v>
      </c>
      <c r="N5" s="62" t="str">
        <f>'Balance Sheet'!L7</f>
        <v>4,319</v>
      </c>
      <c r="O5" s="62">
        <f>'Balance Sheet'!M7</f>
        <v>4779</v>
      </c>
      <c r="P5" s="62">
        <f>'Balance Sheet'!N7</f>
        <v>5282</v>
      </c>
      <c r="Q5" s="91">
        <f>(Q18/90)*(DCF!R$10-DCF!R$13)</f>
        <v>7027.54987857573</v>
      </c>
      <c r="R5" s="91">
        <f>(R18/90)*(DCF!S$10-DCF!S$13)</f>
        <v>9246.6549618622739</v>
      </c>
      <c r="S5" s="91">
        <f>(S18/90)*(DCF!T$10-DCF!T$13)</f>
        <v>9070.8621343548293</v>
      </c>
      <c r="T5" s="91">
        <f>(T18/90)*(DCF!U$10-DCF!U$13)</f>
        <v>9606.969969080983</v>
      </c>
      <c r="U5" s="91">
        <f>(U18/90)*(DCF!V$10-DCF!V$13)</f>
        <v>9485.9292172964942</v>
      </c>
      <c r="V5" s="91">
        <f>(V18/90)*(DCF!W$10-DCF!W$13)</f>
        <v>10397.94575653776</v>
      </c>
      <c r="W5" s="91">
        <f>(W18/90)*(DCF!X$10-DCF!X$13)</f>
        <v>10916.165260375086</v>
      </c>
      <c r="X5" s="91">
        <f>(X18/90)*(DCF!Y$10-DCF!Y$13)</f>
        <v>10943.420107780836</v>
      </c>
    </row>
    <row r="6" spans="1:24" x14ac:dyDescent="0.25">
      <c r="A6" t="s">
        <v>72</v>
      </c>
      <c r="D6" s="62">
        <f>'Balance Sheet'!B8</f>
        <v>239</v>
      </c>
      <c r="E6" s="62">
        <f>'Balance Sheet'!C8</f>
        <v>444</v>
      </c>
      <c r="F6" s="62">
        <f>'Balance Sheet'!D8</f>
        <v>452</v>
      </c>
      <c r="G6" s="62">
        <f>'Balance Sheet'!E8</f>
        <v>321</v>
      </c>
      <c r="H6" s="62">
        <f>'Balance Sheet'!F8</f>
        <v>366</v>
      </c>
      <c r="I6" s="62">
        <f>'Balance Sheet'!G8</f>
        <v>636</v>
      </c>
      <c r="J6" s="62">
        <f>'Balance Sheet'!H8</f>
        <v>1175</v>
      </c>
      <c r="K6" s="62">
        <f>'Balance Sheet'!I8</f>
        <v>718</v>
      </c>
      <c r="L6" s="62" t="str">
        <f>'Balance Sheet'!J8</f>
        <v>791</v>
      </c>
      <c r="M6" s="62">
        <f>'Balance Sheet'!K8</f>
        <v>872</v>
      </c>
      <c r="N6" s="62" t="str">
        <f>'Balance Sheet'!L8</f>
        <v>1,389</v>
      </c>
      <c r="O6" s="62">
        <f>'Balance Sheet'!M8</f>
        <v>1289</v>
      </c>
      <c r="P6" s="62">
        <f>'Balance Sheet'!N8</f>
        <v>3080</v>
      </c>
      <c r="Q6" s="91">
        <f>Q19*DCF!R$10</f>
        <v>2623.3654593224001</v>
      </c>
      <c r="R6" s="91">
        <f>R19*DCF!S$10</f>
        <v>2835.5422407882816</v>
      </c>
      <c r="S6" s="91">
        <f>S19*DCF!T$10</f>
        <v>3094.6521352051418</v>
      </c>
      <c r="T6" s="91">
        <f>T19*DCF!U$10</f>
        <v>3312.5869143247319</v>
      </c>
      <c r="U6" s="91">
        <f>U19*DCF!V$10</f>
        <v>3274.5624015172261</v>
      </c>
      <c r="V6" s="91">
        <f>V19*DCF!W$10</f>
        <v>3533.3825853603153</v>
      </c>
      <c r="W6" s="91">
        <f>W19*DCF!X$10</f>
        <v>3642.024050524617</v>
      </c>
      <c r="X6" s="91">
        <f>X19*DCF!Y$10</f>
        <v>3750.6655156889192</v>
      </c>
    </row>
    <row r="7" spans="1:24" x14ac:dyDescent="0.25">
      <c r="A7" s="57" t="s">
        <v>74</v>
      </c>
      <c r="B7" s="58"/>
      <c r="C7" s="58"/>
      <c r="D7" s="63">
        <f>D4+D5+D6</f>
        <v>4494</v>
      </c>
      <c r="E7" s="63">
        <f>E4+E5+E6</f>
        <v>5460</v>
      </c>
      <c r="F7" s="63">
        <f t="shared" ref="F7:X7" si="2">F4+F5+F6</f>
        <v>6152</v>
      </c>
      <c r="G7" s="63">
        <f t="shared" si="2"/>
        <v>6508</v>
      </c>
      <c r="H7" s="63">
        <f t="shared" si="2"/>
        <v>7621</v>
      </c>
      <c r="I7" s="63">
        <f t="shared" si="2"/>
        <v>9237</v>
      </c>
      <c r="J7" s="63">
        <f t="shared" si="2"/>
        <v>10381</v>
      </c>
      <c r="K7" s="63">
        <f t="shared" si="2"/>
        <v>10080</v>
      </c>
      <c r="L7" s="63">
        <f t="shared" si="2"/>
        <v>9777</v>
      </c>
      <c r="M7" s="63">
        <f t="shared" si="2"/>
        <v>9563</v>
      </c>
      <c r="N7" s="63">
        <f t="shared" si="2"/>
        <v>12774</v>
      </c>
      <c r="O7" s="63">
        <f t="shared" si="2"/>
        <v>14377</v>
      </c>
      <c r="P7" s="63">
        <f t="shared" si="2"/>
        <v>18361</v>
      </c>
      <c r="Q7" s="92">
        <f t="shared" si="2"/>
        <v>20167.347966453621</v>
      </c>
      <c r="R7" s="92">
        <f t="shared" si="2"/>
        <v>23449.194825763087</v>
      </c>
      <c r="S7" s="92">
        <f t="shared" si="2"/>
        <v>24571.220296163818</v>
      </c>
      <c r="T7" s="92">
        <f t="shared" si="2"/>
        <v>26198.910313533081</v>
      </c>
      <c r="U7" s="92">
        <f t="shared" si="2"/>
        <v>25887.414046332295</v>
      </c>
      <c r="V7" s="92">
        <f t="shared" si="2"/>
        <v>28095.797793840473</v>
      </c>
      <c r="W7" s="92">
        <f t="shared" si="2"/>
        <v>29158.175913152925</v>
      </c>
      <c r="X7" s="92">
        <f t="shared" si="2"/>
        <v>29729.5893760338</v>
      </c>
    </row>
    <row r="8" spans="1:24" x14ac:dyDescent="0.25"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</row>
    <row r="9" spans="1:24" x14ac:dyDescent="0.25">
      <c r="A9" s="56" t="s">
        <v>307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</row>
    <row r="10" spans="1:24" x14ac:dyDescent="0.25">
      <c r="A10" t="s">
        <v>312</v>
      </c>
      <c r="D10" s="62">
        <f>'Balance Sheet'!B20</f>
        <v>1201</v>
      </c>
      <c r="E10" s="62">
        <f>'Balance Sheet'!C20</f>
        <v>1218</v>
      </c>
      <c r="F10" s="62">
        <f>'Balance Sheet'!D20</f>
        <v>1474</v>
      </c>
      <c r="G10" s="62">
        <f>'Balance Sheet'!E20</f>
        <v>1664</v>
      </c>
      <c r="H10" s="62">
        <f>'Balance Sheet'!F20</f>
        <v>1783</v>
      </c>
      <c r="I10" s="62">
        <f>'Balance Sheet'!G20</f>
        <v>1999</v>
      </c>
      <c r="J10" s="62">
        <f>'Balance Sheet'!H20</f>
        <v>2421</v>
      </c>
      <c r="K10" s="62">
        <f>'Balance Sheet'!I20</f>
        <v>1491</v>
      </c>
      <c r="L10" s="62" t="str">
        <f>'Balance Sheet'!J20</f>
        <v>1,193</v>
      </c>
      <c r="M10" s="62">
        <f>'Balance Sheet'!K20</f>
        <v>1141</v>
      </c>
      <c r="N10" s="62" t="str">
        <f>'Balance Sheet'!L20</f>
        <v>1,929</v>
      </c>
      <c r="O10" s="62">
        <f>'Balance Sheet'!M20</f>
        <v>2380</v>
      </c>
      <c r="P10" s="62">
        <f>'Balance Sheet'!N20</f>
        <v>2699</v>
      </c>
      <c r="Q10" s="91">
        <f>(Q20/90)*(DCF!R$10-DCF!R$13)</f>
        <v>2450.6466200741843</v>
      </c>
      <c r="R10" s="91">
        <f>(R20/90)*(DCF!S$10-DCF!S$13)</f>
        <v>3224.4927635963672</v>
      </c>
      <c r="S10" s="91">
        <f>(S20/90)*(DCF!T$10-DCF!T$13)</f>
        <v>3163.1903031360343</v>
      </c>
      <c r="T10" s="91">
        <f>(T20/90)*(DCF!U$10-DCF!U$13)</f>
        <v>3350.1417835050656</v>
      </c>
      <c r="U10" s="91">
        <f>(U20/90)*(DCF!V$10-DCF!V$13)</f>
        <v>3307.9324624220235</v>
      </c>
      <c r="V10" s="91">
        <f>(V20/90)*(DCF!W$10-DCF!W$13)</f>
        <v>3625.9707955482104</v>
      </c>
      <c r="W10" s="91">
        <f>(W20/90)*(DCF!X$10-DCF!X$13)</f>
        <v>3806.6842586297203</v>
      </c>
      <c r="X10" s="91">
        <f>(X20/90)*(DCF!Y$10-DCF!Y$13)</f>
        <v>3816.1885667925353</v>
      </c>
    </row>
    <row r="11" spans="1:24" x14ac:dyDescent="0.25">
      <c r="A11" t="s">
        <v>95</v>
      </c>
      <c r="D11" s="62">
        <f>'Balance Sheet'!B21</f>
        <v>1725</v>
      </c>
      <c r="E11" s="62">
        <f>'Balance Sheet'!C21</f>
        <v>1787</v>
      </c>
      <c r="F11" s="62">
        <f>'Balance Sheet'!D21</f>
        <v>1974</v>
      </c>
      <c r="G11" s="62">
        <f>'Balance Sheet'!E21</f>
        <v>1948</v>
      </c>
      <c r="H11" s="62">
        <f>'Balance Sheet'!F21</f>
        <v>2552</v>
      </c>
      <c r="I11" s="62">
        <f>'Balance Sheet'!G21</f>
        <v>3563</v>
      </c>
      <c r="J11" s="62">
        <f>'Balance Sheet'!H21</f>
        <v>3903</v>
      </c>
      <c r="K11" s="62">
        <f>'Balance Sheet'!I21</f>
        <v>4115</v>
      </c>
      <c r="L11" s="62" t="str">
        <f>'Balance Sheet'!J21</f>
        <v>4,120</v>
      </c>
      <c r="M11" s="62">
        <f>'Balance Sheet'!K21</f>
        <v>4869</v>
      </c>
      <c r="N11" s="62" t="str">
        <f>'Balance Sheet'!L21</f>
        <v>7,156</v>
      </c>
      <c r="O11" s="62">
        <f>'Balance Sheet'!M21</f>
        <v>5472</v>
      </c>
      <c r="P11" s="62">
        <f>'Balance Sheet'!N21</f>
        <v>6682</v>
      </c>
      <c r="Q11" s="91">
        <f>Q21*(DCF!R$13-DCF!R$16)</f>
        <v>7908.5124455445894</v>
      </c>
      <c r="R11" s="91">
        <f>R21*(DCF!S$13-DCF!S$16)</f>
        <v>3267.4524813654275</v>
      </c>
      <c r="S11" s="91">
        <f>S21*(DCF!T$13-DCF!T$16)</f>
        <v>5500.2644548148801</v>
      </c>
      <c r="T11" s="91">
        <f>T21*(DCF!U$13-DCF!U$16)</f>
        <v>6131.6441896024935</v>
      </c>
      <c r="U11" s="91">
        <f>U21*(DCF!V$13-DCF!V$16)</f>
        <v>6155.525049507256</v>
      </c>
      <c r="V11" s="91">
        <f>V21*(DCF!W$13-DCF!W$16)</f>
        <v>6910.9130163090476</v>
      </c>
      <c r="W11" s="91">
        <f>W21*(DCF!X$13-DCF!X$16)</f>
        <v>6635.2253389422995</v>
      </c>
      <c r="X11" s="91">
        <f>X21*(DCF!Y$13-DCF!Y$16)</f>
        <v>7262.9470066684953</v>
      </c>
    </row>
    <row r="12" spans="1:24" x14ac:dyDescent="0.25">
      <c r="A12" s="57" t="s">
        <v>99</v>
      </c>
      <c r="B12" s="58"/>
      <c r="C12" s="58"/>
      <c r="D12" s="63">
        <f t="shared" ref="D12:X12" si="3">D10+D11</f>
        <v>2926</v>
      </c>
      <c r="E12" s="63">
        <f t="shared" si="3"/>
        <v>3005</v>
      </c>
      <c r="F12" s="63">
        <f t="shared" si="3"/>
        <v>3448</v>
      </c>
      <c r="G12" s="63">
        <f t="shared" si="3"/>
        <v>3612</v>
      </c>
      <c r="H12" s="63">
        <f t="shared" si="3"/>
        <v>4335</v>
      </c>
      <c r="I12" s="63">
        <f t="shared" si="3"/>
        <v>5562</v>
      </c>
      <c r="J12" s="63">
        <f t="shared" si="3"/>
        <v>6324</v>
      </c>
      <c r="K12" s="63">
        <f t="shared" si="3"/>
        <v>5606</v>
      </c>
      <c r="L12" s="63">
        <f t="shared" si="3"/>
        <v>5313</v>
      </c>
      <c r="M12" s="63">
        <f t="shared" si="3"/>
        <v>6010</v>
      </c>
      <c r="N12" s="63">
        <f t="shared" si="3"/>
        <v>9085</v>
      </c>
      <c r="O12" s="63">
        <f t="shared" si="3"/>
        <v>7852</v>
      </c>
      <c r="P12" s="63">
        <f t="shared" si="3"/>
        <v>9381</v>
      </c>
      <c r="Q12" s="92">
        <f t="shared" si="3"/>
        <v>10359.159065618773</v>
      </c>
      <c r="R12" s="92">
        <f t="shared" si="3"/>
        <v>6491.9452449617947</v>
      </c>
      <c r="S12" s="92">
        <f t="shared" si="3"/>
        <v>8663.4547579509144</v>
      </c>
      <c r="T12" s="92">
        <f t="shared" si="3"/>
        <v>9481.7859731075587</v>
      </c>
      <c r="U12" s="92">
        <f t="shared" si="3"/>
        <v>9463.4575119292786</v>
      </c>
      <c r="V12" s="92">
        <f t="shared" si="3"/>
        <v>10536.883811857258</v>
      </c>
      <c r="W12" s="92">
        <f t="shared" si="3"/>
        <v>10441.909597572019</v>
      </c>
      <c r="X12" s="92">
        <f t="shared" si="3"/>
        <v>11079.13557346103</v>
      </c>
    </row>
    <row r="13" spans="1:24" x14ac:dyDescent="0.25"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93"/>
      <c r="R13" s="93"/>
      <c r="S13" s="93"/>
      <c r="T13" s="93"/>
      <c r="U13" s="93"/>
      <c r="V13" s="93"/>
      <c r="W13" s="93"/>
      <c r="X13" s="93"/>
    </row>
    <row r="14" spans="1:24" x14ac:dyDescent="0.25">
      <c r="A14" s="57" t="s">
        <v>308</v>
      </c>
      <c r="B14" s="58"/>
      <c r="C14" s="58"/>
      <c r="D14" s="63">
        <f t="shared" ref="D14:P14" si="4">D7-D12</f>
        <v>1568</v>
      </c>
      <c r="E14" s="63">
        <f t="shared" si="4"/>
        <v>2455</v>
      </c>
      <c r="F14" s="63">
        <f t="shared" si="4"/>
        <v>2704</v>
      </c>
      <c r="G14" s="63">
        <f t="shared" si="4"/>
        <v>2896</v>
      </c>
      <c r="H14" s="63">
        <f t="shared" si="4"/>
        <v>3286</v>
      </c>
      <c r="I14" s="63">
        <f t="shared" si="4"/>
        <v>3675</v>
      </c>
      <c r="J14" s="63">
        <f t="shared" si="4"/>
        <v>4057</v>
      </c>
      <c r="K14" s="63">
        <f t="shared" si="4"/>
        <v>4474</v>
      </c>
      <c r="L14" s="63">
        <f t="shared" si="4"/>
        <v>4464</v>
      </c>
      <c r="M14" s="63">
        <f t="shared" si="4"/>
        <v>3553</v>
      </c>
      <c r="N14" s="63">
        <f t="shared" si="4"/>
        <v>3689</v>
      </c>
      <c r="O14" s="63">
        <f t="shared" si="4"/>
        <v>6525</v>
      </c>
      <c r="P14" s="63">
        <f t="shared" si="4"/>
        <v>8980</v>
      </c>
      <c r="Q14" s="92">
        <f t="shared" ref="Q14:X14" si="5">Q7-Q12</f>
        <v>9808.188900834848</v>
      </c>
      <c r="R14" s="92">
        <f t="shared" si="5"/>
        <v>16957.24958080129</v>
      </c>
      <c r="S14" s="92">
        <f t="shared" si="5"/>
        <v>15907.765538212903</v>
      </c>
      <c r="T14" s="92">
        <f t="shared" si="5"/>
        <v>16717.124340425522</v>
      </c>
      <c r="U14" s="92">
        <f t="shared" si="5"/>
        <v>16423.956534403016</v>
      </c>
      <c r="V14" s="92">
        <f t="shared" si="5"/>
        <v>17558.913981983213</v>
      </c>
      <c r="W14" s="92">
        <f t="shared" si="5"/>
        <v>18716.266315580906</v>
      </c>
      <c r="X14" s="92">
        <f t="shared" si="5"/>
        <v>18650.453802572771</v>
      </c>
    </row>
    <row r="15" spans="1:24" x14ac:dyDescent="0.25">
      <c r="A15" s="2" t="s">
        <v>309</v>
      </c>
      <c r="E15" s="76">
        <f>E14-D14</f>
        <v>887</v>
      </c>
      <c r="F15" s="76">
        <f>F14-E14</f>
        <v>249</v>
      </c>
      <c r="G15" s="76">
        <f t="shared" ref="G15:P15" si="6">G14-F14</f>
        <v>192</v>
      </c>
      <c r="H15" s="76">
        <f t="shared" si="6"/>
        <v>390</v>
      </c>
      <c r="I15" s="76">
        <f t="shared" si="6"/>
        <v>389</v>
      </c>
      <c r="J15" s="76">
        <f t="shared" si="6"/>
        <v>382</v>
      </c>
      <c r="K15" s="76">
        <f t="shared" si="6"/>
        <v>417</v>
      </c>
      <c r="L15" s="76">
        <f t="shared" si="6"/>
        <v>-10</v>
      </c>
      <c r="M15" s="76">
        <f t="shared" si="6"/>
        <v>-911</v>
      </c>
      <c r="N15" s="76">
        <f t="shared" si="6"/>
        <v>136</v>
      </c>
      <c r="O15" s="76">
        <f t="shared" si="6"/>
        <v>2836</v>
      </c>
      <c r="P15" s="76">
        <f t="shared" si="6"/>
        <v>2455</v>
      </c>
      <c r="Q15" s="95">
        <f t="shared" ref="Q15" si="7">Q14-P14</f>
        <v>828.18890083484803</v>
      </c>
      <c r="R15" s="95">
        <f t="shared" ref="R15" si="8">R14-Q14</f>
        <v>7149.060679966442</v>
      </c>
      <c r="S15" s="95">
        <f t="shared" ref="S15" si="9">S14-R14</f>
        <v>-1049.4840425883867</v>
      </c>
      <c r="T15" s="95">
        <f t="shared" ref="T15" si="10">T14-S14</f>
        <v>809.35880221261868</v>
      </c>
      <c r="U15" s="95">
        <f t="shared" ref="U15" si="11">U14-T14</f>
        <v>-293.16780602250583</v>
      </c>
      <c r="V15" s="95">
        <f t="shared" ref="V15" si="12">V14-U14</f>
        <v>1134.9574475801965</v>
      </c>
      <c r="W15" s="95">
        <f t="shared" ref="W15" si="13">W14-V14</f>
        <v>1157.3523335976934</v>
      </c>
      <c r="X15" s="95">
        <f t="shared" ref="X15" si="14">X14-W14</f>
        <v>-65.812513008135284</v>
      </c>
    </row>
    <row r="16" spans="1:24" x14ac:dyDescent="0.25">
      <c r="E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5">
      <c r="A17" t="s">
        <v>344</v>
      </c>
      <c r="E17" s="115">
        <f>(AVERAGE(E4,D4)/DCF!F10)*90</f>
        <v>43.346581875993635</v>
      </c>
      <c r="F17" s="115">
        <f>(AVERAGE(F4,E4)/DCF!G10)*90</f>
        <v>45.712309820193639</v>
      </c>
      <c r="G17" s="115">
        <f>(AVERAGE(G4,F4)/DCF!H10)*90</f>
        <v>47.768548500633528</v>
      </c>
      <c r="H17" s="115">
        <f>(AVERAGE(H4,G4)/DCF!I10)*90</f>
        <v>50.65811853984038</v>
      </c>
      <c r="I17" s="115">
        <f>(AVERAGE(I4,H4)/DCF!J10)*90</f>
        <v>54.77316602316602</v>
      </c>
      <c r="J17" s="115">
        <f>(AVERAGE(J4,I4)/DCF!K10)*90</f>
        <v>72.191974940334134</v>
      </c>
      <c r="K17" s="115">
        <f>(AVERAGE(K4,J4)/DCF!L10)*90</f>
        <v>77.579666160849769</v>
      </c>
      <c r="L17" s="115">
        <f>(AVERAGE(L4,K4)/DCF!M10)*90</f>
        <v>72.999504214179467</v>
      </c>
      <c r="M17" s="115">
        <f>(AVERAGE(M4,L4)/DCF!N10)*90</f>
        <v>51.056729699666299</v>
      </c>
      <c r="N17" s="115">
        <f>(AVERAGE(N4,M4)/DCF!O10)*90</f>
        <v>27.18590360553787</v>
      </c>
      <c r="O17" s="115">
        <f>(AVERAGE(O4,N4)/DCF!P10)*90</f>
        <v>41.269867549668874</v>
      </c>
      <c r="P17" s="115">
        <f>(AVERAGE(P4,O4)/DCF!Q10)*90</f>
        <v>37.273673257023937</v>
      </c>
      <c r="Q17" s="116">
        <f>AVERAGE($M$17:$P$17)</f>
        <v>39.196543527974242</v>
      </c>
      <c r="R17" s="116">
        <f t="shared" ref="R17:X17" si="15">AVERAGE($M$17:$P$17)</f>
        <v>39.196543527974242</v>
      </c>
      <c r="S17" s="116">
        <f t="shared" si="15"/>
        <v>39.196543527974242</v>
      </c>
      <c r="T17" s="116">
        <f t="shared" si="15"/>
        <v>39.196543527974242</v>
      </c>
      <c r="U17" s="116">
        <f t="shared" si="15"/>
        <v>39.196543527974242</v>
      </c>
      <c r="V17" s="116">
        <f t="shared" si="15"/>
        <v>39.196543527974242</v>
      </c>
      <c r="W17" s="116">
        <f t="shared" si="15"/>
        <v>39.196543527974242</v>
      </c>
      <c r="X17" s="116">
        <f t="shared" si="15"/>
        <v>39.196543527974242</v>
      </c>
    </row>
    <row r="18" spans="1:24" x14ac:dyDescent="0.25">
      <c r="A18" t="s">
        <v>343</v>
      </c>
      <c r="E18" s="117">
        <f>(AVERAGE(E5,D5)/(DCF!F10-DCF!F13))*90</f>
        <v>84.552165354330711</v>
      </c>
      <c r="F18" s="117">
        <f>(AVERAGE(F5,E5)/(DCF!G10-DCF!G13))*90</f>
        <v>80.6151832460733</v>
      </c>
      <c r="G18" s="117">
        <f>(AVERAGE(G5,F5)/(DCF!H10-DCF!H13))*90</f>
        <v>79.132281553398059</v>
      </c>
      <c r="H18" s="117">
        <f>(AVERAGE(H5,G5)/(DCF!I10-DCF!I13))*90</f>
        <v>82.372304199772984</v>
      </c>
      <c r="I18" s="117">
        <f>(AVERAGE(I5,H5)/(DCF!J10-DCF!J13))*90</f>
        <v>90.85054252712635</v>
      </c>
      <c r="J18" s="117">
        <f>(AVERAGE(J5,I5)/(DCF!K10-DCF!K13))*90</f>
        <v>83.75296912114014</v>
      </c>
      <c r="K18" s="117">
        <f>(AVERAGE(K5,J5)/(DCF!L10-DCF!L13))*90</f>
        <v>136.3235294117647</v>
      </c>
      <c r="L18" s="117">
        <f>(AVERAGE(L5,K5)/(DCF!M10-DCF!M13))*90</f>
        <v>180.73038773669973</v>
      </c>
      <c r="M18" s="117">
        <f>(AVERAGE(M5,L5)/(DCF!N10-DCF!N13))*90</f>
        <v>163.125</v>
      </c>
      <c r="N18" s="117">
        <f>(AVERAGE(N5,M5)/(DCF!O10-DCF!O13))*90</f>
        <v>102.59332509270703</v>
      </c>
      <c r="O18" s="117">
        <f>(AVERAGE(O5,N5)/(DCF!P10-DCF!P13))*90</f>
        <v>91.125</v>
      </c>
      <c r="P18" s="117">
        <f>(AVERAGE(P5,O5)/(DCF!Q10-DCF!Q13))*90</f>
        <v>85.230609939759034</v>
      </c>
      <c r="Q18" s="116">
        <f>AVERAGE($M$18:$P$18)</f>
        <v>110.5184837581165</v>
      </c>
      <c r="R18" s="116">
        <f t="shared" ref="R18:X18" si="16">AVERAGE($M$18:$P$18)</f>
        <v>110.5184837581165</v>
      </c>
      <c r="S18" s="116">
        <f t="shared" si="16"/>
        <v>110.5184837581165</v>
      </c>
      <c r="T18" s="116">
        <f t="shared" si="16"/>
        <v>110.5184837581165</v>
      </c>
      <c r="U18" s="116">
        <f t="shared" si="16"/>
        <v>110.5184837581165</v>
      </c>
      <c r="V18" s="116">
        <f t="shared" si="16"/>
        <v>110.5184837581165</v>
      </c>
      <c r="W18" s="116">
        <f t="shared" si="16"/>
        <v>110.5184837581165</v>
      </c>
      <c r="X18" s="116">
        <f t="shared" si="16"/>
        <v>110.5184837581165</v>
      </c>
    </row>
    <row r="19" spans="1:24" x14ac:dyDescent="0.25">
      <c r="A19" t="s">
        <v>378</v>
      </c>
      <c r="E19" s="118">
        <f>E6/DCF!F10</f>
        <v>7.8431372549019607E-2</v>
      </c>
      <c r="F19" s="118">
        <f>F6/DCF!G10</f>
        <v>6.9463654525895188E-2</v>
      </c>
      <c r="G19" s="118">
        <f>G6/DCF!H10</f>
        <v>4.5192172321554272E-2</v>
      </c>
      <c r="H19" s="118">
        <f>H6/DCF!I10</f>
        <v>4.7886955384011512E-2</v>
      </c>
      <c r="I19" s="118">
        <f>I6/DCF!J10</f>
        <v>7.6737451737451737E-2</v>
      </c>
      <c r="J19" s="118">
        <f>J6/DCF!K10</f>
        <v>0.17526849642004774</v>
      </c>
      <c r="K19" s="118">
        <f>K6/DCF!L10</f>
        <v>0.1210588433653684</v>
      </c>
      <c r="L19" s="118">
        <f>L6/DCF!M10</f>
        <v>0.13072219467856552</v>
      </c>
      <c r="M19" s="118">
        <f>M6/DCF!N10</f>
        <v>0.12124582869855395</v>
      </c>
      <c r="N19" s="118">
        <f>N6/DCF!O10</f>
        <v>0.10283556674317021</v>
      </c>
      <c r="O19" s="118">
        <f>O6/DCF!P10</f>
        <v>7.1136865342163361E-2</v>
      </c>
      <c r="P19" s="118">
        <f>P6/DCF!Q10</f>
        <v>0.13934759987332038</v>
      </c>
      <c r="Q19" s="119">
        <f>AVERAGE($M$19:$P$19)</f>
        <v>0.10864146516430198</v>
      </c>
      <c r="R19" s="119">
        <f t="shared" ref="R19:X19" si="17">AVERAGE($M$19:$P$19)</f>
        <v>0.10864146516430198</v>
      </c>
      <c r="S19" s="119">
        <f t="shared" si="17"/>
        <v>0.10864146516430198</v>
      </c>
      <c r="T19" s="119">
        <f t="shared" si="17"/>
        <v>0.10864146516430198</v>
      </c>
      <c r="U19" s="119">
        <f t="shared" si="17"/>
        <v>0.10864146516430198</v>
      </c>
      <c r="V19" s="119">
        <f t="shared" si="17"/>
        <v>0.10864146516430198</v>
      </c>
      <c r="W19" s="119">
        <f t="shared" si="17"/>
        <v>0.10864146516430198</v>
      </c>
      <c r="X19" s="119">
        <f t="shared" si="17"/>
        <v>0.10864146516430198</v>
      </c>
    </row>
    <row r="20" spans="1:24" x14ac:dyDescent="0.25">
      <c r="A20" t="s">
        <v>345</v>
      </c>
      <c r="E20" s="117">
        <f>(AVERAGE(E10,D10)/(DCF!F10-DCF!F13))*90</f>
        <v>53.57037401574803</v>
      </c>
      <c r="F20" s="117">
        <f>(AVERAGE(F10,E10)/(DCF!G10-DCF!G13))*90</f>
        <v>52.853403141361262</v>
      </c>
      <c r="G20" s="117">
        <f>(AVERAGE(G10,F10)/(DCF!H10-DCF!H13))*90</f>
        <v>57.123786407766993</v>
      </c>
      <c r="H20" s="117">
        <f>(AVERAGE(H10,G10)/(DCF!I10-DCF!I13))*90</f>
        <v>58.688989784335988</v>
      </c>
      <c r="I20" s="117">
        <f>(AVERAGE(I10,H10)/(DCF!J10-DCF!J13))*90</f>
        <v>59.569478473923695</v>
      </c>
      <c r="J20" s="117">
        <f>(AVERAGE(J10,I10)/(DCF!K10-DCF!K13))*90</f>
        <v>52.494061757719713</v>
      </c>
      <c r="K20" s="117">
        <f>(AVERAGE(K10,J10)/(DCF!L10-DCF!L13))*90</f>
        <v>63.921568627450981</v>
      </c>
      <c r="L20" s="117">
        <f>(AVERAGE(L10,K10)/(DCF!M10-DCF!M13))*90</f>
        <v>60.500450856627594</v>
      </c>
      <c r="M20" s="117">
        <f>(AVERAGE(M10,L10)/(DCF!N10-DCF!N13))*90</f>
        <v>40.365566037735846</v>
      </c>
      <c r="N20" s="117">
        <f>(AVERAGE(N10,M10)/(DCF!O10-DCF!O13))*90</f>
        <v>25.38689740420272</v>
      </c>
      <c r="O20" s="117">
        <f>(AVERAGE(O10,N10)/(DCF!P10-DCF!P13))*90</f>
        <v>45.381355932203391</v>
      </c>
      <c r="P20" s="117">
        <f>(AVERAGE(P10,O10)/(DCF!Q10-DCF!Q13))*90</f>
        <v>43.026167168674704</v>
      </c>
      <c r="Q20" s="116">
        <f>AVERAGE($M20:$P20)</f>
        <v>38.539996635704171</v>
      </c>
      <c r="R20" s="116">
        <f t="shared" ref="R20:X21" si="18">AVERAGE($M20:$P20)</f>
        <v>38.539996635704171</v>
      </c>
      <c r="S20" s="116">
        <f t="shared" si="18"/>
        <v>38.539996635704171</v>
      </c>
      <c r="T20" s="116">
        <f t="shared" si="18"/>
        <v>38.539996635704171</v>
      </c>
      <c r="U20" s="116">
        <f t="shared" si="18"/>
        <v>38.539996635704171</v>
      </c>
      <c r="V20" s="116">
        <f t="shared" si="18"/>
        <v>38.539996635704171</v>
      </c>
      <c r="W20" s="116">
        <f t="shared" si="18"/>
        <v>38.539996635704171</v>
      </c>
      <c r="X20" s="116">
        <f t="shared" si="18"/>
        <v>38.539996635704171</v>
      </c>
    </row>
    <row r="21" spans="1:24" x14ac:dyDescent="0.25">
      <c r="A21" t="s">
        <v>95</v>
      </c>
      <c r="E21" s="118">
        <f>E11/'Income Statement'!B9</f>
        <v>1.083030303030303</v>
      </c>
      <c r="F21" s="118">
        <f>F11/'Income Statement'!C9</f>
        <v>1.1799163179916319</v>
      </c>
      <c r="G21" s="118">
        <f>G11/'Income Statement'!D9</f>
        <v>1.0999435347261435</v>
      </c>
      <c r="H21" s="118">
        <f>H11/'Income Statement'!E9</f>
        <v>1.3020408163265307</v>
      </c>
      <c r="I21" s="118">
        <f>I11/'Income Statement'!F9</f>
        <v>1.7551724137931035</v>
      </c>
      <c r="J21" s="118">
        <f>J11/'Income Statement'!G9</f>
        <v>1.0954252034802132</v>
      </c>
      <c r="K21" s="118">
        <f>K11/'Income Statement'!H9</f>
        <v>1.7032284768211921</v>
      </c>
      <c r="L21" s="118">
        <f>L11/'Income Statement'!I9</f>
        <v>1.5993788819875776</v>
      </c>
      <c r="M21" s="118">
        <f>M11/'Income Statement'!J9</f>
        <v>1.8894062863795111</v>
      </c>
      <c r="N21" s="118">
        <f>N11/'Income Statement'!K9</f>
        <v>2.8532695374800636</v>
      </c>
      <c r="O21" s="118">
        <f>O11/'Income Statement'!L9</f>
        <v>2.055597295266717</v>
      </c>
      <c r="P21" s="118">
        <f>P11/'Income Statement'!M9</f>
        <v>2.2400268186389543</v>
      </c>
      <c r="Q21" s="119">
        <f>AVERAGE($M21:$P21)</f>
        <v>2.2595749844413113</v>
      </c>
      <c r="R21" s="119">
        <f t="shared" si="18"/>
        <v>2.2595749844413113</v>
      </c>
      <c r="S21" s="119">
        <f t="shared" si="18"/>
        <v>2.2595749844413113</v>
      </c>
      <c r="T21" s="119">
        <f t="shared" si="18"/>
        <v>2.2595749844413113</v>
      </c>
      <c r="U21" s="119">
        <f t="shared" si="18"/>
        <v>2.2595749844413113</v>
      </c>
      <c r="V21" s="119">
        <f t="shared" si="18"/>
        <v>2.2595749844413113</v>
      </c>
      <c r="W21" s="119">
        <f t="shared" si="18"/>
        <v>2.2595749844413113</v>
      </c>
      <c r="X21" s="119">
        <f t="shared" si="18"/>
        <v>2.2595749844413113</v>
      </c>
    </row>
    <row r="22" spans="1:24" x14ac:dyDescent="0.25">
      <c r="A22" t="s">
        <v>342</v>
      </c>
    </row>
    <row r="23" spans="1:24" x14ac:dyDescent="0.25">
      <c r="A23" t="s">
        <v>346</v>
      </c>
      <c r="E23" s="115">
        <f>E18+E17-E20</f>
        <v>74.328373214576317</v>
      </c>
      <c r="F23" s="115">
        <f t="shared" ref="F23:P23" si="19">F18+F17-F20</f>
        <v>73.474089924905684</v>
      </c>
      <c r="G23" s="115">
        <f t="shared" si="19"/>
        <v>69.777043646264588</v>
      </c>
      <c r="H23" s="115">
        <f t="shared" si="19"/>
        <v>74.341432955277369</v>
      </c>
      <c r="I23" s="115">
        <f t="shared" si="19"/>
        <v>86.054230076368682</v>
      </c>
      <c r="J23" s="115">
        <f t="shared" si="19"/>
        <v>103.45088230375455</v>
      </c>
      <c r="K23" s="115">
        <f t="shared" si="19"/>
        <v>149.9816269451635</v>
      </c>
      <c r="L23" s="115">
        <f t="shared" si="19"/>
        <v>193.2294410942516</v>
      </c>
      <c r="M23" s="115">
        <f t="shared" si="19"/>
        <v>173.81616366193046</v>
      </c>
      <c r="N23" s="115">
        <f t="shared" si="19"/>
        <v>104.39233129404218</v>
      </c>
      <c r="O23" s="115">
        <f t="shared" si="19"/>
        <v>87.013511617465483</v>
      </c>
      <c r="P23" s="115">
        <f t="shared" si="19"/>
        <v>79.478116028108275</v>
      </c>
      <c r="Q23" s="116">
        <f>AVERAGE($M23:$P23)</f>
        <v>111.1750306503866</v>
      </c>
      <c r="R23" s="116">
        <f t="shared" ref="R23:X23" si="20">AVERAGE($M23:$P23)</f>
        <v>111.1750306503866</v>
      </c>
      <c r="S23" s="116">
        <f t="shared" si="20"/>
        <v>111.1750306503866</v>
      </c>
      <c r="T23" s="116">
        <f t="shared" si="20"/>
        <v>111.1750306503866</v>
      </c>
      <c r="U23" s="116">
        <f t="shared" si="20"/>
        <v>111.1750306503866</v>
      </c>
      <c r="V23" s="116">
        <f t="shared" si="20"/>
        <v>111.1750306503866</v>
      </c>
      <c r="W23" s="116">
        <f t="shared" si="20"/>
        <v>111.1750306503866</v>
      </c>
      <c r="X23" s="116">
        <f t="shared" si="20"/>
        <v>111.1750306503866</v>
      </c>
    </row>
    <row r="25" spans="1:24" x14ac:dyDescent="0.25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mergeCells count="2">
    <mergeCell ref="E1:P1"/>
    <mergeCell ref="Q1:X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F181B-D2C3-4DD5-8994-27DDC28A33E0}">
  <dimension ref="A1:X34"/>
  <sheetViews>
    <sheetView showGridLines="0" workbookViewId="0">
      <selection activeCell="AA16" sqref="AA16:AA17"/>
    </sheetView>
  </sheetViews>
  <sheetFormatPr defaultRowHeight="15" x14ac:dyDescent="0.25"/>
  <cols>
    <col min="2" max="2" width="9.28515625" customWidth="1"/>
    <col min="3" max="3" width="11.5703125" customWidth="1"/>
    <col min="4" max="23" width="7.85546875" bestFit="1" customWidth="1"/>
  </cols>
  <sheetData>
    <row r="1" spans="1:24" x14ac:dyDescent="0.25">
      <c r="A1" s="2" t="s">
        <v>315</v>
      </c>
      <c r="D1" s="162" t="s">
        <v>310</v>
      </c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 t="s">
        <v>311</v>
      </c>
      <c r="Q1" s="162"/>
      <c r="R1" s="162"/>
      <c r="S1" s="162"/>
      <c r="T1" s="162"/>
      <c r="U1" s="162"/>
      <c r="V1" s="162"/>
      <c r="W1" s="162"/>
    </row>
    <row r="2" spans="1:24" x14ac:dyDescent="0.25">
      <c r="A2" s="2" t="s">
        <v>305</v>
      </c>
      <c r="D2" s="5" t="s">
        <v>37</v>
      </c>
      <c r="E2" s="5" t="str">
        <f>IF(MID(D2,2,1)="4","Q1 "&amp;RIGHT(D2,4)+1, "Q"&amp;MID(D2,2,1)+1&amp;" "&amp;RIGHT(D2,4))</f>
        <v>Q2 2022</v>
      </c>
      <c r="F2" s="5" t="str">
        <f t="shared" ref="F2:N2" si="0">IF(MID(E2,2,1)="4","Q1 "&amp;RIGHT(E2,4)+1, "Q"&amp;MID(E2,2,1)+1&amp;" "&amp;RIGHT(E2,4))</f>
        <v>Q3 2022</v>
      </c>
      <c r="G2" s="5" t="str">
        <f t="shared" si="0"/>
        <v>Q4 2022</v>
      </c>
      <c r="H2" s="5" t="str">
        <f t="shared" si="0"/>
        <v>Q1 2023</v>
      </c>
      <c r="I2" s="5" t="str">
        <f t="shared" si="0"/>
        <v>Q2 2023</v>
      </c>
      <c r="J2" s="5" t="str">
        <f t="shared" si="0"/>
        <v>Q3 2023</v>
      </c>
      <c r="K2" s="5" t="str">
        <f t="shared" si="0"/>
        <v>Q4 2023</v>
      </c>
      <c r="L2" s="5" t="str">
        <f t="shared" si="0"/>
        <v>Q1 2024</v>
      </c>
      <c r="M2" s="5" t="str">
        <f t="shared" si="0"/>
        <v>Q2 2024</v>
      </c>
      <c r="N2" s="5" t="str">
        <f t="shared" si="0"/>
        <v>Q3 2024</v>
      </c>
      <c r="O2" s="5" t="str">
        <f>IF(MID(N2,2,1)="4","Q1 "&amp;RIGHT(N2,4)+1, "Q"&amp;MID(N2,2,1)+1&amp;" "&amp;RIGHT(N2,4))</f>
        <v>Q4 2024</v>
      </c>
      <c r="P2" s="34" t="str">
        <f>IF(MID(O2,2,1)="4","Q1 "&amp;RIGHT(O2,4)+1, "Q"&amp;MID(O2,2,1)+1&amp;" "&amp;RIGHT(O2,4))</f>
        <v>Q1 2025</v>
      </c>
      <c r="Q2" s="34" t="str">
        <f t="shared" ref="Q2:W2" si="1">IF(MID(P2,2,1)="4","Q1 "&amp;RIGHT(P2,4)+1, "Q"&amp;MID(P2,2,1)+1&amp;" "&amp;RIGHT(P2,4))</f>
        <v>Q2 2025</v>
      </c>
      <c r="R2" s="34" t="str">
        <f t="shared" si="1"/>
        <v>Q3 2025</v>
      </c>
      <c r="S2" s="34" t="str">
        <f t="shared" si="1"/>
        <v>Q4 2025</v>
      </c>
      <c r="T2" s="34" t="str">
        <f t="shared" si="1"/>
        <v>Q1 2026</v>
      </c>
      <c r="U2" s="34" t="str">
        <f t="shared" si="1"/>
        <v>Q2 2026</v>
      </c>
      <c r="V2" s="34" t="str">
        <f t="shared" si="1"/>
        <v>Q3 2026</v>
      </c>
      <c r="W2" s="34" t="str">
        <f t="shared" si="1"/>
        <v>Q4 2026</v>
      </c>
    </row>
    <row r="6" spans="1:24" x14ac:dyDescent="0.25">
      <c r="A6" t="s">
        <v>316</v>
      </c>
      <c r="D6" s="59">
        <f>'Balance Sheet'!B22+'Balance Sheet'!B24</f>
        <v>6963</v>
      </c>
      <c r="E6" s="59">
        <f>'Balance Sheet'!C22+'Balance Sheet'!C24</f>
        <v>6963</v>
      </c>
      <c r="F6" s="59">
        <f>'Balance Sheet'!D22+'Balance Sheet'!D24</f>
        <v>11943</v>
      </c>
      <c r="G6" s="59">
        <f>'Balance Sheet'!E22+'Balance Sheet'!E24</f>
        <v>10944</v>
      </c>
      <c r="H6" s="59">
        <f>'Balance Sheet'!F22+'Balance Sheet'!F24</f>
        <v>10946</v>
      </c>
      <c r="I6" s="59">
        <f>'Balance Sheet'!G22+'Balance Sheet'!G24</f>
        <v>10947</v>
      </c>
      <c r="J6" s="59">
        <f>'Balance Sheet'!H22+'Balance Sheet'!H24</f>
        <v>10949</v>
      </c>
      <c r="K6" s="59">
        <f>'Balance Sheet'!I22+'Balance Sheet'!I24</f>
        <v>10950</v>
      </c>
      <c r="L6" s="59">
        <f>'Balance Sheet'!J22+'Balance Sheet'!J24</f>
        <v>10953</v>
      </c>
      <c r="M6" s="59">
        <f>'Balance Sheet'!K22+'Balance Sheet'!K24</f>
        <v>10954</v>
      </c>
      <c r="N6" s="59">
        <f>'Balance Sheet'!L22+'Balance Sheet'!L24</f>
        <v>9705</v>
      </c>
      <c r="O6" s="59">
        <f>'Balance Sheet'!M22+'Balance Sheet'!M24</f>
        <v>9706</v>
      </c>
      <c r="P6" s="97">
        <f>O8</f>
        <v>9709</v>
      </c>
      <c r="Q6" s="97">
        <f>P8</f>
        <v>9710</v>
      </c>
      <c r="R6" s="97">
        <f t="shared" ref="R6:W6" si="2">Q8</f>
        <v>8461</v>
      </c>
      <c r="S6" s="97">
        <f t="shared" si="2"/>
        <v>8462</v>
      </c>
      <c r="T6" s="97">
        <f t="shared" si="2"/>
        <v>8463</v>
      </c>
      <c r="U6" s="97">
        <f t="shared" si="2"/>
        <v>8464</v>
      </c>
      <c r="V6" s="97">
        <f t="shared" si="2"/>
        <v>8465</v>
      </c>
      <c r="W6" s="97">
        <f t="shared" si="2"/>
        <v>8466</v>
      </c>
    </row>
    <row r="7" spans="1:24" x14ac:dyDescent="0.25">
      <c r="A7" t="s">
        <v>340</v>
      </c>
      <c r="D7" s="59">
        <f>D8-D6</f>
        <v>0</v>
      </c>
      <c r="E7" s="59">
        <f t="shared" ref="E7:O7" si="3">E8-E6</f>
        <v>4980</v>
      </c>
      <c r="F7" s="59">
        <f t="shared" si="3"/>
        <v>-999</v>
      </c>
      <c r="G7" s="59">
        <f t="shared" si="3"/>
        <v>2</v>
      </c>
      <c r="H7" s="59">
        <f t="shared" si="3"/>
        <v>1</v>
      </c>
      <c r="I7" s="59">
        <f t="shared" si="3"/>
        <v>2</v>
      </c>
      <c r="J7" s="59">
        <f t="shared" si="3"/>
        <v>1</v>
      </c>
      <c r="K7" s="59">
        <f t="shared" si="3"/>
        <v>3</v>
      </c>
      <c r="L7" s="59">
        <f t="shared" si="3"/>
        <v>1</v>
      </c>
      <c r="M7" s="59">
        <f t="shared" si="3"/>
        <v>-1249</v>
      </c>
      <c r="N7" s="59">
        <f t="shared" si="3"/>
        <v>1</v>
      </c>
      <c r="O7" s="59">
        <f t="shared" si="3"/>
        <v>3</v>
      </c>
      <c r="P7" s="98">
        <v>1</v>
      </c>
      <c r="Q7" s="97">
        <v>-1249</v>
      </c>
      <c r="R7" s="98">
        <v>1</v>
      </c>
      <c r="S7" s="97">
        <v>1</v>
      </c>
      <c r="T7" s="98">
        <v>1</v>
      </c>
      <c r="U7" s="98">
        <v>1</v>
      </c>
      <c r="V7" s="98">
        <v>1</v>
      </c>
      <c r="W7" s="98">
        <v>1</v>
      </c>
    </row>
    <row r="8" spans="1:24" x14ac:dyDescent="0.25">
      <c r="A8" s="57" t="s">
        <v>317</v>
      </c>
      <c r="B8" s="58"/>
      <c r="C8" s="64">
        <f>'Balance Sheet'!B22+'Balance Sheet'!B24</f>
        <v>6963</v>
      </c>
      <c r="D8" s="65">
        <f>'Balance Sheet'!C22+'Balance Sheet'!C24</f>
        <v>6963</v>
      </c>
      <c r="E8" s="65">
        <f>'Balance Sheet'!D22+'Balance Sheet'!D24</f>
        <v>11943</v>
      </c>
      <c r="F8" s="65">
        <f>'Balance Sheet'!E22+'Balance Sheet'!E24</f>
        <v>10944</v>
      </c>
      <c r="G8" s="65">
        <f>'Balance Sheet'!F22+'Balance Sheet'!F24</f>
        <v>10946</v>
      </c>
      <c r="H8" s="65">
        <f>'Balance Sheet'!G22+'Balance Sheet'!G24</f>
        <v>10947</v>
      </c>
      <c r="I8" s="65">
        <f>'Balance Sheet'!H22+'Balance Sheet'!H24</f>
        <v>10949</v>
      </c>
      <c r="J8" s="65">
        <f>'Balance Sheet'!I22+'Balance Sheet'!I24</f>
        <v>10950</v>
      </c>
      <c r="K8" s="65">
        <f>'Balance Sheet'!J22+'Balance Sheet'!J24</f>
        <v>10953</v>
      </c>
      <c r="L8" s="65">
        <f>'Balance Sheet'!K22+'Balance Sheet'!K24</f>
        <v>10954</v>
      </c>
      <c r="M8" s="65">
        <f>'Balance Sheet'!L22+'Balance Sheet'!L24</f>
        <v>9705</v>
      </c>
      <c r="N8" s="65">
        <f>'Balance Sheet'!M22+'Balance Sheet'!M24</f>
        <v>9706</v>
      </c>
      <c r="O8" s="65">
        <f>'Balance Sheet'!N22+'Balance Sheet'!N24</f>
        <v>9709</v>
      </c>
      <c r="P8" s="99">
        <f>P6+P7</f>
        <v>9710</v>
      </c>
      <c r="Q8" s="99">
        <f t="shared" ref="Q8:W8" si="4">Q6+Q7</f>
        <v>8461</v>
      </c>
      <c r="R8" s="99">
        <f t="shared" si="4"/>
        <v>8462</v>
      </c>
      <c r="S8" s="99">
        <f t="shared" si="4"/>
        <v>8463</v>
      </c>
      <c r="T8" s="99">
        <f t="shared" si="4"/>
        <v>8464</v>
      </c>
      <c r="U8" s="99">
        <f t="shared" si="4"/>
        <v>8465</v>
      </c>
      <c r="V8" s="99">
        <f t="shared" si="4"/>
        <v>8466</v>
      </c>
      <c r="W8" s="99">
        <f t="shared" si="4"/>
        <v>8467</v>
      </c>
    </row>
    <row r="10" spans="1:24" x14ac:dyDescent="0.25">
      <c r="A10" t="s">
        <v>318</v>
      </c>
      <c r="D10" s="11">
        <f>'Income Statement'!C12</f>
        <v>-53</v>
      </c>
      <c r="E10" s="11" t="str">
        <f>'Income Statement'!D12</f>
        <v>(60)</v>
      </c>
      <c r="F10" s="11" t="str">
        <f>'Income Statement'!E12</f>
        <v>(62)</v>
      </c>
      <c r="G10" s="11">
        <f>'Income Statement'!F12</f>
        <v>-61</v>
      </c>
      <c r="H10" s="11">
        <f>'Income Statement'!G12</f>
        <v>-68</v>
      </c>
      <c r="I10" s="11" t="str">
        <f>'Income Statement'!H12</f>
        <v>(65)</v>
      </c>
      <c r="J10" s="11" t="str">
        <f>'Income Statement'!I12</f>
        <v>(65)</v>
      </c>
      <c r="K10" s="11">
        <f>'Income Statement'!J12</f>
        <v>-64</v>
      </c>
      <c r="L10" s="11">
        <f>'Income Statement'!K12</f>
        <v>-66</v>
      </c>
      <c r="M10" s="11">
        <f>'Income Statement'!L12</f>
        <v>-65</v>
      </c>
      <c r="N10" s="11">
        <f>'Income Statement'!M12</f>
        <v>-63</v>
      </c>
      <c r="O10" s="11">
        <f>'Income Statement'!N12</f>
        <v>-63</v>
      </c>
      <c r="P10" s="100">
        <f>P6*P12</f>
        <v>-61.382849274708342</v>
      </c>
      <c r="Q10" s="100">
        <f t="shared" ref="Q10:W10" si="5">Q6*Q12</f>
        <v>-61.389171537482547</v>
      </c>
      <c r="R10" s="100">
        <f t="shared" si="5"/>
        <v>-53.492665332506675</v>
      </c>
      <c r="S10" s="100">
        <f t="shared" si="5"/>
        <v>-53.498987595280873</v>
      </c>
      <c r="T10" s="100">
        <f t="shared" si="5"/>
        <v>-53.505309858055071</v>
      </c>
      <c r="U10" s="100">
        <f t="shared" si="5"/>
        <v>-53.511632120829276</v>
      </c>
      <c r="V10" s="100">
        <f t="shared" si="5"/>
        <v>-53.517954383603474</v>
      </c>
      <c r="W10" s="100">
        <f t="shared" si="5"/>
        <v>-53.524276646377672</v>
      </c>
      <c r="X10" s="11"/>
    </row>
    <row r="11" spans="1:24" x14ac:dyDescent="0.25">
      <c r="A11" t="s">
        <v>341</v>
      </c>
      <c r="D11" s="59">
        <f>'Income Statement'!B12+Q1_IS_2023[[#This Row],[Jan 31,2021]]</f>
        <v>-45</v>
      </c>
      <c r="E11" s="59">
        <f>'Income Statement'!C12+Q1_IS_2023[[#This Row],[Jan 31,2021]]</f>
        <v>-46</v>
      </c>
      <c r="F11" s="59">
        <f>'Income Statement'!D12+Q1_IS_2023[[#This Row],[Jan 31,2021]]</f>
        <v>-53</v>
      </c>
      <c r="G11" s="59">
        <f>'Income Statement'!E12+Q1_IS_2023[[#This Row],[Jan 31,2021]]</f>
        <v>-55</v>
      </c>
      <c r="H11" s="59">
        <f>'Income Statement'!F12+Q1_IS_2023[[#This Row],[Jan 31,2021]]</f>
        <v>-54</v>
      </c>
      <c r="I11" s="59">
        <f>'Income Statement'!G12+Q1_IS_2023[[#This Row],[Jan 31,2021]]</f>
        <v>-61</v>
      </c>
      <c r="J11" s="59">
        <f>'Income Statement'!H12+Q1_IS_2023[[#This Row],[Jan 31,2021]]</f>
        <v>-58</v>
      </c>
      <c r="K11" s="59">
        <f>'Income Statement'!I12+Q1_IS_2023[[#This Row],[Jan 31,2021]]</f>
        <v>-58</v>
      </c>
      <c r="L11" s="59">
        <f>'Income Statement'!J12+Q1_IS_2023[[#This Row],[Jan 31,2021]]</f>
        <v>-57</v>
      </c>
      <c r="M11" s="59">
        <f>'Income Statement'!K12+Q1_IS_2023[[#This Row],[Jan 31,2021]]</f>
        <v>-59</v>
      </c>
      <c r="N11" s="59">
        <f>'Income Statement'!L12+Q1_IS_2023[[#This Row],[Jan 31,2021]]</f>
        <v>-58</v>
      </c>
      <c r="O11" s="59">
        <f>'Income Statement'!M12+Q1_IS_2023[[#This Row],[Jan 31,2021]]</f>
        <v>-56</v>
      </c>
    </row>
    <row r="12" spans="1:24" x14ac:dyDescent="0.25">
      <c r="A12" t="s">
        <v>319</v>
      </c>
      <c r="D12" s="74">
        <f>D10/D6</f>
        <v>-7.6116616400976594E-3</v>
      </c>
      <c r="E12" s="74">
        <f t="shared" ref="E12:L12" si="6">E10/E6</f>
        <v>-8.6169754416199913E-3</v>
      </c>
      <c r="F12" s="74">
        <f t="shared" si="6"/>
        <v>-5.1913254626140834E-3</v>
      </c>
      <c r="G12" s="74">
        <f t="shared" si="6"/>
        <v>-5.5738304093567248E-3</v>
      </c>
      <c r="H12" s="74">
        <f t="shared" si="6"/>
        <v>-6.212315000913576E-3</v>
      </c>
      <c r="I12" s="74">
        <f t="shared" si="6"/>
        <v>-5.9376998264364664E-3</v>
      </c>
      <c r="J12" s="74">
        <f t="shared" si="6"/>
        <v>-5.9366152160014616E-3</v>
      </c>
      <c r="K12" s="74">
        <f t="shared" si="6"/>
        <v>-5.8447488584474887E-3</v>
      </c>
      <c r="L12" s="74">
        <f t="shared" si="6"/>
        <v>-6.0257463708572991E-3</v>
      </c>
      <c r="M12" s="74">
        <f>M10/M6</f>
        <v>-5.9339054226766478E-3</v>
      </c>
      <c r="N12" s="74">
        <f>N10/N6</f>
        <v>-6.4914992272024734E-3</v>
      </c>
      <c r="O12" s="74">
        <f>O10/O6</f>
        <v>-6.4908304141767983E-3</v>
      </c>
      <c r="P12" s="101">
        <f>AVERAGE($D12:$O12)</f>
        <v>-6.322262774200056E-3</v>
      </c>
      <c r="Q12" s="101">
        <f t="shared" ref="Q12:W12" si="7">AVERAGE($D12:$O12)</f>
        <v>-6.322262774200056E-3</v>
      </c>
      <c r="R12" s="101">
        <f t="shared" si="7"/>
        <v>-6.322262774200056E-3</v>
      </c>
      <c r="S12" s="101">
        <f t="shared" si="7"/>
        <v>-6.322262774200056E-3</v>
      </c>
      <c r="T12" s="101">
        <f t="shared" si="7"/>
        <v>-6.322262774200056E-3</v>
      </c>
      <c r="U12" s="101">
        <f t="shared" si="7"/>
        <v>-6.322262774200056E-3</v>
      </c>
      <c r="V12" s="101">
        <f t="shared" si="7"/>
        <v>-6.322262774200056E-3</v>
      </c>
      <c r="W12" s="101">
        <f t="shared" si="7"/>
        <v>-6.322262774200056E-3</v>
      </c>
    </row>
    <row r="14" spans="1:24" ht="26.25" customHeight="1" x14ac:dyDescent="0.25">
      <c r="D14" s="163"/>
      <c r="E14" s="163"/>
      <c r="F14" s="163"/>
      <c r="G14" s="163"/>
    </row>
    <row r="15" spans="1:24" x14ac:dyDescent="0.25">
      <c r="D15" s="162"/>
      <c r="E15" s="162"/>
      <c r="F15" s="164"/>
      <c r="G15" s="164"/>
      <c r="H15" s="3"/>
    </row>
    <row r="16" spans="1:24" x14ac:dyDescent="0.25">
      <c r="D16" s="162"/>
      <c r="E16" s="162"/>
      <c r="F16" s="164"/>
      <c r="G16" s="164"/>
      <c r="H16" s="81"/>
    </row>
    <row r="17" spans="2:8" x14ac:dyDescent="0.25">
      <c r="D17" s="162"/>
      <c r="E17" s="162"/>
      <c r="F17" s="164"/>
      <c r="G17" s="164"/>
      <c r="H17" s="81"/>
    </row>
    <row r="24" spans="2:8" x14ac:dyDescent="0.25">
      <c r="B24" s="71"/>
    </row>
    <row r="29" spans="2:8" x14ac:dyDescent="0.25">
      <c r="B29" s="71"/>
    </row>
    <row r="34" spans="2:2" x14ac:dyDescent="0.25">
      <c r="B34" s="71"/>
    </row>
  </sheetData>
  <mergeCells count="10">
    <mergeCell ref="D1:O1"/>
    <mergeCell ref="P1:W1"/>
    <mergeCell ref="D14:E14"/>
    <mergeCell ref="F14:G14"/>
    <mergeCell ref="F17:G17"/>
    <mergeCell ref="F16:G16"/>
    <mergeCell ref="F15:G15"/>
    <mergeCell ref="D17:E17"/>
    <mergeCell ref="D16:E16"/>
    <mergeCell ref="D15:E1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5527-09A8-4F6E-9C3F-64E2377F16CA}">
  <dimension ref="A1:W25"/>
  <sheetViews>
    <sheetView showGridLines="0" workbookViewId="0">
      <selection activeCell="Q8" sqref="Q8"/>
    </sheetView>
  </sheetViews>
  <sheetFormatPr defaultRowHeight="15" x14ac:dyDescent="0.25"/>
  <cols>
    <col min="4" max="13" width="8.85546875" customWidth="1"/>
    <col min="14" max="15" width="9.7109375" customWidth="1"/>
    <col min="17" max="17" width="8.85546875" customWidth="1"/>
  </cols>
  <sheetData>
    <row r="1" spans="1:23" x14ac:dyDescent="0.25">
      <c r="A1" s="2" t="s">
        <v>320</v>
      </c>
      <c r="D1" s="162" t="s">
        <v>310</v>
      </c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 t="s">
        <v>311</v>
      </c>
      <c r="Q1" s="162"/>
      <c r="R1" s="162"/>
      <c r="S1" s="162"/>
      <c r="T1" s="162"/>
      <c r="U1" s="162"/>
      <c r="V1" s="162"/>
      <c r="W1" s="162"/>
    </row>
    <row r="2" spans="1:23" x14ac:dyDescent="0.25">
      <c r="A2" s="2" t="s">
        <v>305</v>
      </c>
      <c r="D2" s="5" t="s">
        <v>37</v>
      </c>
      <c r="E2" s="5" t="str">
        <f>IF(MID(D2,2,1)="4","Q1 "&amp;RIGHT(D2,4)+1, "Q"&amp;MID(D2,2,1)+1&amp;" "&amp;RIGHT(D2,4))</f>
        <v>Q2 2022</v>
      </c>
      <c r="F2" s="5" t="str">
        <f t="shared" ref="F2:N2" si="0">IF(MID(E2,2,1)="4","Q1 "&amp;RIGHT(E2,4)+1, "Q"&amp;MID(E2,2,1)+1&amp;" "&amp;RIGHT(E2,4))</f>
        <v>Q3 2022</v>
      </c>
      <c r="G2" s="5" t="str">
        <f t="shared" si="0"/>
        <v>Q4 2022</v>
      </c>
      <c r="H2" s="5" t="str">
        <f t="shared" si="0"/>
        <v>Q1 2023</v>
      </c>
      <c r="I2" s="5" t="str">
        <f t="shared" si="0"/>
        <v>Q2 2023</v>
      </c>
      <c r="J2" s="5" t="str">
        <f t="shared" si="0"/>
        <v>Q3 2023</v>
      </c>
      <c r="K2" s="5" t="str">
        <f t="shared" si="0"/>
        <v>Q4 2023</v>
      </c>
      <c r="L2" s="5" t="str">
        <f t="shared" si="0"/>
        <v>Q1 2024</v>
      </c>
      <c r="M2" s="5" t="str">
        <f t="shared" si="0"/>
        <v>Q2 2024</v>
      </c>
      <c r="N2" s="5" t="str">
        <f t="shared" si="0"/>
        <v>Q3 2024</v>
      </c>
      <c r="O2" s="5" t="str">
        <f>IF(MID(N2,2,1)="4","Q1 "&amp;RIGHT(N2,4)+1, "Q"&amp;MID(N2,2,1)+1&amp;" "&amp;RIGHT(N2,4))</f>
        <v>Q4 2024</v>
      </c>
      <c r="P2" s="34" t="str">
        <f>IF(MID(O2,2,1)="4","Q1 "&amp;RIGHT(O2,4)+1, "Q"&amp;MID(O2,2,1)+1&amp;" "&amp;RIGHT(O2,4))</f>
        <v>Q1 2025</v>
      </c>
      <c r="Q2" s="34" t="str">
        <f t="shared" ref="Q2:W2" si="1">IF(MID(P2,2,1)="4","Q1 "&amp;RIGHT(P2,4)+1, "Q"&amp;MID(P2,2,1)+1&amp;" "&amp;RIGHT(P2,4))</f>
        <v>Q2 2025</v>
      </c>
      <c r="R2" s="34" t="str">
        <f t="shared" si="1"/>
        <v>Q3 2025</v>
      </c>
      <c r="S2" s="34" t="str">
        <f t="shared" si="1"/>
        <v>Q4 2025</v>
      </c>
      <c r="T2" s="34" t="str">
        <f t="shared" si="1"/>
        <v>Q1 2026</v>
      </c>
      <c r="U2" s="34" t="str">
        <f t="shared" si="1"/>
        <v>Q2 2026</v>
      </c>
      <c r="V2" s="34" t="str">
        <f t="shared" si="1"/>
        <v>Q3 2026</v>
      </c>
      <c r="W2" s="34" t="str">
        <f t="shared" si="1"/>
        <v>Q4 2026</v>
      </c>
    </row>
    <row r="3" spans="1:23" x14ac:dyDescent="0.2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2" t="s">
        <v>338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t="s">
        <v>316</v>
      </c>
      <c r="C5" s="3"/>
      <c r="D5" s="59">
        <f>'Balance Sheet'!B10</f>
        <v>2149</v>
      </c>
      <c r="E5" s="59">
        <f>'Balance Sheet'!C10</f>
        <v>2268</v>
      </c>
      <c r="F5" s="59">
        <f>'Balance Sheet'!D10</f>
        <v>2364</v>
      </c>
      <c r="G5" s="59">
        <f>'Balance Sheet'!E10</f>
        <v>2509</v>
      </c>
      <c r="H5" s="59">
        <f>'Balance Sheet'!F10</f>
        <v>2778</v>
      </c>
      <c r="I5" s="59">
        <f>'Balance Sheet'!G10</f>
        <v>2916</v>
      </c>
      <c r="J5" s="59">
        <f>'Balance Sheet'!H10</f>
        <v>3233</v>
      </c>
      <c r="K5" s="59">
        <f>'Balance Sheet'!I10</f>
        <v>3774</v>
      </c>
      <c r="L5" s="59" t="str">
        <f>'Balance Sheet'!J10</f>
        <v>3,807</v>
      </c>
      <c r="M5" s="59">
        <f>'Balance Sheet'!K10</f>
        <v>3740</v>
      </c>
      <c r="N5" s="59" t="str">
        <f>'Balance Sheet'!L10</f>
        <v>3,799</v>
      </c>
      <c r="O5" s="59">
        <f>'Balance Sheet'!M10</f>
        <v>3844</v>
      </c>
      <c r="P5" s="97">
        <f>O9</f>
        <v>3914</v>
      </c>
      <c r="Q5" s="97">
        <f t="shared" ref="Q5:W5" si="2">P9</f>
        <v>4286.3497831601771</v>
      </c>
      <c r="R5" s="97">
        <f t="shared" si="2"/>
        <v>4633.0280921224439</v>
      </c>
      <c r="S5" s="97">
        <f t="shared" si="2"/>
        <v>5056.3910039888042</v>
      </c>
      <c r="T5" s="97">
        <f t="shared" si="2"/>
        <v>5412.477377659211</v>
      </c>
      <c r="U5" s="97">
        <f t="shared" si="2"/>
        <v>5350.3486484545047</v>
      </c>
      <c r="V5" s="97">
        <f t="shared" si="2"/>
        <v>5773.2381985745451</v>
      </c>
      <c r="W5" s="97">
        <f t="shared" si="2"/>
        <v>5950.7488534451359</v>
      </c>
    </row>
    <row r="6" spans="1:23" x14ac:dyDescent="0.25">
      <c r="A6" t="s">
        <v>321</v>
      </c>
      <c r="C6" s="3"/>
      <c r="D6" s="59">
        <f>D7-D5</f>
        <v>263</v>
      </c>
      <c r="E6" s="59">
        <f t="shared" ref="E6:O6" si="3">E7-E5</f>
        <v>244</v>
      </c>
      <c r="F6" s="59">
        <f t="shared" si="3"/>
        <v>300</v>
      </c>
      <c r="G6" s="59">
        <f t="shared" si="3"/>
        <v>433</v>
      </c>
      <c r="H6" s="59">
        <f t="shared" si="3"/>
        <v>317</v>
      </c>
      <c r="I6" s="59">
        <f t="shared" si="3"/>
        <v>513</v>
      </c>
      <c r="J6" s="59">
        <f t="shared" si="3"/>
        <v>766</v>
      </c>
      <c r="K6" s="59">
        <f t="shared" si="3"/>
        <v>278</v>
      </c>
      <c r="L6" s="59">
        <f t="shared" si="3"/>
        <v>136</v>
      </c>
      <c r="M6" s="59">
        <f t="shared" si="3"/>
        <v>278</v>
      </c>
      <c r="N6" s="59">
        <f>N7-N5</f>
        <v>273</v>
      </c>
      <c r="O6" s="59">
        <f t="shared" si="3"/>
        <v>314</v>
      </c>
      <c r="P6" s="97">
        <f>P7-P5</f>
        <v>628.51576709044002</v>
      </c>
      <c r="Q6" s="97">
        <f t="shared" ref="Q6:W6" si="4">Q7-Q5</f>
        <v>623.56289837626628</v>
      </c>
      <c r="R6" s="97">
        <f t="shared" si="4"/>
        <v>725.54902410612249</v>
      </c>
      <c r="S6" s="97">
        <f t="shared" si="4"/>
        <v>679.55334745670098</v>
      </c>
      <c r="T6" s="97">
        <f t="shared" si="4"/>
        <v>257.62523284615054</v>
      </c>
      <c r="U6" s="97">
        <f t="shared" si="4"/>
        <v>767.91674538343705</v>
      </c>
      <c r="V6" s="97">
        <f t="shared" si="4"/>
        <v>533.14645509237835</v>
      </c>
      <c r="W6" s="97">
        <f t="shared" si="4"/>
        <v>543.75506005077023</v>
      </c>
    </row>
    <row r="7" spans="1:23" x14ac:dyDescent="0.25">
      <c r="A7" s="57" t="s">
        <v>339</v>
      </c>
      <c r="B7" s="58"/>
      <c r="C7" s="60"/>
      <c r="D7" s="61">
        <f>D9+D8</f>
        <v>2412</v>
      </c>
      <c r="E7" s="61">
        <f t="shared" ref="E7:N7" si="5">E9+E8</f>
        <v>2512</v>
      </c>
      <c r="F7" s="61">
        <f t="shared" si="5"/>
        <v>2664</v>
      </c>
      <c r="G7" s="61">
        <f t="shared" si="5"/>
        <v>2942</v>
      </c>
      <c r="H7" s="61">
        <f t="shared" si="5"/>
        <v>3095</v>
      </c>
      <c r="I7" s="61">
        <f t="shared" si="5"/>
        <v>3429</v>
      </c>
      <c r="J7" s="61">
        <f t="shared" si="5"/>
        <v>3999</v>
      </c>
      <c r="K7" s="61">
        <f t="shared" si="5"/>
        <v>4052</v>
      </c>
      <c r="L7" s="61">
        <f t="shared" si="5"/>
        <v>3943</v>
      </c>
      <c r="M7" s="61">
        <f t="shared" si="5"/>
        <v>4018</v>
      </c>
      <c r="N7" s="61">
        <f t="shared" si="5"/>
        <v>4072</v>
      </c>
      <c r="O7" s="61">
        <f>O9+O8</f>
        <v>4158</v>
      </c>
      <c r="P7" s="103">
        <f>DCF!R10/P13</f>
        <v>4542.51576709044</v>
      </c>
      <c r="Q7" s="103">
        <f>DCF!S10/Q13</f>
        <v>4909.9126815364434</v>
      </c>
      <c r="R7" s="103">
        <f>DCF!T10/R13</f>
        <v>5358.5771162285664</v>
      </c>
      <c r="S7" s="103">
        <f>DCF!U10/S13</f>
        <v>5735.9443514455052</v>
      </c>
      <c r="T7" s="103">
        <f>DCF!V10/T13</f>
        <v>5670.1026105053616</v>
      </c>
      <c r="U7" s="103">
        <f>DCF!W10/U13</f>
        <v>6118.2653938379417</v>
      </c>
      <c r="V7" s="103">
        <f>DCF!X10/V13</f>
        <v>6306.3846536669234</v>
      </c>
      <c r="W7" s="103">
        <f>DCF!Y10/W13</f>
        <v>6494.5039134959061</v>
      </c>
    </row>
    <row r="8" spans="1:23" x14ac:dyDescent="0.25">
      <c r="A8" t="s">
        <v>330</v>
      </c>
      <c r="C8" s="3"/>
      <c r="D8" s="3">
        <f>DCF!F24</f>
        <v>144</v>
      </c>
      <c r="E8" s="3">
        <f>DCF!G24</f>
        <v>148</v>
      </c>
      <c r="F8" s="3">
        <f>DCF!H24</f>
        <v>155</v>
      </c>
      <c r="G8" s="3">
        <f>DCF!I24</f>
        <v>164</v>
      </c>
      <c r="H8" s="3">
        <f>DCF!J24</f>
        <v>179</v>
      </c>
      <c r="I8" s="3">
        <f>DCF!K24</f>
        <v>196</v>
      </c>
      <c r="J8" s="3">
        <f>DCF!L24</f>
        <v>225</v>
      </c>
      <c r="K8" s="3">
        <f>DCF!M24</f>
        <v>245</v>
      </c>
      <c r="L8" s="3">
        <f>DCF!N24</f>
        <v>203</v>
      </c>
      <c r="M8" s="3">
        <f>DCF!O24</f>
        <v>219</v>
      </c>
      <c r="N8" s="3">
        <f>DCF!P24</f>
        <v>228</v>
      </c>
      <c r="O8" s="3">
        <f>DCF!Q24</f>
        <v>244</v>
      </c>
      <c r="P8" s="104">
        <f>P7*P11</f>
        <v>256.16598393026254</v>
      </c>
      <c r="Q8" s="104">
        <f t="shared" ref="Q8:W8" si="6">Q7*Q11</f>
        <v>276.88458941399983</v>
      </c>
      <c r="R8" s="104">
        <f t="shared" si="6"/>
        <v>302.18611223976188</v>
      </c>
      <c r="S8" s="104">
        <f t="shared" si="6"/>
        <v>323.46697378629381</v>
      </c>
      <c r="T8" s="104">
        <f t="shared" si="6"/>
        <v>319.75396205085701</v>
      </c>
      <c r="U8" s="104">
        <f t="shared" si="6"/>
        <v>345.02719526339678</v>
      </c>
      <c r="V8" s="104">
        <f t="shared" si="6"/>
        <v>355.63580022178752</v>
      </c>
      <c r="W8" s="104">
        <f t="shared" si="6"/>
        <v>366.24440518017832</v>
      </c>
    </row>
    <row r="9" spans="1:23" x14ac:dyDescent="0.25">
      <c r="A9" s="57" t="s">
        <v>317</v>
      </c>
      <c r="B9" s="58"/>
      <c r="C9" s="65">
        <f>'Balance Sheet'!B10</f>
        <v>2149</v>
      </c>
      <c r="D9" s="65">
        <f>'Balance Sheet'!C10</f>
        <v>2268</v>
      </c>
      <c r="E9" s="65">
        <f>'Balance Sheet'!D10</f>
        <v>2364</v>
      </c>
      <c r="F9" s="65">
        <f>'Balance Sheet'!E10</f>
        <v>2509</v>
      </c>
      <c r="G9" s="65">
        <f>'Balance Sheet'!F10</f>
        <v>2778</v>
      </c>
      <c r="H9" s="65">
        <f>'Balance Sheet'!G10</f>
        <v>2916</v>
      </c>
      <c r="I9" s="65">
        <f>'Balance Sheet'!H10</f>
        <v>3233</v>
      </c>
      <c r="J9" s="65">
        <f>'Balance Sheet'!I10</f>
        <v>3774</v>
      </c>
      <c r="K9" s="65" t="str">
        <f>'Balance Sheet'!J10</f>
        <v>3,807</v>
      </c>
      <c r="L9" s="65">
        <f>'Balance Sheet'!K10</f>
        <v>3740</v>
      </c>
      <c r="M9" s="65" t="str">
        <f>'Balance Sheet'!L10</f>
        <v>3,799</v>
      </c>
      <c r="N9" s="65">
        <f>'Balance Sheet'!M10</f>
        <v>3844</v>
      </c>
      <c r="O9" s="65">
        <f>'Balance Sheet'!N10</f>
        <v>3914</v>
      </c>
      <c r="P9" s="99">
        <f>P7-P8</f>
        <v>4286.3497831601771</v>
      </c>
      <c r="Q9" s="99">
        <f t="shared" ref="Q9:W9" si="7">Q7-Q8</f>
        <v>4633.0280921224439</v>
      </c>
      <c r="R9" s="99">
        <f t="shared" si="7"/>
        <v>5056.3910039888042</v>
      </c>
      <c r="S9" s="99">
        <f t="shared" si="7"/>
        <v>5412.477377659211</v>
      </c>
      <c r="T9" s="99">
        <f t="shared" si="7"/>
        <v>5350.3486484545047</v>
      </c>
      <c r="U9" s="99">
        <f t="shared" si="7"/>
        <v>5773.2381985745451</v>
      </c>
      <c r="V9" s="99">
        <f t="shared" si="7"/>
        <v>5950.7488534451359</v>
      </c>
      <c r="W9" s="99">
        <f t="shared" si="7"/>
        <v>6128.2595083157275</v>
      </c>
    </row>
    <row r="10" spans="1:23" x14ac:dyDescent="0.2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2" t="s">
        <v>322</v>
      </c>
      <c r="C11" s="3"/>
      <c r="D11" s="74">
        <f>D8/D7</f>
        <v>5.9701492537313432E-2</v>
      </c>
      <c r="E11" s="74">
        <f t="shared" ref="E11:O11" si="8">E8/E7</f>
        <v>5.89171974522293E-2</v>
      </c>
      <c r="F11" s="74">
        <f t="shared" si="8"/>
        <v>5.8183183183183183E-2</v>
      </c>
      <c r="G11" s="74">
        <f t="shared" si="8"/>
        <v>5.5744391570360298E-2</v>
      </c>
      <c r="H11" s="74">
        <f t="shared" si="8"/>
        <v>5.7835218093699514E-2</v>
      </c>
      <c r="I11" s="74">
        <f t="shared" si="8"/>
        <v>5.7159521726450863E-2</v>
      </c>
      <c r="J11" s="74">
        <f t="shared" si="8"/>
        <v>5.6264066016504126E-2</v>
      </c>
      <c r="K11" s="74">
        <f t="shared" si="8"/>
        <v>6.0463968410661401E-2</v>
      </c>
      <c r="L11" s="74">
        <f t="shared" si="8"/>
        <v>5.1483641897032716E-2</v>
      </c>
      <c r="M11" s="74">
        <f t="shared" si="8"/>
        <v>5.4504728720756596E-2</v>
      </c>
      <c r="N11" s="74">
        <f t="shared" si="8"/>
        <v>5.5992141453831044E-2</v>
      </c>
      <c r="O11" s="74">
        <f t="shared" si="8"/>
        <v>5.8682058682058683E-2</v>
      </c>
      <c r="P11" s="101">
        <f>AVERAGE($M$11:$O$11)</f>
        <v>5.639297628554877E-2</v>
      </c>
      <c r="Q11" s="101">
        <f t="shared" ref="Q11:W11" si="9">AVERAGE($M$11:$O$11)</f>
        <v>5.639297628554877E-2</v>
      </c>
      <c r="R11" s="101">
        <f t="shared" si="9"/>
        <v>5.639297628554877E-2</v>
      </c>
      <c r="S11" s="101">
        <f t="shared" si="9"/>
        <v>5.639297628554877E-2</v>
      </c>
      <c r="T11" s="101">
        <f t="shared" si="9"/>
        <v>5.639297628554877E-2</v>
      </c>
      <c r="U11" s="101">
        <f t="shared" si="9"/>
        <v>5.639297628554877E-2</v>
      </c>
      <c r="V11" s="101">
        <f t="shared" si="9"/>
        <v>5.639297628554877E-2</v>
      </c>
      <c r="W11" s="101">
        <f t="shared" si="9"/>
        <v>5.639297628554877E-2</v>
      </c>
    </row>
    <row r="12" spans="1:23" x14ac:dyDescent="0.2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2" t="s">
        <v>323</v>
      </c>
      <c r="C13" s="3"/>
      <c r="D13" s="75">
        <f>DCF!F10/D7</f>
        <v>2.3470149253731343</v>
      </c>
      <c r="E13" s="75">
        <f>DCF!G10/E7</f>
        <v>2.5903662420382165</v>
      </c>
      <c r="F13" s="75">
        <f>DCF!H10/F7</f>
        <v>2.6662912912912913</v>
      </c>
      <c r="G13" s="75">
        <f>DCF!I10/G7</f>
        <v>2.5978925900747791</v>
      </c>
      <c r="H13" s="75">
        <f>DCF!J10/H7</f>
        <v>2.6778675282714053</v>
      </c>
      <c r="I13" s="75">
        <f>DCF!K10/I7</f>
        <v>1.9550889472149315</v>
      </c>
      <c r="J13" s="75">
        <f>DCF!L10/J7</f>
        <v>1.4831207801950488</v>
      </c>
      <c r="K13" s="75">
        <f>DCF!M10/K7</f>
        <v>1.4933366238894372</v>
      </c>
      <c r="L13" s="75">
        <f>DCF!N10/L7</f>
        <v>1.8239918843520162</v>
      </c>
      <c r="M13" s="75">
        <f>DCF!O10/M7</f>
        <v>3.3616226978596315</v>
      </c>
      <c r="N13" s="75">
        <f>DCF!P10/N7</f>
        <v>4.4499017681728876</v>
      </c>
      <c r="O13" s="75">
        <f>DCF!Q10/O7</f>
        <v>5.3157768157768155</v>
      </c>
      <c r="P13" s="102">
        <f>AVERAGE($O$13)</f>
        <v>5.3157768157768155</v>
      </c>
      <c r="Q13" s="102">
        <f t="shared" ref="Q13:W13" si="10">AVERAGE($O$13)</f>
        <v>5.3157768157768155</v>
      </c>
      <c r="R13" s="102">
        <f t="shared" si="10"/>
        <v>5.3157768157768155</v>
      </c>
      <c r="S13" s="102">
        <f t="shared" si="10"/>
        <v>5.3157768157768155</v>
      </c>
      <c r="T13" s="102">
        <f t="shared" si="10"/>
        <v>5.3157768157768155</v>
      </c>
      <c r="U13" s="102">
        <f t="shared" si="10"/>
        <v>5.3157768157768155</v>
      </c>
      <c r="V13" s="102">
        <f t="shared" si="10"/>
        <v>5.3157768157768155</v>
      </c>
      <c r="W13" s="102">
        <f t="shared" si="10"/>
        <v>5.3157768157768155</v>
      </c>
    </row>
    <row r="14" spans="1:23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2" t="s">
        <v>324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5">
      <c r="A16" t="s">
        <v>316</v>
      </c>
      <c r="C16" s="3"/>
      <c r="D16" s="59">
        <f>'Balance Sheet'!B13</f>
        <v>2737</v>
      </c>
      <c r="E16" s="59">
        <f>'Balance Sheet'!C13</f>
        <v>2613</v>
      </c>
      <c r="F16" s="59">
        <f>'Balance Sheet'!D13</f>
        <v>2478</v>
      </c>
      <c r="G16" s="59">
        <f>'Balance Sheet'!E13</f>
        <v>2454</v>
      </c>
      <c r="H16" s="59">
        <f>'Balance Sheet'!F13</f>
        <v>2339</v>
      </c>
      <c r="I16" s="59">
        <f>'Balance Sheet'!G13</f>
        <v>2211</v>
      </c>
      <c r="J16" s="59">
        <f>'Balance Sheet'!H13</f>
        <v>2036</v>
      </c>
      <c r="K16" s="59">
        <f>'Balance Sheet'!I13</f>
        <v>1850</v>
      </c>
      <c r="L16" s="59" t="str">
        <f>'Balance Sheet'!J13</f>
        <v>1,676</v>
      </c>
      <c r="M16" s="59">
        <f>'Balance Sheet'!K13</f>
        <v>1541</v>
      </c>
      <c r="N16" s="59" t="str">
        <f>'Balance Sheet'!L13</f>
        <v>1,395</v>
      </c>
      <c r="O16" s="59">
        <f>'Balance Sheet'!M13</f>
        <v>1251</v>
      </c>
      <c r="P16" s="97">
        <f>O20</f>
        <v>1112</v>
      </c>
      <c r="Q16" s="97">
        <f t="shared" ref="Q16:W16" si="11">P20</f>
        <v>1015.1259226257882</v>
      </c>
      <c r="R16" s="97">
        <f t="shared" si="11"/>
        <v>928.91509272346354</v>
      </c>
      <c r="S16" s="97">
        <f t="shared" si="11"/>
        <v>853.05479077206246</v>
      </c>
      <c r="T16" s="97">
        <f t="shared" si="11"/>
        <v>777.92283833381885</v>
      </c>
      <c r="U16" s="97">
        <f t="shared" si="11"/>
        <v>709.49247638213251</v>
      </c>
      <c r="V16" s="97">
        <f t="shared" si="11"/>
        <v>647.19844186354999</v>
      </c>
      <c r="W16" s="97">
        <f t="shared" si="11"/>
        <v>591.81457603853789</v>
      </c>
    </row>
    <row r="17" spans="1:23" x14ac:dyDescent="0.25">
      <c r="A17" t="s">
        <v>325</v>
      </c>
      <c r="C17" s="3"/>
      <c r="D17" s="59">
        <f>D18-D16</f>
        <v>13</v>
      </c>
      <c r="E17" s="59">
        <f t="shared" ref="E17:O17" si="12">E18-E16</f>
        <v>3</v>
      </c>
      <c r="F17" s="59">
        <f t="shared" si="12"/>
        <v>119</v>
      </c>
      <c r="G17" s="59">
        <f t="shared" si="12"/>
        <v>30</v>
      </c>
      <c r="H17" s="59">
        <f t="shared" si="12"/>
        <v>27</v>
      </c>
      <c r="I17" s="59">
        <f t="shared" si="12"/>
        <v>7</v>
      </c>
      <c r="J17" s="59">
        <f t="shared" si="12"/>
        <v>-5</v>
      </c>
      <c r="K17" s="59">
        <f t="shared" si="12"/>
        <v>7</v>
      </c>
      <c r="L17" s="59">
        <f t="shared" si="12"/>
        <v>46</v>
      </c>
      <c r="M17" s="59">
        <f t="shared" si="12"/>
        <v>0</v>
      </c>
      <c r="N17" s="59">
        <f t="shared" si="12"/>
        <v>0</v>
      </c>
      <c r="O17" s="59">
        <f t="shared" si="12"/>
        <v>4</v>
      </c>
      <c r="P17" s="97">
        <f>AVERAGE(D17:O17)</f>
        <v>20.916666666666668</v>
      </c>
      <c r="Q17" s="97">
        <f t="shared" ref="Q17:W17" si="13">AVERAGE(E17:P17)</f>
        <v>21.576388888888889</v>
      </c>
      <c r="R17" s="97">
        <f t="shared" si="13"/>
        <v>23.124421296296294</v>
      </c>
      <c r="S17" s="97">
        <f t="shared" si="13"/>
        <v>15.134789737654321</v>
      </c>
      <c r="T17" s="97">
        <f t="shared" si="13"/>
        <v>13.896022215792184</v>
      </c>
      <c r="U17" s="97">
        <f t="shared" si="13"/>
        <v>12.804024067108196</v>
      </c>
      <c r="V17" s="97">
        <f t="shared" si="13"/>
        <v>13.287692739367214</v>
      </c>
      <c r="W17" s="97">
        <f t="shared" si="13"/>
        <v>14.811667134314481</v>
      </c>
    </row>
    <row r="18" spans="1:23" x14ac:dyDescent="0.25">
      <c r="A18" s="57" t="s">
        <v>326</v>
      </c>
      <c r="B18" s="58"/>
      <c r="C18" s="60"/>
      <c r="D18" s="61">
        <f>D20+D19</f>
        <v>2750</v>
      </c>
      <c r="E18" s="61">
        <f t="shared" ref="E18:O18" si="14">E20+E19</f>
        <v>2616</v>
      </c>
      <c r="F18" s="61">
        <f t="shared" si="14"/>
        <v>2597</v>
      </c>
      <c r="G18" s="61">
        <f t="shared" si="14"/>
        <v>2484</v>
      </c>
      <c r="H18" s="61">
        <f t="shared" si="14"/>
        <v>2366</v>
      </c>
      <c r="I18" s="61">
        <f t="shared" si="14"/>
        <v>2218</v>
      </c>
      <c r="J18" s="61">
        <f t="shared" si="14"/>
        <v>2031</v>
      </c>
      <c r="K18" s="61">
        <f t="shared" si="14"/>
        <v>1857</v>
      </c>
      <c r="L18" s="61">
        <f t="shared" si="14"/>
        <v>1722</v>
      </c>
      <c r="M18" s="61">
        <f t="shared" si="14"/>
        <v>1541</v>
      </c>
      <c r="N18" s="61">
        <f t="shared" si="14"/>
        <v>1395</v>
      </c>
      <c r="O18" s="61">
        <f t="shared" si="14"/>
        <v>1255</v>
      </c>
      <c r="P18" s="103">
        <f>P16+P17</f>
        <v>1132.9166666666667</v>
      </c>
      <c r="Q18" s="103">
        <f t="shared" ref="Q18:W18" si="15">Q16+Q17</f>
        <v>1036.7023115146771</v>
      </c>
      <c r="R18" s="103">
        <f t="shared" si="15"/>
        <v>952.03951401975985</v>
      </c>
      <c r="S18" s="103">
        <f t="shared" si="15"/>
        <v>868.18958050971673</v>
      </c>
      <c r="T18" s="103">
        <f t="shared" si="15"/>
        <v>791.81886054961103</v>
      </c>
      <c r="U18" s="103">
        <f t="shared" si="15"/>
        <v>722.29650044924074</v>
      </c>
      <c r="V18" s="103">
        <f t="shared" si="15"/>
        <v>660.48613460291722</v>
      </c>
      <c r="W18" s="103">
        <f t="shared" si="15"/>
        <v>606.62624317285236</v>
      </c>
    </row>
    <row r="19" spans="1:23" x14ac:dyDescent="0.25">
      <c r="A19" t="s">
        <v>327</v>
      </c>
      <c r="C19" s="3"/>
      <c r="D19" s="59">
        <f>'Cash Flows'!B43</f>
        <v>137</v>
      </c>
      <c r="E19" s="59">
        <f>'Cash Flows'!C43</f>
        <v>138</v>
      </c>
      <c r="F19" s="59">
        <f>'Cash Flows'!D43</f>
        <v>143</v>
      </c>
      <c r="G19" s="59">
        <f>'Cash Flows'!E43</f>
        <v>145</v>
      </c>
      <c r="H19" s="59">
        <f>'Cash Flows'!F43</f>
        <v>155</v>
      </c>
      <c r="I19" s="59">
        <f>'Cash Flows'!G43</f>
        <v>182</v>
      </c>
      <c r="J19" s="59">
        <f>'Cash Flows'!H43</f>
        <v>181</v>
      </c>
      <c r="K19" s="59">
        <f>'Cash Flows'!I43</f>
        <v>181</v>
      </c>
      <c r="L19" s="59">
        <f>'Cash Flows'!J43</f>
        <v>181</v>
      </c>
      <c r="M19" s="59">
        <f>'Cash Flows'!K43</f>
        <v>146</v>
      </c>
      <c r="N19" s="59">
        <f>'Cash Flows'!L43</f>
        <v>144</v>
      </c>
      <c r="O19" s="59">
        <f>'Cash Flows'!M43</f>
        <v>143</v>
      </c>
      <c r="P19" s="104">
        <f>P18*P22</f>
        <v>117.79074404087845</v>
      </c>
      <c r="Q19" s="104">
        <f t="shared" ref="Q19:W19" si="16">Q18*Q22</f>
        <v>107.78721879121356</v>
      </c>
      <c r="R19" s="104">
        <f t="shared" si="16"/>
        <v>98.984723247697389</v>
      </c>
      <c r="S19" s="104">
        <f t="shared" si="16"/>
        <v>90.266742175897903</v>
      </c>
      <c r="T19" s="104">
        <f t="shared" si="16"/>
        <v>82.326384167478565</v>
      </c>
      <c r="U19" s="104">
        <f t="shared" si="16"/>
        <v>75.098058585690694</v>
      </c>
      <c r="V19" s="104">
        <f t="shared" si="16"/>
        <v>68.671558564379325</v>
      </c>
      <c r="W19" s="104">
        <f t="shared" si="16"/>
        <v>63.071679180333774</v>
      </c>
    </row>
    <row r="20" spans="1:23" x14ac:dyDescent="0.25">
      <c r="A20" s="57" t="s">
        <v>328</v>
      </c>
      <c r="B20" s="58"/>
      <c r="C20" s="65">
        <f>'Balance Sheet'!B13</f>
        <v>2737</v>
      </c>
      <c r="D20" s="65">
        <f>'Balance Sheet'!C13</f>
        <v>2613</v>
      </c>
      <c r="E20" s="65">
        <f>'Balance Sheet'!D13</f>
        <v>2478</v>
      </c>
      <c r="F20" s="65">
        <f>'Balance Sheet'!E13</f>
        <v>2454</v>
      </c>
      <c r="G20" s="65">
        <f>'Balance Sheet'!F13</f>
        <v>2339</v>
      </c>
      <c r="H20" s="65">
        <f>'Balance Sheet'!G13</f>
        <v>2211</v>
      </c>
      <c r="I20" s="65">
        <f>'Balance Sheet'!H13</f>
        <v>2036</v>
      </c>
      <c r="J20" s="65">
        <f>'Balance Sheet'!I13</f>
        <v>1850</v>
      </c>
      <c r="K20" s="65" t="str">
        <f>'Balance Sheet'!J13</f>
        <v>1,676</v>
      </c>
      <c r="L20" s="65">
        <f>'Balance Sheet'!K13</f>
        <v>1541</v>
      </c>
      <c r="M20" s="65" t="str">
        <f>'Balance Sheet'!L13</f>
        <v>1,395</v>
      </c>
      <c r="N20" s="65">
        <f>'Balance Sheet'!M13</f>
        <v>1251</v>
      </c>
      <c r="O20" s="65">
        <f>'Balance Sheet'!N13</f>
        <v>1112</v>
      </c>
      <c r="P20" s="103">
        <f>P18-P19</f>
        <v>1015.1259226257882</v>
      </c>
      <c r="Q20" s="103">
        <f t="shared" ref="Q20:W20" si="17">Q18-Q19</f>
        <v>928.91509272346354</v>
      </c>
      <c r="R20" s="103">
        <f t="shared" si="17"/>
        <v>853.05479077206246</v>
      </c>
      <c r="S20" s="103">
        <f t="shared" si="17"/>
        <v>777.92283833381885</v>
      </c>
      <c r="T20" s="103">
        <f t="shared" si="17"/>
        <v>709.49247638213251</v>
      </c>
      <c r="U20" s="103">
        <f t="shared" si="17"/>
        <v>647.19844186354999</v>
      </c>
      <c r="V20" s="103">
        <f t="shared" si="17"/>
        <v>591.81457603853789</v>
      </c>
      <c r="W20" s="103">
        <f t="shared" si="17"/>
        <v>543.55456399251852</v>
      </c>
    </row>
    <row r="21" spans="1:23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t="s">
        <v>329</v>
      </c>
      <c r="C22" s="3"/>
      <c r="D22" s="74">
        <f>D19/D18</f>
        <v>4.9818181818181817E-2</v>
      </c>
      <c r="E22" s="74">
        <f t="shared" ref="E22:O22" si="18">E19/E18</f>
        <v>5.2752293577981654E-2</v>
      </c>
      <c r="F22" s="74">
        <f t="shared" si="18"/>
        <v>5.5063534847901427E-2</v>
      </c>
      <c r="G22" s="74">
        <f t="shared" si="18"/>
        <v>5.8373590982286637E-2</v>
      </c>
      <c r="H22" s="74">
        <f t="shared" si="18"/>
        <v>6.5511411665257813E-2</v>
      </c>
      <c r="I22" s="74">
        <f t="shared" si="18"/>
        <v>8.2055906221821462E-2</v>
      </c>
      <c r="J22" s="74">
        <f t="shared" si="18"/>
        <v>8.9118660758247176E-2</v>
      </c>
      <c r="K22" s="74">
        <f t="shared" si="18"/>
        <v>9.7469036079698437E-2</v>
      </c>
      <c r="L22" s="74">
        <f t="shared" si="18"/>
        <v>0.10511033681765389</v>
      </c>
      <c r="M22" s="74">
        <f t="shared" si="18"/>
        <v>9.4743672939649581E-2</v>
      </c>
      <c r="N22" s="74">
        <f t="shared" si="18"/>
        <v>0.1032258064516129</v>
      </c>
      <c r="O22" s="74">
        <f t="shared" si="18"/>
        <v>0.11394422310756971</v>
      </c>
      <c r="P22" s="101">
        <f>AVERAGE($M$22:$O$22)</f>
        <v>0.1039712341662774</v>
      </c>
      <c r="Q22" s="101">
        <f t="shared" ref="Q22:W22" si="19">AVERAGE($M$22:$O$22)</f>
        <v>0.1039712341662774</v>
      </c>
      <c r="R22" s="101">
        <f t="shared" si="19"/>
        <v>0.1039712341662774</v>
      </c>
      <c r="S22" s="101">
        <f t="shared" si="19"/>
        <v>0.1039712341662774</v>
      </c>
      <c r="T22" s="101">
        <f t="shared" si="19"/>
        <v>0.1039712341662774</v>
      </c>
      <c r="U22" s="101">
        <f t="shared" si="19"/>
        <v>0.1039712341662774</v>
      </c>
      <c r="V22" s="101">
        <f t="shared" si="19"/>
        <v>0.1039712341662774</v>
      </c>
      <c r="W22" s="101">
        <f t="shared" si="19"/>
        <v>0.1039712341662774</v>
      </c>
    </row>
    <row r="24" spans="1:23" x14ac:dyDescent="0.25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23" x14ac:dyDescent="0.25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</sheetData>
  <mergeCells count="2">
    <mergeCell ref="D1:O1"/>
    <mergeCell ref="P1:W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E5BE7-EAEB-4D3C-8EE9-644675512BB5}">
  <dimension ref="B2:P31"/>
  <sheetViews>
    <sheetView showGridLines="0" workbookViewId="0">
      <selection activeCell="N32" sqref="N32"/>
    </sheetView>
  </sheetViews>
  <sheetFormatPr defaultRowHeight="15" x14ac:dyDescent="0.25"/>
  <cols>
    <col min="1" max="1" width="4.7109375" customWidth="1"/>
    <col min="6" max="6" width="20.42578125" bestFit="1" customWidth="1"/>
    <col min="7" max="7" width="10.28515625" customWidth="1"/>
    <col min="12" max="12" width="19.140625" customWidth="1"/>
    <col min="13" max="13" width="14.5703125" customWidth="1"/>
    <col min="14" max="14" width="11" customWidth="1"/>
    <col min="15" max="15" width="12.28515625" customWidth="1"/>
    <col min="18" max="18" width="9.5703125" bestFit="1" customWidth="1"/>
  </cols>
  <sheetData>
    <row r="2" spans="2:13" ht="18.75" x14ac:dyDescent="0.3">
      <c r="B2" s="7" t="s">
        <v>15</v>
      </c>
    </row>
    <row r="4" spans="2:13" x14ac:dyDescent="0.25">
      <c r="B4" t="s">
        <v>420</v>
      </c>
    </row>
    <row r="5" spans="2:13" x14ac:dyDescent="0.25">
      <c r="B5" t="s">
        <v>362</v>
      </c>
    </row>
    <row r="7" spans="2:13" x14ac:dyDescent="0.25">
      <c r="B7" s="4" t="s">
        <v>360</v>
      </c>
      <c r="C7" s="5"/>
      <c r="D7" s="5"/>
      <c r="E7" s="5"/>
      <c r="F7" s="5"/>
      <c r="G7" s="6"/>
      <c r="I7" s="86"/>
      <c r="J7" s="87"/>
      <c r="K7" s="87"/>
      <c r="L7" s="87"/>
      <c r="M7" s="87"/>
    </row>
    <row r="8" spans="2:13" x14ac:dyDescent="0.25">
      <c r="B8" t="s">
        <v>16</v>
      </c>
      <c r="F8" s="81">
        <v>2130000</v>
      </c>
      <c r="I8" s="3"/>
      <c r="J8" s="79"/>
    </row>
    <row r="9" spans="2:13" x14ac:dyDescent="0.25">
      <c r="B9" t="s">
        <v>17</v>
      </c>
      <c r="F9" s="83">
        <f>F8/(F15+F8)</f>
        <v>0.99543920600404068</v>
      </c>
      <c r="I9" s="3"/>
    </row>
    <row r="10" spans="2:13" x14ac:dyDescent="0.25">
      <c r="B10" t="s">
        <v>18</v>
      </c>
      <c r="F10" s="80">
        <f>F11+F12*F13</f>
        <v>0.10319799999999998</v>
      </c>
      <c r="I10" s="3"/>
    </row>
    <row r="11" spans="2:13" x14ac:dyDescent="0.25">
      <c r="B11" t="s">
        <v>19</v>
      </c>
      <c r="F11" s="74">
        <v>4.2169999999999999E-2</v>
      </c>
      <c r="I11" s="3"/>
      <c r="J11" s="82"/>
    </row>
    <row r="12" spans="2:13" x14ac:dyDescent="0.25">
      <c r="B12" t="s">
        <v>20</v>
      </c>
      <c r="F12" s="3">
        <v>1.46</v>
      </c>
      <c r="I12" s="3"/>
    </row>
    <row r="13" spans="2:13" x14ac:dyDescent="0.25">
      <c r="B13" t="s">
        <v>361</v>
      </c>
      <c r="F13" s="74">
        <v>4.1799999999999997E-2</v>
      </c>
      <c r="I13" s="3"/>
    </row>
    <row r="14" spans="2:13" x14ac:dyDescent="0.25">
      <c r="F14" s="3"/>
    </row>
    <row r="15" spans="2:13" x14ac:dyDescent="0.25">
      <c r="B15" t="s">
        <v>21</v>
      </c>
      <c r="F15" s="81">
        <f>N29</f>
        <v>9759</v>
      </c>
    </row>
    <row r="16" spans="2:13" x14ac:dyDescent="0.25">
      <c r="B16" t="s">
        <v>22</v>
      </c>
      <c r="F16" s="83">
        <f>F15/(F8+F15)</f>
        <v>4.560793995959358E-3</v>
      </c>
    </row>
    <row r="17" spans="2:16" x14ac:dyDescent="0.25">
      <c r="B17" t="s">
        <v>23</v>
      </c>
      <c r="F17" s="80">
        <f>P29</f>
        <v>2.6346008812378318E-2</v>
      </c>
      <c r="G17" s="151"/>
    </row>
    <row r="18" spans="2:16" x14ac:dyDescent="0.25">
      <c r="B18" t="s">
        <v>24</v>
      </c>
      <c r="F18" s="84">
        <v>0.17</v>
      </c>
    </row>
    <row r="19" spans="2:16" ht="45" x14ac:dyDescent="0.25">
      <c r="F19" s="3"/>
      <c r="K19" s="23" t="s">
        <v>357</v>
      </c>
      <c r="L19" s="158" t="s">
        <v>358</v>
      </c>
      <c r="M19" s="158" t="s">
        <v>359</v>
      </c>
      <c r="N19" s="158" t="s">
        <v>363</v>
      </c>
      <c r="O19" s="158" t="s">
        <v>364</v>
      </c>
    </row>
    <row r="20" spans="2:16" x14ac:dyDescent="0.25">
      <c r="B20" t="s">
        <v>15</v>
      </c>
      <c r="F20" s="80">
        <f>F9*F10+F16*F17*(1-F18)</f>
        <v>0.10282706691781643</v>
      </c>
      <c r="K20" s="3" t="s">
        <v>349</v>
      </c>
      <c r="L20" s="3">
        <v>0.4</v>
      </c>
      <c r="M20" s="80">
        <v>6.6E-3</v>
      </c>
      <c r="N20" s="81">
        <v>1250</v>
      </c>
      <c r="O20" s="77">
        <f>N20*M20</f>
        <v>8.25</v>
      </c>
    </row>
    <row r="21" spans="2:16" x14ac:dyDescent="0.25">
      <c r="K21" s="3" t="s">
        <v>350</v>
      </c>
      <c r="L21" s="3">
        <v>2.6</v>
      </c>
      <c r="M21" s="80">
        <v>3.3099999999999997E-2</v>
      </c>
      <c r="N21" s="81">
        <v>1000</v>
      </c>
      <c r="O21" s="77">
        <f t="shared" ref="O21:O27" si="0">N21*M21</f>
        <v>33.099999999999994</v>
      </c>
    </row>
    <row r="22" spans="2:16" x14ac:dyDescent="0.25">
      <c r="K22" s="3" t="s">
        <v>351</v>
      </c>
      <c r="L22" s="3">
        <v>4.4000000000000004</v>
      </c>
      <c r="M22" s="80">
        <v>1.6400000000000001E-2</v>
      </c>
      <c r="N22" s="81">
        <v>1250</v>
      </c>
      <c r="O22" s="77">
        <f t="shared" si="0"/>
        <v>20.5</v>
      </c>
    </row>
    <row r="23" spans="2:16" ht="45" x14ac:dyDescent="0.25">
      <c r="B23" s="123"/>
      <c r="C23" s="124"/>
      <c r="D23" s="125" t="s">
        <v>370</v>
      </c>
      <c r="E23" s="126" t="s">
        <v>368</v>
      </c>
      <c r="F23" s="126" t="s">
        <v>371</v>
      </c>
      <c r="G23" s="126" t="s">
        <v>372</v>
      </c>
      <c r="H23" s="126" t="s">
        <v>369</v>
      </c>
      <c r="I23" s="127" t="s">
        <v>15</v>
      </c>
      <c r="K23" s="3" t="s">
        <v>352</v>
      </c>
      <c r="L23" s="3">
        <v>6.2</v>
      </c>
      <c r="M23" s="80">
        <v>2.93E-2</v>
      </c>
      <c r="N23" s="81">
        <v>1500</v>
      </c>
      <c r="O23" s="77">
        <f t="shared" si="0"/>
        <v>43.95</v>
      </c>
    </row>
    <row r="24" spans="2:16" x14ac:dyDescent="0.25">
      <c r="B24" s="128" t="s">
        <v>365</v>
      </c>
      <c r="C24" s="120"/>
      <c r="D24" s="80">
        <v>4.2099999999999999E-2</v>
      </c>
      <c r="E24" s="121">
        <v>9.7799999999999998E-2</v>
      </c>
      <c r="F24" s="121">
        <v>4.7E-2</v>
      </c>
      <c r="G24" s="122">
        <v>1.22</v>
      </c>
      <c r="H24" s="121">
        <v>4.5699999999999998E-2</v>
      </c>
      <c r="I24" s="129">
        <v>9.7600000000000006E-2</v>
      </c>
      <c r="K24" s="3" t="s">
        <v>353</v>
      </c>
      <c r="L24" s="3">
        <v>7.4</v>
      </c>
      <c r="M24" s="80">
        <v>2.0899999999999998E-2</v>
      </c>
      <c r="N24" s="81">
        <v>1250</v>
      </c>
      <c r="O24" s="77">
        <f t="shared" si="0"/>
        <v>26.124999999999996</v>
      </c>
    </row>
    <row r="25" spans="2:16" x14ac:dyDescent="0.25">
      <c r="B25" s="128" t="s">
        <v>366</v>
      </c>
      <c r="C25" s="120"/>
      <c r="D25" s="80">
        <v>4.2500000000000003E-2</v>
      </c>
      <c r="E25" s="121">
        <v>0.1</v>
      </c>
      <c r="F25" s="121">
        <v>6.2E-2</v>
      </c>
      <c r="G25" s="122">
        <v>1.2</v>
      </c>
      <c r="H25" s="121">
        <v>5.5500000000000001E-2</v>
      </c>
      <c r="I25" s="130">
        <v>0.1</v>
      </c>
      <c r="K25" s="3" t="s">
        <v>354</v>
      </c>
      <c r="L25" s="3">
        <v>16.2</v>
      </c>
      <c r="M25" s="80">
        <v>3.5400000000000001E-2</v>
      </c>
      <c r="N25" s="81">
        <v>1000</v>
      </c>
      <c r="O25" s="77">
        <f t="shared" si="0"/>
        <v>35.4</v>
      </c>
    </row>
    <row r="26" spans="2:16" x14ac:dyDescent="0.25">
      <c r="B26" s="131" t="s">
        <v>367</v>
      </c>
      <c r="C26" s="132"/>
      <c r="D26" s="133">
        <v>4.1500000000000002E-2</v>
      </c>
      <c r="E26" s="134">
        <v>0.10100000000000001</v>
      </c>
      <c r="F26" s="134">
        <v>4.2999999999999997E-2</v>
      </c>
      <c r="G26" s="135">
        <v>1.1200000000000001</v>
      </c>
      <c r="H26" s="134">
        <v>5.0999999999999997E-2</v>
      </c>
      <c r="I26" s="136">
        <v>0.10100000000000001</v>
      </c>
      <c r="K26" s="3" t="s">
        <v>355</v>
      </c>
      <c r="L26" s="3">
        <v>26.2</v>
      </c>
      <c r="M26" s="80">
        <v>3.5400000000000001E-2</v>
      </c>
      <c r="N26" s="81">
        <v>2000</v>
      </c>
      <c r="O26" s="77">
        <f t="shared" si="0"/>
        <v>70.8</v>
      </c>
    </row>
    <row r="27" spans="2:16" x14ac:dyDescent="0.25">
      <c r="E27" s="85"/>
      <c r="K27" s="3" t="s">
        <v>356</v>
      </c>
      <c r="L27" s="3">
        <v>36.200000000000003</v>
      </c>
      <c r="M27" s="80">
        <v>3.73E-2</v>
      </c>
      <c r="N27" s="81">
        <v>509</v>
      </c>
      <c r="O27" s="77">
        <f t="shared" si="0"/>
        <v>18.985700000000001</v>
      </c>
    </row>
    <row r="28" spans="2:16" x14ac:dyDescent="0.25">
      <c r="E28" s="85"/>
      <c r="K28" s="3"/>
      <c r="L28" s="3"/>
      <c r="M28" s="3"/>
      <c r="N28" s="3"/>
      <c r="O28" s="3"/>
    </row>
    <row r="29" spans="2:16" x14ac:dyDescent="0.25">
      <c r="E29" s="85"/>
      <c r="F29" s="83"/>
      <c r="K29" s="3"/>
      <c r="L29" s="3"/>
      <c r="M29" s="3"/>
      <c r="N29" s="81">
        <f>SUM(N20:N27)</f>
        <v>9759</v>
      </c>
      <c r="O29" s="77">
        <f>SUM(O20:O27)</f>
        <v>257.11070000000001</v>
      </c>
      <c r="P29" s="83">
        <f>O29/N29</f>
        <v>2.6346008812378318E-2</v>
      </c>
    </row>
    <row r="30" spans="2:16" x14ac:dyDescent="0.25">
      <c r="F30" s="84"/>
    </row>
    <row r="31" spans="2:16" x14ac:dyDescent="0.25">
      <c r="F31" s="74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F A A B Q S w M E F A A C A A g A 8 b 5 a W O B m A h e k A A A A 9 w A A A B I A H A B D b 2 5 m a W c v U G F j a 2 F n Z S 5 4 b W w g o h g A K K A U A A A A A A A A A A A A A A A A A A A A A A A A A A A A h Y 9 L D o I w G I S v Q r q n L x 8 h p p S F W 0 l M T I z b p l R o h B 9 D i + V u L j y S V x C j q D u X 8 8 2 3 m L l f b y I b m j q 6 m M 7 Z F l L E M E W R A d 0 W F s o U 9 f 4 Y J y i T Y q v 0 S Z U m G m V w q 8 E V K a q 8 P 6 8 I C S H g M M N t V x J O K S O H f L P T l W k U + s j 2 v x x b c F 6 B N k i K / W u M 5 J j x O V 7 y B F N B J i h y C 1 + B j 3 u f 7 Q 8 U 6 7 7 2 f W e k g Z g t x m 7 K g r x P y A d Q S w M E F A A C A A g A 8 b 5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+ W l j t G S Y G E A I A A H 0 U A A A T A B w A R m 9 y b X V s Y X M v U 2 V j d G l v b j E u b S C i G A A o o B Q A A A A A A A A A A A A A A A A A A A A A A A A A A A D t V 1 1 r 2 z A U f Q / k P w j 1 J Q F j L N t J t o 4 8 d G 7 L Q t l o c d 7 i U F R b a b z J c r C U r S P k v 0 / + 2 s Z i Q 2 V c L / 3 w i + F I 9 r 2 X c 8 6 9 E i e + C G M G 3 P y N P v R 7 / R 5 f 4 4 Q E 4 A T e I D B z g W m Y F g R T Q I n o 9 4 B 8 3 H i b + E Q i 1 8 F K n + M 7 S v j g M q R E d 2 I m C B N 8 A J 1 T 7 3 P o r z G h 3 h W L f 1 A S 3 B P P / R Z S y r 2 L B 1 / C 1 0 n 8 V Q b l 3 r l z 6 X 3 5 H g Y h 9 m 6 Q v g l W c K i B x S z a U B L J n + E 0 r y l E u g W X Q y 1 P I I t p G G O Z Q p 7 L b j E L p r C E 4 X K / O M c C L 4 v t J 9 B Z Y 3 Y v S 5 r / 3 J C 0 l G y n P k 8 w 4 6 s 4 i Z y Y b i O W L v J B + R N t t 4 M 5 j q A G h F w D g j y I v Q Z K 3 K z B r R r c r s F H J c 6 2 0 R 1 J 9 v t h v x e y y t Q P 6 P l 4 v P Q g o 5 I e Z L R A D z L + A z 0 Z / n h y z I 6 9 Y 7 5 q 7 / y D j 2 v w S Q 3 + r g Z / 3 9 i b Z s f e V K L / t X v T 6 t i b V h b s z a B P Y 9 A Z E 2 N b T y t U l s C R i 2 B S L Y J J G y K Y t C C C o i u q n 3 E U h H D w R f u 9 2 u q 4 V 6 s r A a H q h o 0 O l S A j R r G Q h X 0 i O C A J / 6 O G Y q X A y 3 a N Z A b F y h m l r o 8 p T v h U J F v y O w c l e V V k k C r t z H U v 5 m 4 D o f 3 l 7 s f p r F E 7 s D u e C P Y t M q 6 U Z W C P K m V g j 1 p o C P b o u U w F l Q t S z q r Z 1 Q U p C / a i 5 r x 6 i 2 9 4 T + q K I 1 O d o 2 M f w 0 / t O v U R 3 P A 8 3 p U G r D c N H I E G f g F Q S w E C L Q A U A A I A C A D x v l p Y 4 G Y C F 6 Q A A A D 3 A A A A E g A A A A A A A A A A A A A A A A A A A A A A Q 2 9 u Z m l n L 1 B h Y 2 t h Z 2 U u e G 1 s U E s B A i 0 A F A A C A A g A 8 b 5 a W A / K 6 a u k A A A A 6 Q A A A B M A A A A A A A A A A A A A A A A A 8 A A A A F t D b 2 5 0 Z W 5 0 X 1 R 5 c G V z X S 5 4 b W x Q S w E C L Q A U A A I A C A D x v l p Y 7 R k m B h A C A A B 9 F A A A E w A A A A A A A A A A A A A A A A D h A Q A A R m 9 y b X V s Y X M v U 2 V j d G l v b j E u b V B L B Q Y A A A A A A w A D A M I A A A A +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f g A A A A A A A A 5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N C U y M E l T J T I w M j A y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i O T N l Y j h k L W Z k M D k t N D g z M i 0 5 Z T h j L W I z Z D c 2 N j Y 0 Y 2 M 1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N l Q y M T o x M z o z M i 4 2 M T Q y O T g 0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D U g K F B h Z 2 U g N T A p L 0 F 1 d G 9 S Z W 1 v d m V k Q 2 9 s d W 1 u c z E u e 0 N v b H V t b j E s M H 0 m c X V v d D s s J n F 1 b 3 Q 7 U 2 V j d G l v b j E v V G F i b G U w N D U g K F B h Z 2 U g N T A p L 0 F 1 d G 9 S Z W 1 v d m V k Q 2 9 s d W 1 u c z E u e 0 N v b H V t b j I s M X 0 m c X V v d D s s J n F 1 b 3 Q 7 U 2 V j d G l v b j E v V G F i b G U w N D U g K F B h Z 2 U g N T A p L 0 F 1 d G 9 S Z W 1 v d m V k Q 2 9 s d W 1 u c z E u e 0 N v b H V t b j M s M n 0 m c X V v d D s s J n F 1 b 3 Q 7 U 2 V j d G l v b j E v V G F i b G U w N D U g K F B h Z 2 U g N T A p L 0 F 1 d G 9 S Z W 1 v d m V k Q 2 9 s d W 1 u c z E u e 0 N v b H V t b j Q s M 3 0 m c X V v d D s s J n F 1 b 3 Q 7 U 2 V j d G l v b j E v V G F i b G U w N D U g K F B h Z 2 U g N T A p L 0 F 1 d G 9 S Z W 1 v d m V k Q 2 9 s d W 1 u c z E u e 0 N v b H V t b j U s N H 0 m c X V v d D s s J n F 1 b 3 Q 7 U 2 V j d G l v b j E v V G F i b G U w N D U g K F B h Z 2 U g N T A p L 0 F 1 d G 9 S Z W 1 v d m V k Q 2 9 s d W 1 u c z E u e 0 N v b H V t b j Y s N X 0 m c X V v d D s s J n F 1 b 3 Q 7 U 2 V j d G l v b j E v V G F i b G U w N D U g K F B h Z 2 U g N T A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N D U g K F B h Z 2 U g N T A p L 0 F 1 d G 9 S Z W 1 v d m V k Q 2 9 s d W 1 u c z E u e 0 N v b H V t b j E s M H 0 m c X V v d D s s J n F 1 b 3 Q 7 U 2 V j d G l v b j E v V G F i b G U w N D U g K F B h Z 2 U g N T A p L 0 F 1 d G 9 S Z W 1 v d m V k Q 2 9 s d W 1 u c z E u e 0 N v b H V t b j I s M X 0 m c X V v d D s s J n F 1 b 3 Q 7 U 2 V j d G l v b j E v V G F i b G U w N D U g K F B h Z 2 U g N T A p L 0 F 1 d G 9 S Z W 1 v d m V k Q 2 9 s d W 1 u c z E u e 0 N v b H V t b j M s M n 0 m c X V v d D s s J n F 1 b 3 Q 7 U 2 V j d G l v b j E v V G F i b G U w N D U g K F B h Z 2 U g N T A p L 0 F 1 d G 9 S Z W 1 v d m V k Q 2 9 s d W 1 u c z E u e 0 N v b H V t b j Q s M 3 0 m c X V v d D s s J n F 1 b 3 Q 7 U 2 V j d G l v b j E v V G F i b G U w N D U g K F B h Z 2 U g N T A p L 0 F 1 d G 9 S Z W 1 v d m V k Q 2 9 s d W 1 u c z E u e 0 N v b H V t b j U s N H 0 m c X V v d D s s J n F 1 b 3 Q 7 U 2 V j d G l v b j E v V G F i b G U w N D U g K F B h Z 2 U g N T A p L 0 F 1 d G 9 S Z W 1 v d m V k Q 2 9 s d W 1 u c z E u e 0 N v b H V t b j Y s N X 0 m c X V v d D s s J n F 1 b 3 Q 7 U 2 V j d G l v b j E v V G F i b G U w N D U g K F B h Z 2 U g N T A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E 0 J T I w S V M l M j A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0 J T I w S V M l M j A y M D I z L 1 R h Y m x l M D Q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Q l M j B J U y U y M D I w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S U y M E l T J T I w M j A y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h Z j Q w M j N k L T I x Y 2 Q t N G U 5 N C 1 h Y T M 0 L W E 4 M D h j N j N l Z j I 5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V G F y Z 2 V 0 I i B W Y W x 1 Z T 0 i c 1 E x X 0 l T X z I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Z U M T k 6 M j A 6 N T g u N T Q 1 O D c y N l o i I C 8 + P E V u d H J 5 I F R 5 c G U 9 I k Z p b G x D b 2 x 1 b W 5 U e X B l c y I g V m F s d W U 9 I n N C Z 1 l H Q m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z K S 9 B d X R v U m V t b 3 Z l Z E N v b H V t b n M x L n t D b 2 x 1 b W 4 x L D B 9 J n F 1 b 3 Q 7 L C Z x d W 9 0 O 1 N l Y 3 R p b 2 4 x L 1 R h Y m x l M D A 2 I C h Q Y W d l I D M p L 0 F 1 d G 9 S Z W 1 v d m V k Q 2 9 s d W 1 u c z E u e 0 N v b H V t b j I s M X 0 m c X V v d D s s J n F 1 b 3 Q 7 U 2 V j d G l v b j E v V G F i b G U w M D Y g K F B h Z 2 U g M y k v Q X V 0 b 1 J l b W 9 2 Z W R D b 2 x 1 b W 5 z M S 5 7 Q 2 9 s d W 1 u M y w y f S Z x d W 9 0 O y w m c X V v d D t T Z W N 0 a W 9 u M S 9 U Y W J s Z T A w N i A o U G F n Z S A z K S 9 B d X R v U m V t b 3 Z l Z E N v b H V t b n M x L n t D b 2 x 1 b W 4 0 L D N 9 J n F 1 b 3 Q 7 L C Z x d W 9 0 O 1 N l Y 3 R p b 2 4 x L 1 R h Y m x l M D A 2 I C h Q Y W d l I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Y g K F B h Z 2 U g M y k v Q X V 0 b 1 J l b W 9 2 Z W R D b 2 x 1 b W 5 z M S 5 7 Q 2 9 s d W 1 u M S w w f S Z x d W 9 0 O y w m c X V v d D t T Z W N 0 a W 9 u M S 9 U Y W J s Z T A w N i A o U G F n Z S A z K S 9 B d X R v U m V t b 3 Z l Z E N v b H V t b n M x L n t D b 2 x 1 b W 4 y L D F 9 J n F 1 b 3 Q 7 L C Z x d W 9 0 O 1 N l Y 3 R p b 2 4 x L 1 R h Y m x l M D A 2 I C h Q Y W d l I D M p L 0 F 1 d G 9 S Z W 1 v d m V k Q 2 9 s d W 1 u c z E u e 0 N v b H V t b j M s M n 0 m c X V v d D s s J n F 1 b 3 Q 7 U 2 V j d G l v b j E v V G F i b G U w M D Y g K F B h Z 2 U g M y k v Q X V 0 b 1 J l b W 9 2 Z W R D b 2 x 1 b W 5 z M S 5 7 Q 2 9 s d W 1 u N C w z f S Z x d W 9 0 O y w m c X V v d D t T Z W N 0 a W 9 u M S 9 U Y W J s Z T A w N i A o U G F n Z S A z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M S U y M E l T J T I w M j A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S U y M E l T J T I w M j A y M y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J T I w S V M l M j A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E l M j B C U y U y M D I w M j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T c 0 N 2 I 1 M y 1 i N m M y L T Q 1 M W Y t O W E z Y i 0 4 N D E 0 N T R i M m Q 2 O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F R h c m d l d C I g V m F s d W U 9 I n N R M V 9 C U 1 8 y M D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2 V D E 5 O j I z O j M 2 L j U 0 O T c z O T l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A g K F B h Z 2 U g N S k v Q X V 0 b 1 J l b W 9 2 Z W R D b 2 x 1 b W 5 z M S 5 7 Q 2 9 s d W 1 u M S w w f S Z x d W 9 0 O y w m c X V v d D t T Z W N 0 a W 9 u M S 9 U Y W J s Z T A x M C A o U G F n Z S A 1 K S 9 B d X R v U m V t b 3 Z l Z E N v b H V t b n M x L n t D b 2 x 1 b W 4 y L D F 9 J n F 1 b 3 Q 7 L C Z x d W 9 0 O 1 N l Y 3 R p b 2 4 x L 1 R h Y m x l M D E w I C h Q Y W d l I D U p L 0 F 1 d G 9 S Z W 1 v d m V k Q 2 9 s d W 1 u c z E u e 0 N v b H V t b j M s M n 0 m c X V v d D s s J n F 1 b 3 Q 7 U 2 V j d G l v b j E v V G F i b G U w M T A g K F B h Z 2 U g N S k v Q X V 0 b 1 J l b W 9 2 Z W R D b 2 x 1 b W 5 z M S 5 7 Q 2 9 s d W 1 u N C w z f S Z x d W 9 0 O y w m c X V v d D t T Z W N 0 a W 9 u M S 9 U Y W J s Z T A x M C A o U G F n Z S A 1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w I C h Q Y W d l I D U p L 0 F 1 d G 9 S Z W 1 v d m V k Q 2 9 s d W 1 u c z E u e 0 N v b H V t b j E s M H 0 m c X V v d D s s J n F 1 b 3 Q 7 U 2 V j d G l v b j E v V G F i b G U w M T A g K F B h Z 2 U g N S k v Q X V 0 b 1 J l b W 9 2 Z W R D b 2 x 1 b W 5 z M S 5 7 Q 2 9 s d W 1 u M i w x f S Z x d W 9 0 O y w m c X V v d D t T Z W N 0 a W 9 u M S 9 U Y W J s Z T A x M C A o U G F n Z S A 1 K S 9 B d X R v U m V t b 3 Z l Z E N v b H V t b n M x L n t D b 2 x 1 b W 4 z L D J 9 J n F 1 b 3 Q 7 L C Z x d W 9 0 O 1 N l Y 3 R p b 2 4 x L 1 R h Y m x l M D E w I C h Q Y W d l I D U p L 0 F 1 d G 9 S Z W 1 v d m V k Q 2 9 s d W 1 u c z E u e 0 N v b H V t b j Q s M 3 0 m c X V v d D s s J n F 1 b 3 Q 7 U 2 V j d G l v b j E v V G F i b G U w M T A g K F B h Z 2 U g N S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T E l M j B C U y U y M D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E l M j B C U y U y M D I w M j M v V G F i b G U w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S U y M E J T J T I w M j A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y J T I w S V M l M j A y M D I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E z M m M 5 Y m E t N G Q w N y 0 0 Z D c z L W F k N j Q t Y j J l Z m E 5 N z R i N z R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M y k g K D I p L 0 N o Y W 5 n Z W Q g V H l w Z S 5 7 Q 2 9 s d W 1 u M S w w f S Z x d W 9 0 O y w m c X V v d D t T Z W N 0 a W 9 u M S 9 U Y W J s Z T A w N i A o U G F n Z S A z K S A o M i k v Q 2 h h b m d l Z C B U e X B l L n t D b 2 x 1 b W 4 y L D F 9 J n F 1 b 3 Q 7 L C Z x d W 9 0 O 1 N l Y 3 R p b 2 4 x L 1 R h Y m x l M D A 2 I C h Q Y W d l I D M p I C g y K S 9 D a G F u Z 2 V k I F R 5 c G U u e 0 N v b H V t b j M s M n 0 m c X V v d D s s J n F 1 b 3 Q 7 U 2 V j d G l v b j E v V G F i b G U w M D Y g K F B h Z 2 U g M y k g K D I p L 0 N o Y W 5 n Z W Q g V H l w Z S 5 7 Q 2 9 s d W 1 u N C w z f S Z x d W 9 0 O y w m c X V v d D t T Z W N 0 a W 9 u M S 9 U Y W J s Z T A w N i A o U G F n Z S A z K S A o M i k v Q 2 h h b m d l Z C B U e X B l L n t D b 2 x 1 b W 4 1 L D R 9 J n F 1 b 3 Q 7 L C Z x d W 9 0 O 1 N l Y 3 R p b 2 4 x L 1 R h Y m x l M D A 2 I C h Q Y W d l I D M p I C g y K S 9 D a G F u Z 2 V k I F R 5 c G U u e 0 N v b H V t b j Y s N X 0 m c X V v d D s s J n F 1 b 3 Q 7 U 2 V j d G l v b j E v V G F i b G U w M D Y g K F B h Z 2 U g M y k g K D I p L 0 N o Y W 5 n Z W Q g V H l w Z S 5 7 Q 2 9 s d W 1 u N y w 2 f S Z x d W 9 0 O y w m c X V v d D t T Z W N 0 a W 9 u M S 9 U Y W J s Z T A w N i A o U G F n Z S A z K S A o M i k v Q 2 h h b m d l Z C B U e X B l L n t D b 2 x 1 b W 4 4 L D d 9 J n F 1 b 3 Q 7 L C Z x d W 9 0 O 1 N l Y 3 R p b 2 4 x L 1 R h Y m x l M D A 2 I C h Q Y W d l I D M p I C g y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Y g K F B h Z 2 U g M y k g K D I p L 0 N o Y W 5 n Z W Q g V H l w Z S 5 7 Q 2 9 s d W 1 u M S w w f S Z x d W 9 0 O y w m c X V v d D t T Z W N 0 a W 9 u M S 9 U Y W J s Z T A w N i A o U G F n Z S A z K S A o M i k v Q 2 h h b m d l Z C B U e X B l L n t D b 2 x 1 b W 4 y L D F 9 J n F 1 b 3 Q 7 L C Z x d W 9 0 O 1 N l Y 3 R p b 2 4 x L 1 R h Y m x l M D A 2 I C h Q Y W d l I D M p I C g y K S 9 D a G F u Z 2 V k I F R 5 c G U u e 0 N v b H V t b j M s M n 0 m c X V v d D s s J n F 1 b 3 Q 7 U 2 V j d G l v b j E v V G F i b G U w M D Y g K F B h Z 2 U g M y k g K D I p L 0 N o Y W 5 n Z W Q g V H l w Z S 5 7 Q 2 9 s d W 1 u N C w z f S Z x d W 9 0 O y w m c X V v d D t T Z W N 0 a W 9 u M S 9 U Y W J s Z T A w N i A o U G F n Z S A z K S A o M i k v Q 2 h h b m d l Z C B U e X B l L n t D b 2 x 1 b W 4 1 L D R 9 J n F 1 b 3 Q 7 L C Z x d W 9 0 O 1 N l Y 3 R p b 2 4 x L 1 R h Y m x l M D A 2 I C h Q Y W d l I D M p I C g y K S 9 D a G F u Z 2 V k I F R 5 c G U u e 0 N v b H V t b j Y s N X 0 m c X V v d D s s J n F 1 b 3 Q 7 U 2 V j d G l v b j E v V G F i b G U w M D Y g K F B h Z 2 U g M y k g K D I p L 0 N o Y W 5 n Z W Q g V H l w Z S 5 7 Q 2 9 s d W 1 u N y w 2 f S Z x d W 9 0 O y w m c X V v d D t T Z W N 0 a W 9 u M S 9 U Y W J s Z T A w N i A o U G F n Z S A z K S A o M i k v Q 2 h h b m d l Z C B U e X B l L n t D b 2 x 1 b W 4 4 L D d 9 J n F 1 b 3 Q 7 L C Z x d W 9 0 O 1 N l Y 3 R p b 2 4 x L 1 R h Y m x l M D A 2 I C h Q Y W d l I D M p I C g y K S 9 D a G F u Z 2 V k I F R 5 c G U u e 0 N v b H V t b j k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E N v b H V t b l R 5 c G V z I i B W Y W x 1 Z T 0 i c 0 J n W U d C Z 1 l H Q m d Z R i I g L z 4 8 R W 5 0 c n k g V H l w Z T 0 i R m l s b E x h c 3 R V c G R h d G V k I i B W Y W x 1 Z T 0 i Z D I w M j Q t M D I t M j Z U M j A 6 M T I 6 M z A u M j E 5 M T I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E i I C 8 + P E V u d H J 5 I F R 5 c G U 9 I l J l Y 2 9 2 Z X J 5 V G F y Z 2 V 0 U 2 h l Z X Q i I F Z h b H V l P S J z S G l z d G 9 y a W N h b C B J b m N v b W U g U 3 R h d G V t Z W 5 0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G a W x s V G F y Z 2 V 0 I i B W Y W x 1 Z T 0 i c 1 E y X 0 l T X z I w M j M i I C 8 + P C 9 T d G F i b G V F b n R y a W V z P j w v S X R l b T 4 8 S X R l b T 4 8 S X R l b U x v Y 2 F 0 a W 9 u P j x J d G V t V H l w Z T 5 G b 3 J t d W x h P C 9 J d G V t V H l w Z T 4 8 S X R l b V B h d G g + U 2 V j d G l v b j E v U T I l M j B J U y U y M D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I l M j B J U y U y M D I w M j M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i U y M E l T J T I w M j A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y J T I w Q l M l M j A y M D I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Q x Y 2 I w M j Y t Z W U 5 N C 0 0 Y z I w L T k 5 N G Y t M z Z l M D A w Y W Y 0 Y j Q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C A o U G F n Z S A 1 K S A o M i k v Q 2 h h b m d l Z C B U e X B l L n t D b 2 x 1 b W 4 x L D B 9 J n F 1 b 3 Q 7 L C Z x d W 9 0 O 1 N l Y 3 R p b 2 4 x L 1 R h Y m x l M D E w I C h Q Y W d l I D U p I C g y K S 9 D a G F u Z 2 V k I F R 5 c G U u e 0 N v b H V t b j I s M X 0 m c X V v d D s s J n F 1 b 3 Q 7 U 2 V j d G l v b j E v V G F i b G U w M T A g K F B h Z 2 U g N S k g K D I p L 0 N o Y W 5 n Z W Q g V H l w Z S 5 7 Q 2 9 s d W 1 u M y w y f S Z x d W 9 0 O y w m c X V v d D t T Z W N 0 a W 9 u M S 9 U Y W J s Z T A x M C A o U G F n Z S A 1 K S A o M i k v Q 2 h h b m d l Z C B U e X B l L n t D b 2 x 1 b W 4 0 L D N 9 J n F 1 b 3 Q 7 L C Z x d W 9 0 O 1 N l Y 3 R p b 2 4 x L 1 R h Y m x l M D E w I C h Q Y W d l I D U p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A g K F B h Z 2 U g N S k g K D I p L 0 N o Y W 5 n Z W Q g V H l w Z S 5 7 Q 2 9 s d W 1 u M S w w f S Z x d W 9 0 O y w m c X V v d D t T Z W N 0 a W 9 u M S 9 U Y W J s Z T A x M C A o U G F n Z S A 1 K S A o M i k v Q 2 h h b m d l Z C B U e X B l L n t D b 2 x 1 b W 4 y L D F 9 J n F 1 b 3 Q 7 L C Z x d W 9 0 O 1 N l Y 3 R p b 2 4 x L 1 R h Y m x l M D E w I C h Q Y W d l I D U p I C g y K S 9 D a G F u Z 2 V k I F R 5 c G U u e 0 N v b H V t b j M s M n 0 m c X V v d D s s J n F 1 b 3 Q 7 U 2 V j d G l v b j E v V G F i b G U w M T A g K F B h Z 2 U g N S k g K D I p L 0 N o Y W 5 n Z W Q g V H l w Z S 5 7 Q 2 9 s d W 1 u N C w z f S Z x d W 9 0 O y w m c X V v d D t T Z W N 0 a W 9 u M S 9 U Y W J s Z T A x M C A o U G F n Z S A 1 K S A o M i k v Q 2 h h b m d l Z C B U e X B l L n t D b 2 x 1 b W 4 1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Q 2 9 s d W 1 u V H l w Z X M i I F Z h b H V l P S J z Q m d Z R 0 J n W T 0 i I C 8 + P E V u d H J 5 I F R 5 c G U 9 I k Z p b G x M Y X N 0 V X B k Y X R l Z C I g V m F s d W U 9 I m Q y M D I 0 L T A y L T I 2 V D I w O j M y O j E 0 L j U w N D Y y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x I i A v P j x F b n R y e S B U e X B l P S J S Z W N v d m V y e V R h c m d l d F N o Z W V 0 I i B W Y W x 1 Z T 0 i c 0 h p c 3 R v c m l j Y W w g Q m F s Y W 5 j Z S B T a G V l d C I g L z 4 8 R W 5 0 c n k g V H l w Z T 0 i U m V j b 3 Z l c n l U Y X J n Z X R D b 2 x 1 b W 4 i I F Z h b H V l P S J s N i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R M i U y M E J T J T I w M j A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i U y M E J T J T I w M j A y M y 9 U Y W J s Z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y J T I w Q l M l M j A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M l M j B J U y U y M D I w M j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G Z l M 2 E 1 M S 1 l Y z B m L T Q 3 M D g t Y j k x M C 0 3 O D Y 2 Z W V l Z T U 2 Z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M y k v Q 2 h h b m d l Z C B U e X B l L n t D b 2 x 1 b W 4 x L D B 9 J n F 1 b 3 Q 7 L C Z x d W 9 0 O 1 N l Y 3 R p b 2 4 x L 1 R h Y m x l M D A 2 I C h Q Y W d l I D M p L 0 N o Y W 5 n Z W Q g V H l w Z S 5 7 Q 2 9 s d W 1 u M i w x f S Z x d W 9 0 O y w m c X V v d D t T Z W N 0 a W 9 u M S 9 U Y W J s Z T A w N i A o U G F n Z S A z K S 9 D a G F u Z 2 V k I F R 5 c G U u e 0 N v b H V t b j M s M n 0 m c X V v d D s s J n F 1 b 3 Q 7 U 2 V j d G l v b j E v V G F i b G U w M D Y g K F B h Z 2 U g M y k v Q 2 h h b m d l Z C B U e X B l L n t D b 2 x 1 b W 4 0 L D N 9 J n F 1 b 3 Q 7 L C Z x d W 9 0 O 1 N l Y 3 R p b 2 4 x L 1 R h Y m x l M D A 2 I C h Q Y W d l I D M p L 0 N o Y W 5 n Z W Q g V H l w Z S 5 7 Q 2 9 s d W 1 u N S w 0 f S Z x d W 9 0 O y w m c X V v d D t T Z W N 0 a W 9 u M S 9 U Y W J s Z T A w N i A o U G F n Z S A z K S 9 D a G F u Z 2 V k I F R 5 c G U u e 0 N v b H V t b j Y s N X 0 m c X V v d D s s J n F 1 b 3 Q 7 U 2 V j d G l v b j E v V G F i b G U w M D Y g K F B h Z 2 U g M y k v Q 2 h h b m d l Z C B U e X B l L n t D b 2 x 1 b W 4 3 L D Z 9 J n F 1 b 3 Q 7 L C Z x d W 9 0 O 1 N l Y 3 R p b 2 4 x L 1 R h Y m x l M D A 2 I C h Q Y W d l I D M p L 0 N o Y W 5 n Z W Q g V H l w Z S 5 7 Q 2 9 s d W 1 u O C w 3 f S Z x d W 9 0 O y w m c X V v d D t T Z W N 0 a W 9 u M S 9 U Y W J s Z T A w N i A o U G F n Z S A z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Y g K F B h Z 2 U g M y k v Q 2 h h b m d l Z C B U e X B l L n t D b 2 x 1 b W 4 x L D B 9 J n F 1 b 3 Q 7 L C Z x d W 9 0 O 1 N l Y 3 R p b 2 4 x L 1 R h Y m x l M D A 2 I C h Q Y W d l I D M p L 0 N o Y W 5 n Z W Q g V H l w Z S 5 7 Q 2 9 s d W 1 u M i w x f S Z x d W 9 0 O y w m c X V v d D t T Z W N 0 a W 9 u M S 9 U Y W J s Z T A w N i A o U G F n Z S A z K S 9 D a G F u Z 2 V k I F R 5 c G U u e 0 N v b H V t b j M s M n 0 m c X V v d D s s J n F 1 b 3 Q 7 U 2 V j d G l v b j E v V G F i b G U w M D Y g K F B h Z 2 U g M y k v Q 2 h h b m d l Z C B U e X B l L n t D b 2 x 1 b W 4 0 L D N 9 J n F 1 b 3 Q 7 L C Z x d W 9 0 O 1 N l Y 3 R p b 2 4 x L 1 R h Y m x l M D A 2 I C h Q Y W d l I D M p L 0 N o Y W 5 n Z W Q g V H l w Z S 5 7 Q 2 9 s d W 1 u N S w 0 f S Z x d W 9 0 O y w m c X V v d D t T Z W N 0 a W 9 u M S 9 U Y W J s Z T A w N i A o U G F n Z S A z K S 9 D a G F u Z 2 V k I F R 5 c G U u e 0 N v b H V t b j Y s N X 0 m c X V v d D s s J n F 1 b 3 Q 7 U 2 V j d G l v b j E v V G F i b G U w M D Y g K F B h Z 2 U g M y k v Q 2 h h b m d l Z C B U e X B l L n t D b 2 x 1 b W 4 3 L D Z 9 J n F 1 b 3 Q 7 L C Z x d W 9 0 O 1 N l Y 3 R p b 2 4 x L 1 R h Y m x l M D A 2 I C h Q Y W d l I D M p L 0 N o Y W 5 n Z W Q g V H l w Z S 5 7 Q 2 9 s d W 1 u O C w 3 f S Z x d W 9 0 O y w m c X V v d D t T Z W N 0 a W 9 u M S 9 U Y W J s Z T A w N i A o U G F n Z S A z K S 9 D a G F u Z 2 V k I F R 5 c G U u e 0 N v b H V t b j k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E N v b H V t b l R 5 c G V z I i B W Y W x 1 Z T 0 i c 0 J n W U d C Z 1 l H Q m d Z R C I g L z 4 8 R W 5 0 c n k g V H l w Z T 0 i R m l s b E x h c 3 R V c G R h d G V k I i B W Y W x 1 Z T 0 i Z D I w M j Q t M D I t M j Z U M j E 6 M D I 6 M z E u N j k 1 M T Y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E i I C 8 + P E V u d H J 5 I F R 5 c G U 9 I l J l Y 2 9 2 Z X J 5 V G F y Z 2 V 0 U 2 h l Z X Q i I F Z h b H V l P S J z S G l z d G 9 y a W N h b C B J b m N v b W U g U 3 R h d G V t Z W 5 0 I i A v P j x F b n R y e S B U e X B l P S J S Z W N v d m V y e V R h c m d l d E N v b H V t b i I g V m F s d W U 9 I m w 5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E z J T I w S V M l M j A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z J T I w S V M l M j A y M D I z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M l M j B J U y U y M D I w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y U y M E l T J T I w M i U y M D I w M j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D d l Z D Y x O S 0 4 Y T Z k L T R m Y m U t Y T Y w O C 0 3 Y W V m O D U 0 N j d m O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M y k v Q X V 0 b 1 J l b W 9 2 Z W R D b 2 x 1 b W 5 z M S 5 7 Q 2 9 s d W 1 u M S w w f S Z x d W 9 0 O y w m c X V v d D t T Z W N 0 a W 9 u M S 9 U Y W J s Z T A w N y A o U G F n Z S A z K S 9 B d X R v U m V t b 3 Z l Z E N v b H V t b n M x L n t D b 2 x 1 b W 4 y L D F 9 J n F 1 b 3 Q 7 L C Z x d W 9 0 O 1 N l Y 3 R p b 2 4 x L 1 R h Y m x l M D A 3 I C h Q Y W d l I D M p L 0 F 1 d G 9 S Z W 1 v d m V k Q 2 9 s d W 1 u c z E u e 0 N v b H V t b j M s M n 0 m c X V v d D s s J n F 1 b 3 Q 7 U 2 V j d G l v b j E v V G F i b G U w M D c g K F B h Z 2 U g M y k v Q X V 0 b 1 J l b W 9 2 Z W R D b 2 x 1 b W 5 z M S 5 7 Q 2 9 s d W 1 u N C w z f S Z x d W 9 0 O y w m c X V v d D t T Z W N 0 a W 9 u M S 9 U Y W J s Z T A w N y A o U G F n Z S A z K S 9 B d X R v U m V t b 3 Z l Z E N v b H V t b n M x L n t D b 2 x 1 b W 4 1 L D R 9 J n F 1 b 3 Q 7 L C Z x d W 9 0 O 1 N l Y 3 R p b 2 4 x L 1 R h Y m x l M D A 3 I C h Q Y W d l I D M p L 0 F 1 d G 9 S Z W 1 v d m V k Q 2 9 s d W 1 u c z E u e 0 N v b H V t b j Y s N X 0 m c X V v d D s s J n F 1 b 3 Q 7 U 2 V j d G l v b j E v V G F i b G U w M D c g K F B h Z 2 U g M y k v Q X V 0 b 1 J l b W 9 2 Z W R D b 2 x 1 b W 5 z M S 5 7 Q 2 9 s d W 1 u N y w 2 f S Z x d W 9 0 O y w m c X V v d D t T Z W N 0 a W 9 u M S 9 U Y W J s Z T A w N y A o U G F n Z S A z K S 9 B d X R v U m V t b 3 Z l Z E N v b H V t b n M x L n t D b 2 x 1 b W 4 4 L D d 9 J n F 1 b 3 Q 7 L C Z x d W 9 0 O 1 N l Y 3 R p b 2 4 x L 1 R h Y m x l M D A 3 I C h Q Y W d l I D M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c g K F B h Z 2 U g M y k v Q X V 0 b 1 J l b W 9 2 Z W R D b 2 x 1 b W 5 z M S 5 7 Q 2 9 s d W 1 u M S w w f S Z x d W 9 0 O y w m c X V v d D t T Z W N 0 a W 9 u M S 9 U Y W J s Z T A w N y A o U G F n Z S A z K S 9 B d X R v U m V t b 3 Z l Z E N v b H V t b n M x L n t D b 2 x 1 b W 4 y L D F 9 J n F 1 b 3 Q 7 L C Z x d W 9 0 O 1 N l Y 3 R p b 2 4 x L 1 R h Y m x l M D A 3 I C h Q Y W d l I D M p L 0 F 1 d G 9 S Z W 1 v d m V k Q 2 9 s d W 1 u c z E u e 0 N v b H V t b j M s M n 0 m c X V v d D s s J n F 1 b 3 Q 7 U 2 V j d G l v b j E v V G F i b G U w M D c g K F B h Z 2 U g M y k v Q X V 0 b 1 J l b W 9 2 Z W R D b 2 x 1 b W 5 z M S 5 7 Q 2 9 s d W 1 u N C w z f S Z x d W 9 0 O y w m c X V v d D t T Z W N 0 a W 9 u M S 9 U Y W J s Z T A w N y A o U G F n Z S A z K S 9 B d X R v U m V t b 3 Z l Z E N v b H V t b n M x L n t D b 2 x 1 b W 4 1 L D R 9 J n F 1 b 3 Q 7 L C Z x d W 9 0 O 1 N l Y 3 R p b 2 4 x L 1 R h Y m x l M D A 3 I C h Q Y W d l I D M p L 0 F 1 d G 9 S Z W 1 v d m V k Q 2 9 s d W 1 u c z E u e 0 N v b H V t b j Y s N X 0 m c X V v d D s s J n F 1 b 3 Q 7 U 2 V j d G l v b j E v V G F i b G U w M D c g K F B h Z 2 U g M y k v Q X V 0 b 1 J l b W 9 2 Z W R D b 2 x 1 b W 5 z M S 5 7 Q 2 9 s d W 1 u N y w 2 f S Z x d W 9 0 O y w m c X V v d D t T Z W N 0 a W 9 u M S 9 U Y W J s Z T A w N y A o U G F n Z S A z K S 9 B d X R v U m V t b 3 Z l Z E N v b H V t b n M x L n t D b 2 x 1 b W 4 4 L D d 9 J n F 1 b 3 Q 7 L C Z x d W 9 0 O 1 N l Y 3 R p b 2 4 x L 1 R h Y m x l M D A 3 I C h Q Y W d l I D M p L 0 F 1 d G 9 S Z W 1 v d m V k Q 2 9 s d W 1 u c z E u e 0 N v b H V t b j k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E N v b H V t b l R 5 c G V z I i B W Y W x 1 Z T 0 i c 0 J n W U Z C Z 1 V H Q l F Z R i I g L z 4 8 R W 5 0 c n k g V H l w Z T 0 i R m l s b E x h c 3 R V c G R h d G V k I i B W Y W x 1 Z T 0 i Z D I w M j Q t M D I t M j Z U M j E 6 M D Q 6 M D Y u N j c 2 M T U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j b 3 Z l c n l U Y X J n Z X R T a G V l d C I g V m F s d W U 9 I n N I a X N 0 b 3 J p Y 2 F s I E l u Y 2 9 t Z S B T d G F 0 Z W 1 l b n Q i I C 8 + P E V u d H J 5 I F R 5 c G U 9 I l J l Y 2 9 2 Z X J 5 V G F y Z 2 V 0 Q 2 9 s d W 1 u I i B W Y W x 1 Z T 0 i b D k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E z J T I w S V M l M j A y J T I w M j A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y U y M E l T J T I w M i U y M D I w M j M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y U y M E l T J T I w M i U y M D I w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y U y M E J T J T I w M j A y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h O T N k O T E 1 L T J i M T U t N G E x M C 1 h Z D E 1 L W Q 0 M T R k O W M 3 N G U z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N l Q y M D o 1 N T o 0 O C 4 3 N j k 1 M z g y W i I g L z 4 8 R W 5 0 c n k g V H l w Z T 0 i R m l s b E N v b H V t b l R 5 c G V z I i B W Y W x 1 Z T 0 i c 0 J n W U R C Z 0 0 9 I i A v P j x F b n R y e S B U e X B l P S J G a W x s Q 2 9 s d W 1 u T m F t Z X M i I F Z h b H V l P S J z W y Z x d W 9 0 O 0 F T U 0 V U U y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E g K F B h Z 2 U g N S k v Q 2 h h b m d l Z C B U e X B l L n t B U 1 N F V F M s M H 0 m c X V v d D s s J n F 1 b 3 Q 7 U 2 V j d G l v b j E v V G F i b G U w M T E g K F B h Z 2 U g N S k v Q 2 h h b m d l Z C B U e X B l L n t D b 2 x 1 b W 4 y L D F 9 J n F 1 b 3 Q 7 L C Z x d W 9 0 O 1 N l Y 3 R p b 2 4 x L 1 R h Y m x l M D E x I C h Q Y W d l I D U p L 0 N o Y W 5 n Z W Q g V H l w Z S 5 7 Q 2 9 s d W 1 u M y w y f S Z x d W 9 0 O y w m c X V v d D t T Z W N 0 a W 9 u M S 9 U Y W J s Z T A x M S A o U G F n Z S A 1 K S 9 D a G F u Z 2 V k I F R 5 c G U u e 0 N v b H V t b j Q s M 3 0 m c X V v d D s s J n F 1 b 3 Q 7 U 2 V j d G l v b j E v V G F i b G U w M T E g K F B h Z 2 U g N S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x I C h Q Y W d l I D U p L 0 N o Y W 5 n Z W Q g V H l w Z S 5 7 Q V N T R V R T L D B 9 J n F 1 b 3 Q 7 L C Z x d W 9 0 O 1 N l Y 3 R p b 2 4 x L 1 R h Y m x l M D E x I C h Q Y W d l I D U p L 0 N o Y W 5 n Z W Q g V H l w Z S 5 7 Q 2 9 s d W 1 u M i w x f S Z x d W 9 0 O y w m c X V v d D t T Z W N 0 a W 9 u M S 9 U Y W J s Z T A x M S A o U G F n Z S A 1 K S 9 D a G F u Z 2 V k I F R 5 c G U u e 0 N v b H V t b j M s M n 0 m c X V v d D s s J n F 1 b 3 Q 7 U 2 V j d G l v b j E v V G F i b G U w M T E g K F B h Z 2 U g N S k v Q 2 h h b m d l Z C B U e X B l L n t D b 2 x 1 b W 4 0 L D N 9 J n F 1 b 3 Q 7 L C Z x d W 9 0 O 1 N l Y 3 R p b 2 4 x L 1 R h Y m x l M D E x I C h Q Y W d l I D U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T M l M j B C U y U y M D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M l M j B C U y U y M D I w M j M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y U y M E J T J T I w M j A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y U y M E J T J T I w M j A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J T I w S V M l M j A y M D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M 3 M T l k N z Y t N z E 5 Y S 0 0 N z E 5 L T g w N z A t N j h j Z G U 3 Y T g 4 Z W M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2 V D I x O j Q 5 O j U x L j M w M z A z N T h a I i A v P j x F b n R y e S B U e X B l P S J G a W x s Q 2 9 s d W 1 u V H l w Z X M i I F Z h b H V l P S J z Q m d Z R k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M y k v Q X V 0 b 1 J l b W 9 2 Z W R D b 2 x 1 b W 5 z M S 5 7 Q 2 9 s d W 1 u M S w w f S Z x d W 9 0 O y w m c X V v d D t T Z W N 0 a W 9 u M S 9 U Y W J s Z T A w N i A o U G F n Z S A z K S 9 B d X R v U m V t b 3 Z l Z E N v b H V t b n M x L n t D b 2 x 1 b W 4 y L D F 9 J n F 1 b 3 Q 7 L C Z x d W 9 0 O 1 N l Y 3 R p b 2 4 x L 1 R h Y m x l M D A 2 I C h Q Y W d l I D M p L 0 F 1 d G 9 S Z W 1 v d m V k Q 2 9 s d W 1 u c z E u e 0 N v b H V t b j M s M n 0 m c X V v d D s s J n F 1 b 3 Q 7 U 2 V j d G l v b j E v V G F i b G U w M D Y g K F B h Z 2 U g M y k v Q X V 0 b 1 J l b W 9 2 Z W R D b 2 x 1 b W 5 z M S 5 7 Q 2 9 s d W 1 u N C w z f S Z x d W 9 0 O y w m c X V v d D t T Z W N 0 a W 9 u M S 9 U Y W J s Z T A w N i A o U G F n Z S A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2 I C h Q Y W d l I D M p L 0 F 1 d G 9 S Z W 1 v d m V k Q 2 9 s d W 1 u c z E u e 0 N v b H V t b j E s M H 0 m c X V v d D s s J n F 1 b 3 Q 7 U 2 V j d G l v b j E v V G F i b G U w M D Y g K F B h Z 2 U g M y k v Q X V 0 b 1 J l b W 9 2 Z W R D b 2 x 1 b W 5 z M S 5 7 Q 2 9 s d W 1 u M i w x f S Z x d W 9 0 O y w m c X V v d D t T Z W N 0 a W 9 u M S 9 U Y W J s Z T A w N i A o U G F n Z S A z K S 9 B d X R v U m V t b 3 Z l Z E N v b H V t b n M x L n t D b 2 x 1 b W 4 z L D J 9 J n F 1 b 3 Q 7 L C Z x d W 9 0 O 1 N l Y 3 R p b 2 4 x L 1 R h Y m x l M D A 2 I C h Q Y W d l I D M p L 0 F 1 d G 9 S Z W 1 v d m V k Q 2 9 s d W 1 u c z E u e 0 N v b H V t b j Q s M 3 0 m c X V v d D s s J n F 1 b 3 Q 7 U 2 V j d G l v b j E v V G F i b G U w M D Y g K F B h Z 2 U g M y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T E l M j B J U y U y M D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E l M j B J U y U y M D I w M j I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S U y M E l T J T I w M j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y J T I w S V M l M j A y M D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V m Z D l j M j I t O D A 1 Y i 0 0 N m J l L W J l M T E t Z T k y M D Q x N T N m Z D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2 V D I x O j U y O j I 2 L j k 4 M z k z N D d a I i A v P j x F b n R y e S B U e X B l P S J G a W x s Q 2 9 s d W 1 u V H l w Z X M i I F Z h b H V l P S J z Q m d Z R 0 J n W U d C U V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M y k v Q X V 0 b 1 J l b W 9 2 Z W R D b 2 x 1 b W 5 z M S 5 7 Q 2 9 s d W 1 u M S w w f S Z x d W 9 0 O y w m c X V v d D t T Z W N 0 a W 9 u M S 9 U Y W J s Z T A w N y A o U G F n Z S A z K S 9 B d X R v U m V t b 3 Z l Z E N v b H V t b n M x L n t D b 2 x 1 b W 4 y L D F 9 J n F 1 b 3 Q 7 L C Z x d W 9 0 O 1 N l Y 3 R p b 2 4 x L 1 R h Y m x l M D A 3 I C h Q Y W d l I D M p L 0 F 1 d G 9 S Z W 1 v d m V k Q 2 9 s d W 1 u c z E u e 0 N v b H V t b j M s M n 0 m c X V v d D s s J n F 1 b 3 Q 7 U 2 V j d G l v b j E v V G F i b G U w M D c g K F B h Z 2 U g M y k v Q X V 0 b 1 J l b W 9 2 Z W R D b 2 x 1 b W 5 z M S 5 7 Q 2 9 s d W 1 u N C w z f S Z x d W 9 0 O y w m c X V v d D t T Z W N 0 a W 9 u M S 9 U Y W J s Z T A w N y A o U G F n Z S A z K S 9 B d X R v U m V t b 3 Z l Z E N v b H V t b n M x L n t D b 2 x 1 b W 4 1 L D R 9 J n F 1 b 3 Q 7 L C Z x d W 9 0 O 1 N l Y 3 R p b 2 4 x L 1 R h Y m x l M D A 3 I C h Q Y W d l I D M p L 0 F 1 d G 9 S Z W 1 v d m V k Q 2 9 s d W 1 u c z E u e 0 N v b H V t b j Y s N X 0 m c X V v d D s s J n F 1 b 3 Q 7 U 2 V j d G l v b j E v V G F i b G U w M D c g K F B h Z 2 U g M y k v Q X V 0 b 1 J l b W 9 2 Z W R D b 2 x 1 b W 5 z M S 5 7 Q 2 9 s d W 1 u N y w 2 f S Z x d W 9 0 O y w m c X V v d D t T Z W N 0 a W 9 u M S 9 U Y W J s Z T A w N y A o U G F n Z S A z K S 9 B d X R v U m V t b 3 Z l Z E N v b H V t b n M x L n t D b 2 x 1 b W 4 4 L D d 9 J n F 1 b 3 Q 7 L C Z x d W 9 0 O 1 N l Y 3 R p b 2 4 x L 1 R h Y m x l M D A 3 I C h Q Y W d l I D M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c g K F B h Z 2 U g M y k v Q X V 0 b 1 J l b W 9 2 Z W R D b 2 x 1 b W 5 z M S 5 7 Q 2 9 s d W 1 u M S w w f S Z x d W 9 0 O y w m c X V v d D t T Z W N 0 a W 9 u M S 9 U Y W J s Z T A w N y A o U G F n Z S A z K S 9 B d X R v U m V t b 3 Z l Z E N v b H V t b n M x L n t D b 2 x 1 b W 4 y L D F 9 J n F 1 b 3 Q 7 L C Z x d W 9 0 O 1 N l Y 3 R p b 2 4 x L 1 R h Y m x l M D A 3 I C h Q Y W d l I D M p L 0 F 1 d G 9 S Z W 1 v d m V k Q 2 9 s d W 1 u c z E u e 0 N v b H V t b j M s M n 0 m c X V v d D s s J n F 1 b 3 Q 7 U 2 V j d G l v b j E v V G F i b G U w M D c g K F B h Z 2 U g M y k v Q X V 0 b 1 J l b W 9 2 Z W R D b 2 x 1 b W 5 z M S 5 7 Q 2 9 s d W 1 u N C w z f S Z x d W 9 0 O y w m c X V v d D t T Z W N 0 a W 9 u M S 9 U Y W J s Z T A w N y A o U G F n Z S A z K S 9 B d X R v U m V t b 3 Z l Z E N v b H V t b n M x L n t D b 2 x 1 b W 4 1 L D R 9 J n F 1 b 3 Q 7 L C Z x d W 9 0 O 1 N l Y 3 R p b 2 4 x L 1 R h Y m x l M D A 3 I C h Q Y W d l I D M p L 0 F 1 d G 9 S Z W 1 v d m V k Q 2 9 s d W 1 u c z E u e 0 N v b H V t b j Y s N X 0 m c X V v d D s s J n F 1 b 3 Q 7 U 2 V j d G l v b j E v V G F i b G U w M D c g K F B h Z 2 U g M y k v Q X V 0 b 1 J l b W 9 2 Z W R D b 2 x 1 b W 5 z M S 5 7 Q 2 9 s d W 1 u N y w 2 f S Z x d W 9 0 O y w m c X V v d D t T Z W N 0 a W 9 u M S 9 U Y W J s Z T A w N y A o U G F n Z S A z K S 9 B d X R v U m V t b 3 Z l Z E N v b H V t b n M x L n t D b 2 x 1 b W 4 4 L D d 9 J n F 1 b 3 Q 7 L C Z x d W 9 0 O 1 N l Y 3 R p b 2 4 x L 1 R h Y m x l M D A 3 I C h Q Y W d l I D M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E y J T I w S V M l M j A y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y J T I w S V M l M j A y M D I y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I l M j B J U y U y M D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y U y M E l T J T I w M j A y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h Y T l j O D M 3 L T c 5 Z T I t N D h i M y 1 i N 2 U x L W M 3 Y j l k N z J j Y m U 2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N l Q y M T o 1 N D o z O C 4 4 N j U 2 N j U y W i I g L z 4 8 R W 5 0 c n k g V H l w Z T 0 i R m l s b E N v b H V t b l R 5 c G V z I i B W Y W x 1 Z T 0 i c 0 J n W U d C Z 1 l H Q l F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M p L 0 F 1 d G 9 S Z W 1 v d m V k Q 2 9 s d W 1 u c z E u e 0 N v b H V t b j E s M H 0 m c X V v d D s s J n F 1 b 3 Q 7 U 2 V j d G l v b j E v V G F i b G U w M D c g K F B h Z 2 U g M y k v Q X V 0 b 1 J l b W 9 2 Z W R D b 2 x 1 b W 5 z M S 5 7 Q 2 9 s d W 1 u M i w x f S Z x d W 9 0 O y w m c X V v d D t T Z W N 0 a W 9 u M S 9 U Y W J s Z T A w N y A o U G F n Z S A z K S 9 B d X R v U m V t b 3 Z l Z E N v b H V t b n M x L n t D b 2 x 1 b W 4 z L D J 9 J n F 1 b 3 Q 7 L C Z x d W 9 0 O 1 N l Y 3 R p b 2 4 x L 1 R h Y m x l M D A 3 I C h Q Y W d l I D M p L 0 F 1 d G 9 S Z W 1 v d m V k Q 2 9 s d W 1 u c z E u e 0 N v b H V t b j Q s M 3 0 m c X V v d D s s J n F 1 b 3 Q 7 U 2 V j d G l v b j E v V G F i b G U w M D c g K F B h Z 2 U g M y k v Q X V 0 b 1 J l b W 9 2 Z W R D b 2 x 1 b W 5 z M S 5 7 Q 2 9 s d W 1 u N S w 0 f S Z x d W 9 0 O y w m c X V v d D t T Z W N 0 a W 9 u M S 9 U Y W J s Z T A w N y A o U G F n Z S A z K S 9 B d X R v U m V t b 3 Z l Z E N v b H V t b n M x L n t D b 2 x 1 b W 4 2 L D V 9 J n F 1 b 3 Q 7 L C Z x d W 9 0 O 1 N l Y 3 R p b 2 4 x L 1 R h Y m x l M D A 3 I C h Q Y W d l I D M p L 0 F 1 d G 9 S Z W 1 v d m V k Q 2 9 s d W 1 u c z E u e 0 N v b H V t b j c s N n 0 m c X V v d D s s J n F 1 b 3 Q 7 U 2 V j d G l v b j E v V G F i b G U w M D c g K F B h Z 2 U g M y k v Q X V 0 b 1 J l b W 9 2 Z W R D b 2 x 1 b W 5 z M S 5 7 Q 2 9 s d W 1 u O C w 3 f S Z x d W 9 0 O y w m c X V v d D t T Z W N 0 a W 9 u M S 9 U Y W J s Z T A w N y A o U G F n Z S A z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3 I C h Q Y W d l I D M p L 0 F 1 d G 9 S Z W 1 v d m V k Q 2 9 s d W 1 u c z E u e 0 N v b H V t b j E s M H 0 m c X V v d D s s J n F 1 b 3 Q 7 U 2 V j d G l v b j E v V G F i b G U w M D c g K F B h Z 2 U g M y k v Q X V 0 b 1 J l b W 9 2 Z W R D b 2 x 1 b W 5 z M S 5 7 Q 2 9 s d W 1 u M i w x f S Z x d W 9 0 O y w m c X V v d D t T Z W N 0 a W 9 u M S 9 U Y W J s Z T A w N y A o U G F n Z S A z K S 9 B d X R v U m V t b 3 Z l Z E N v b H V t b n M x L n t D b 2 x 1 b W 4 z L D J 9 J n F 1 b 3 Q 7 L C Z x d W 9 0 O 1 N l Y 3 R p b 2 4 x L 1 R h Y m x l M D A 3 I C h Q Y W d l I D M p L 0 F 1 d G 9 S Z W 1 v d m V k Q 2 9 s d W 1 u c z E u e 0 N v b H V t b j Q s M 3 0 m c X V v d D s s J n F 1 b 3 Q 7 U 2 V j d G l v b j E v V G F i b G U w M D c g K F B h Z 2 U g M y k v Q X V 0 b 1 J l b W 9 2 Z W R D b 2 x 1 b W 5 z M S 5 7 Q 2 9 s d W 1 u N S w 0 f S Z x d W 9 0 O y w m c X V v d D t T Z W N 0 a W 9 u M S 9 U Y W J s Z T A w N y A o U G F n Z S A z K S 9 B d X R v U m V t b 3 Z l Z E N v b H V t b n M x L n t D b 2 x 1 b W 4 2 L D V 9 J n F 1 b 3 Q 7 L C Z x d W 9 0 O 1 N l Y 3 R p b 2 4 x L 1 R h Y m x l M D A 3 I C h Q Y W d l I D M p L 0 F 1 d G 9 S Z W 1 v d m V k Q 2 9 s d W 1 u c z E u e 0 N v b H V t b j c s N n 0 m c X V v d D s s J n F 1 b 3 Q 7 U 2 V j d G l v b j E v V G F i b G U w M D c g K F B h Z 2 U g M y k v Q X V 0 b 1 J l b W 9 2 Z W R D b 2 x 1 b W 5 z M S 5 7 Q 2 9 s d W 1 u O C w 3 f S Z x d W 9 0 O y w m c X V v d D t T Z W N 0 a W 9 u M S 9 U Y W J s Z T A w N y A o U G F n Z S A z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M y U y M E l T J T I w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y U y M E l T J T I w M j A y M i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z J T I w S V M l M j A y M D I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+ r V V N s C 8 x C h P 1 l p f e N L h k A A A A A A g A A A A A A E G Y A A A A B A A A g A A A A 2 a b R k 2 4 n F z E G V / p a B y p x 8 e Q q h P m k + H o 2 Q j l e d 2 F d V m I A A A A A D o A A A A A C A A A g A A A A 2 C u L K E j z 3 g n s 2 8 A i r 3 3 b y o G h F P x V G Y / n 2 5 2 E u r 2 5 Y f t Q A A A A l S q p 5 y n 1 R H + f r + / I k D E 7 I E 2 7 i b k v o 4 u 9 e J D b F 9 c k k L D G L 9 d R q 9 f U B k O i V 3 G n e H m D v w b 2 R 4 H O f M w R p T f 1 A F 2 u e R X p 7 S V H n R x W B h r X I K l 7 3 P V A A A A A r 2 x L B g / u 6 U c b w J L 7 q p N z + p C J q 1 9 O R f q 3 n 3 F Z 1 A M c X / V 7 7 I e C U W o l 1 8 u w s 0 e z 0 3 X w 5 B L b y t 0 T X b b r h S u F 4 1 I 3 7 g = = < / D a t a M a s h u p > 
</file>

<file path=customXml/itemProps1.xml><?xml version="1.0" encoding="utf-8"?>
<ds:datastoreItem xmlns:ds="http://schemas.openxmlformats.org/officeDocument/2006/customXml" ds:itemID="{E77E1186-7948-413D-9D77-10572994E2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Plan</vt:lpstr>
      <vt:lpstr>Revenue Streams</vt:lpstr>
      <vt:lpstr>Income Statement</vt:lpstr>
      <vt:lpstr>Balance Sheet</vt:lpstr>
      <vt:lpstr>Cash Flows</vt:lpstr>
      <vt:lpstr>Working Capital</vt:lpstr>
      <vt:lpstr>Debt</vt:lpstr>
      <vt:lpstr>Fixed Assets</vt:lpstr>
      <vt:lpstr>WACC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Mattsson</dc:creator>
  <cp:lastModifiedBy>Martin Mattsson</cp:lastModifiedBy>
  <cp:lastPrinted>2024-03-06T19:51:48Z</cp:lastPrinted>
  <dcterms:created xsi:type="dcterms:W3CDTF">2015-06-05T18:17:20Z</dcterms:created>
  <dcterms:modified xsi:type="dcterms:W3CDTF">2024-03-06T20:14:00Z</dcterms:modified>
</cp:coreProperties>
</file>