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inanfinancials\CODELISTS\fyndoo-sns\PRICING\FIN\"/>
    </mc:Choice>
  </mc:AlternateContent>
  <bookViews>
    <workbookView xWindow="0" yWindow="0" windowWidth="3810" windowHeight="3240"/>
  </bookViews>
  <sheets>
    <sheet name="Matrices" sheetId="3" r:id="rId1"/>
    <sheet name="Rating AA - Limit Fee" sheetId="5" r:id="rId2"/>
    <sheet name="Rating AA - No Fees" sheetId="6" r:id="rId3"/>
    <sheet name="Rating CC - No Fees" sheetId="4" r:id="rId4"/>
  </sheets>
  <definedNames>
    <definedName name="Alpha" localSheetId="0">Matrices!$K$80</definedName>
    <definedName name="Alpha" localSheetId="1">'Rating AA - Limit Fee'!$K$80</definedName>
    <definedName name="Alpha" localSheetId="2">'Rating AA - No Fees'!$K$80</definedName>
    <definedName name="Alpha" localSheetId="3">'Rating CC - No Fees'!$K$80</definedName>
    <definedName name="Alpha">#REF!</definedName>
    <definedName name="AlphasOperationalRisks" localSheetId="1">'Rating AA - Limit Fee'!$H$67:$O$76</definedName>
    <definedName name="AlphasOperationalRisks" localSheetId="2">'Rating AA - No Fees'!$H$67:$O$76</definedName>
    <definedName name="AlphasOperationalRisks" localSheetId="3">'Rating CC - No Fees'!$H$67:$O$76</definedName>
    <definedName name="AlphasOperationalRisks">Matrices!$H$67:$O$76</definedName>
    <definedName name="CollateralValue" localSheetId="0">Matrices!$B$17</definedName>
    <definedName name="CollateralValue" localSheetId="1">'Rating AA - Limit Fee'!$B$17</definedName>
    <definedName name="CollateralValue" localSheetId="2">'Rating AA - No Fees'!$B$17</definedName>
    <definedName name="CollateralValue" localSheetId="3">'Rating CC - No Fees'!$B$17</definedName>
    <definedName name="CollateralValue">#REF!</definedName>
    <definedName name="ConfidenceLevel" localSheetId="0">Matrices!$B$40</definedName>
    <definedName name="ConfidenceLevel" localSheetId="1">'Rating AA - Limit Fee'!$B$40</definedName>
    <definedName name="ConfidenceLevel" localSheetId="2">'Rating AA - No Fees'!$B$40</definedName>
    <definedName name="ConfidenceLevel" localSheetId="3">'Rating CC - No Fees'!$B$40</definedName>
    <definedName name="ConfidenceLevel">#REF!</definedName>
    <definedName name="Correlation" localSheetId="0">Matrices!$B$41</definedName>
    <definedName name="Correlation" localSheetId="1">'Rating AA - Limit Fee'!$B$41</definedName>
    <definedName name="Correlation" localSheetId="2">'Rating AA - No Fees'!$B$41</definedName>
    <definedName name="Correlation" localSheetId="3">'Rating CC - No Fees'!$B$41</definedName>
    <definedName name="Correlation">#REF!</definedName>
    <definedName name="DurationMaximumAverage" localSheetId="0">Matrices!$B$45</definedName>
    <definedName name="DurationMaximumAverage" localSheetId="1">'Rating AA - Limit Fee'!$B$45</definedName>
    <definedName name="DurationMaximumAverage" localSheetId="2">'Rating AA - No Fees'!$B$45</definedName>
    <definedName name="DurationMaximumAverage" localSheetId="3">'Rating CC - No Fees'!$B$45</definedName>
    <definedName name="DurationMaximumAverage">#REF!</definedName>
    <definedName name="Facility_tpArrangementFee" localSheetId="0">Matrices!$B$11</definedName>
    <definedName name="Facility_tpArrangementFee" localSheetId="1">'Rating AA - Limit Fee'!$B$11</definedName>
    <definedName name="Facility_tpArrangementFee" localSheetId="2">'Rating AA - No Fees'!$B$11</definedName>
    <definedName name="Facility_tpArrangementFee" localSheetId="3">'Rating CC - No Fees'!$B$11</definedName>
    <definedName name="Facility_tpArrangementFee">#REF!</definedName>
    <definedName name="Facility_tpAverageDurationEL" localSheetId="0">Matrices!$B$33</definedName>
    <definedName name="Facility_tpAverageDurationEL" localSheetId="1">'Rating AA - Limit Fee'!$B$33</definedName>
    <definedName name="Facility_tpAverageDurationEL" localSheetId="2">'Rating AA - No Fees'!$B$33</definedName>
    <definedName name="Facility_tpAverageDurationEL" localSheetId="3">'Rating CC - No Fees'!$B$33</definedName>
    <definedName name="Facility_tpAverageDurationEL">#REF!</definedName>
    <definedName name="Facility_tpCalculatedRate" localSheetId="0">Matrices!$G$13</definedName>
    <definedName name="Facility_tpCalculatedRate" localSheetId="1">'Rating AA - Limit Fee'!$G$13</definedName>
    <definedName name="Facility_tpCalculatedRate" localSheetId="2">'Rating AA - No Fees'!$G$13</definedName>
    <definedName name="Facility_tpCalculatedRate" localSheetId="3">'Rating CC - No Fees'!$G$13</definedName>
    <definedName name="Facility_tpCalculatedRate">#REF!</definedName>
    <definedName name="Facility_tpEAD" localSheetId="0">Matrices!$B$32</definedName>
    <definedName name="Facility_tpEAD" localSheetId="1">'Rating AA - Limit Fee'!$B$32</definedName>
    <definedName name="Facility_tpEAD" localSheetId="2">'Rating AA - No Fees'!$B$32</definedName>
    <definedName name="Facility_tpEAD" localSheetId="3">'Rating CC - No Fees'!$B$32</definedName>
    <definedName name="Facility_tpEAD">#REF!</definedName>
    <definedName name="Facility_tpEC" localSheetId="0">Matrices!$B$25</definedName>
    <definedName name="Facility_tpEC" localSheetId="1">'Rating AA - Limit Fee'!$B$25</definedName>
    <definedName name="Facility_tpEC" localSheetId="2">'Rating AA - No Fees'!$B$25</definedName>
    <definedName name="Facility_tpEC" localSheetId="3">'Rating CC - No Fees'!$B$25</definedName>
    <definedName name="Facility_tpEC">#REF!</definedName>
    <definedName name="Facility_tpECRatio" localSheetId="0">Matrices!$B$36</definedName>
    <definedName name="Facility_tpECRatio" localSheetId="1">'Rating AA - Limit Fee'!$B$36</definedName>
    <definedName name="Facility_tpECRatio" localSheetId="2">'Rating AA - No Fees'!$B$36</definedName>
    <definedName name="Facility_tpECRatio" localSheetId="3">'Rating CC - No Fees'!$B$36</definedName>
    <definedName name="Facility_tpECRatio">#REF!</definedName>
    <definedName name="Facility_tpEL" localSheetId="0">Matrices!$G$28</definedName>
    <definedName name="Facility_tpEL" localSheetId="1">'Rating AA - Limit Fee'!$G$28</definedName>
    <definedName name="Facility_tpEL" localSheetId="2">'Rating AA - No Fees'!$G$28</definedName>
    <definedName name="Facility_tpEL" localSheetId="3">'Rating CC - No Fees'!$G$28</definedName>
    <definedName name="Facility_tpEL">#REF!</definedName>
    <definedName name="Facility_tpFacilityFee" localSheetId="0">Matrices!$B$13</definedName>
    <definedName name="Facility_tpFacilityFee" localSheetId="1">'Rating AA - Limit Fee'!$B$13</definedName>
    <definedName name="Facility_tpFacilityFee" localSheetId="2">'Rating AA - No Fees'!$B$13</definedName>
    <definedName name="Facility_tpFacilityFee" localSheetId="3">'Rating CC - No Fees'!$B$13</definedName>
    <definedName name="Facility_tpFacilityFee">#REF!</definedName>
    <definedName name="Facility_tpFunding" localSheetId="0">Matrices!$G$9</definedName>
    <definedName name="Facility_tpFunding" localSheetId="1">'Rating AA - Limit Fee'!$G$9</definedName>
    <definedName name="Facility_tpFunding" localSheetId="2">'Rating AA - No Fees'!$G$9</definedName>
    <definedName name="Facility_tpFunding" localSheetId="3">'Rating CC - No Fees'!$G$9</definedName>
    <definedName name="Facility_tpFunding">#REF!</definedName>
    <definedName name="Facility_tpInterestExpenses" localSheetId="0">Matrices!$G$26</definedName>
    <definedName name="Facility_tpInterestExpenses" localSheetId="1">'Rating AA - Limit Fee'!$G$26</definedName>
    <definedName name="Facility_tpInterestExpenses" localSheetId="2">'Rating AA - No Fees'!$G$26</definedName>
    <definedName name="Facility_tpInterestExpenses" localSheetId="3">'Rating CC - No Fees'!$G$26</definedName>
    <definedName name="Facility_tpInterestExpenses">#REF!</definedName>
    <definedName name="Facility_tpInterestIncome" localSheetId="0">Matrices!$G$25</definedName>
    <definedName name="Facility_tpInterestIncome" localSheetId="1">'Rating AA - Limit Fee'!$G$25</definedName>
    <definedName name="Facility_tpInterestIncome" localSheetId="2">'Rating AA - No Fees'!$G$25</definedName>
    <definedName name="Facility_tpInterestIncome" localSheetId="3">'Rating CC - No Fees'!$G$25</definedName>
    <definedName name="Facility_tpInterestMargin">#REF!</definedName>
    <definedName name="Facility_tpLGD" localSheetId="0">Matrices!$B$31</definedName>
    <definedName name="Facility_tpLGD" localSheetId="1">'Rating AA - Limit Fee'!$B$31</definedName>
    <definedName name="Facility_tpLGD" localSheetId="2">'Rating AA - No Fees'!$B$31</definedName>
    <definedName name="Facility_tpLGD" localSheetId="3">'Rating CC - No Fees'!$B$31</definedName>
    <definedName name="Facility_tpLGD">#REF!</definedName>
    <definedName name="Facility_tpManagingFeeFacility" localSheetId="0">Matrices!$B$12</definedName>
    <definedName name="Facility_tpManagingFeeFacility" localSheetId="1">'Rating AA - Limit Fee'!$B$12</definedName>
    <definedName name="Facility_tpManagingFeeFacility" localSheetId="2">'Rating AA - No Fees'!$B$12</definedName>
    <definedName name="Facility_tpManagingFeeFacility" localSheetId="3">'Rating CC - No Fees'!$B$12</definedName>
    <definedName name="Facility_tpManagingFeeFacility">#REF!</definedName>
    <definedName name="Facility_tpPD" localSheetId="0">Matrices!$B$7</definedName>
    <definedName name="Facility_tpPD" localSheetId="1">'Rating AA - Limit Fee'!$B$7</definedName>
    <definedName name="Facility_tpPD" localSheetId="2">'Rating AA - No Fees'!$B$7</definedName>
    <definedName name="Facility_tpPD" localSheetId="3">'Rating CC - No Fees'!$B$7</definedName>
    <definedName name="Facility_tpPD">#REF!</definedName>
    <definedName name="Facility_tpPremium" localSheetId="0">Matrices!$G$15</definedName>
    <definedName name="Facility_tpPremium" localSheetId="1">'Rating AA - Limit Fee'!$G$15</definedName>
    <definedName name="Facility_tpPremium" localSheetId="2">'Rating AA - No Fees'!$G$15</definedName>
    <definedName name="Facility_tpPremium" localSheetId="3">'Rating CC - No Fees'!$G$15</definedName>
    <definedName name="Facility_tpPremium">#REF!</definedName>
    <definedName name="Facility_tpPrincipalLimit" localSheetId="0">Matrices!$B$10</definedName>
    <definedName name="Facility_tpPrincipalLimit" localSheetId="1">'Rating AA - Limit Fee'!$B$10</definedName>
    <definedName name="Facility_tpPrincipalLimit" localSheetId="2">'Rating AA - No Fees'!$B$10</definedName>
    <definedName name="Facility_tpPrincipalLimit" localSheetId="3">'Rating CC - No Fees'!$B$10</definedName>
    <definedName name="Facility_tpPrincipalLimit">#REF!</definedName>
    <definedName name="Facility_tpProcessCostsAbsolute" localSheetId="0">Matrices!$G$27</definedName>
    <definedName name="Facility_tpProcessCostsAbsolute" localSheetId="1">'Rating AA - Limit Fee'!$G$27</definedName>
    <definedName name="Facility_tpProcessCostsAbsolute" localSheetId="2">'Rating AA - No Fees'!$G$27</definedName>
    <definedName name="Facility_tpProcessCostsAbsolute" localSheetId="3">'Rating CC - No Fees'!$G$27</definedName>
    <definedName name="Facility_tpProcessCostsAbsolute">#REF!</definedName>
    <definedName name="Facility_tpProcessCostsPercentage" localSheetId="0">Matrices!$G$11</definedName>
    <definedName name="Facility_tpProcessCostsPercentage" localSheetId="1">'Rating AA - Limit Fee'!$G$11</definedName>
    <definedName name="Facility_tpProcessCostsPercentage" localSheetId="2">'Rating AA - No Fees'!$G$11</definedName>
    <definedName name="Facility_tpProcessCostsPercentage" localSheetId="3">'Rating CC - No Fees'!$G$11</definedName>
    <definedName name="Facility_tpProcessCostsPercentage">#REF!</definedName>
    <definedName name="Facility_tpProductSelected" localSheetId="0">Matrices!$B$9</definedName>
    <definedName name="Facility_tpProductSelected" localSheetId="1">'Rating AA - Limit Fee'!$B$9</definedName>
    <definedName name="Facility_tpProductSelected" localSheetId="2">'Rating AA - No Fees'!$B$9</definedName>
    <definedName name="Facility_tpProductSelected" localSheetId="3">'Rating CC - No Fees'!$B$9</definedName>
    <definedName name="Facility_tpProductSelected">#REF!</definedName>
    <definedName name="Facility_tpRAROC" localSheetId="0">Matrices!$G$33</definedName>
    <definedName name="Facility_tpRAROC" localSheetId="1">'Rating AA - Limit Fee'!$G$33</definedName>
    <definedName name="Facility_tpRAROC" localSheetId="2">'Rating AA - No Fees'!$G$33</definedName>
    <definedName name="Facility_tpRAROC" localSheetId="3">'Rating CC - No Fees'!$G$33</definedName>
    <definedName name="Facility_tpRAROC">#REF!</definedName>
    <definedName name="Facility_tpReturnAbsolute" localSheetId="0">Matrices!$G$32</definedName>
    <definedName name="Facility_tpReturnAbsolute" localSheetId="1">'Rating AA - Limit Fee'!$G$32</definedName>
    <definedName name="Facility_tpReturnAbsolute" localSheetId="2">'Rating AA - No Fees'!$G$32</definedName>
    <definedName name="Facility_tpReturnAbsolute" localSheetId="3">'Rating CC - No Fees'!$G$32</definedName>
    <definedName name="Facility_tpReturnAbsolute">#REF!</definedName>
    <definedName name="Facility_tpReturnOnCapital" localSheetId="1">'Rating AA - Limit Fee'!$G$31</definedName>
    <definedName name="Facility_tpReturnOnCapital" localSheetId="2">'Rating AA - No Fees'!$G$31</definedName>
    <definedName name="Facility_tpReturnOnCapital" localSheetId="3">'Rating CC - No Fees'!$G$31</definedName>
    <definedName name="Facility_tpReturnOnCapital">Matrices!$G$31</definedName>
    <definedName name="Facility_tpReturnPercentage" localSheetId="0">Matrices!$G$12</definedName>
    <definedName name="Facility_tpReturnPercentage" localSheetId="1">'Rating AA - Limit Fee'!$G$12</definedName>
    <definedName name="Facility_tpReturnPercentage" localSheetId="2">'Rating AA - No Fees'!$G$12</definedName>
    <definedName name="Facility_tpReturnPercentage" localSheetId="3">'Rating CC - No Fees'!$G$12</definedName>
    <definedName name="Facility_tpReturnPercentage">#REF!</definedName>
    <definedName name="Facility_tpRiskPremium" localSheetId="0">Matrices!$G$10</definedName>
    <definedName name="Facility_tpRiskPremium" localSheetId="1">'Rating AA - Limit Fee'!$G$10</definedName>
    <definedName name="Facility_tpRiskPremium" localSheetId="2">'Rating AA - No Fees'!$G$10</definedName>
    <definedName name="Facility_tpRiskPremium" localSheetId="3">'Rating CC - No Fees'!$G$10</definedName>
    <definedName name="Facility_tpRiskPremium">#REF!</definedName>
    <definedName name="Facility_tpROC" localSheetId="0">Matrices!$B$46</definedName>
    <definedName name="Facility_tpROC" localSheetId="1">'Rating AA - Limit Fee'!$B$46</definedName>
    <definedName name="Facility_tpROC" localSheetId="2">'Rating AA - No Fees'!$B$46</definedName>
    <definedName name="Facility_tpROC" localSheetId="3">'Rating CC - No Fees'!$B$46</definedName>
    <definedName name="Facility_tpROC">#REF!</definedName>
    <definedName name="Facility_tpTax" localSheetId="0">Matrices!$G$30</definedName>
    <definedName name="Facility_tpTax" localSheetId="1">'Rating AA - Limit Fee'!$G$30</definedName>
    <definedName name="Facility_tpTax" localSheetId="2">'Rating AA - No Fees'!$G$30</definedName>
    <definedName name="Facility_tpTax" localSheetId="3">'Rating CC - No Fees'!$G$30</definedName>
    <definedName name="Facility_tpTax">#REF!</definedName>
    <definedName name="Facility_tpUpfrontFee" localSheetId="0">Matrices!$B$14</definedName>
    <definedName name="Facility_tpUpfrontFee" localSheetId="1">'Rating AA - Limit Fee'!$B$14</definedName>
    <definedName name="Facility_tpUpfrontFee" localSheetId="2">'Rating AA - No Fees'!$B$14</definedName>
    <definedName name="Facility_tpUpfrontFee" localSheetId="3">'Rating CC - No Fees'!$B$14</definedName>
    <definedName name="Facility_tpUpfrontFee">#REF!</definedName>
    <definedName name="Facility_tpUsedRate" localSheetId="0">Matrices!$G$14</definedName>
    <definedName name="Facility_tpUsedRate" localSheetId="1">'Rating AA - Limit Fee'!$G$14</definedName>
    <definedName name="Facility_tpUsedRate" localSheetId="2">'Rating AA - No Fees'!$G$14</definedName>
    <definedName name="Facility_tpUsedRate" localSheetId="3">'Rating CC - No Fees'!$G$14</definedName>
    <definedName name="Facility_tpUsedRate">#REF!</definedName>
    <definedName name="H" localSheetId="0">Matrices!$L$5</definedName>
    <definedName name="H" localSheetId="1">'Rating AA - Limit Fee'!$L$5</definedName>
    <definedName name="H" localSheetId="2">'Rating AA - No Fees'!$L$5</definedName>
    <definedName name="H" localSheetId="3">'Rating CC - No Fees'!$L$5</definedName>
    <definedName name="H">#REF!</definedName>
    <definedName name="HairCuts" localSheetId="1">'Rating AA - Limit Fee'!$J$17:$P$37</definedName>
    <definedName name="HairCuts" localSheetId="2">'Rating AA - No Fees'!$J$17:$P$37</definedName>
    <definedName name="HairCuts" localSheetId="3">'Rating CC - No Fees'!$J$17:$P$37</definedName>
    <definedName name="HairCuts">Matrices!$J$17:$P$37</definedName>
    <definedName name="Hc" localSheetId="0">Matrices!$L$8</definedName>
    <definedName name="Hc" localSheetId="1">'Rating AA - Limit Fee'!$L$8</definedName>
    <definedName name="Hc" localSheetId="2">'Rating AA - No Fees'!$L$8</definedName>
    <definedName name="Hc" localSheetId="3">'Rating CC - No Fees'!$L$8</definedName>
    <definedName name="Hc">#REF!</definedName>
    <definedName name="Hfx" localSheetId="0">Matrices!$L$9</definedName>
    <definedName name="Hfx" localSheetId="1">'Rating AA - Limit Fee'!$L$9</definedName>
    <definedName name="Hfx" localSheetId="2">'Rating AA - No Fees'!$L$9</definedName>
    <definedName name="Hfx" localSheetId="3">'Rating CC - No Fees'!$L$9</definedName>
    <definedName name="Hfx">#REF!</definedName>
    <definedName name="HurdleRate" localSheetId="0">Matrices!$B$38</definedName>
    <definedName name="HurdleRate" localSheetId="1">'Rating AA - Limit Fee'!$B$38</definedName>
    <definedName name="HurdleRate" localSheetId="2">'Rating AA - No Fees'!$B$38</definedName>
    <definedName name="HurdleRate" localSheetId="3">'Rating CC - No Fees'!$B$38</definedName>
    <definedName name="HurdleRate">#REF!</definedName>
    <definedName name="LGDMaximum" localSheetId="0">Matrices!$B$43</definedName>
    <definedName name="LGDMaximum" localSheetId="1">'Rating AA - Limit Fee'!$B$43</definedName>
    <definedName name="LGDMaximum" localSheetId="2">'Rating AA - No Fees'!$B$43</definedName>
    <definedName name="LGDMaximum" localSheetId="3">'Rating CC - No Fees'!$B$43</definedName>
    <definedName name="LGDMaximum">#REF!</definedName>
    <definedName name="LGDMinimum" localSheetId="0">Matrices!$B$44</definedName>
    <definedName name="LGDMinimum" localSheetId="1">'Rating AA - Limit Fee'!$B$44</definedName>
    <definedName name="LGDMinimum" localSheetId="2">'Rating AA - No Fees'!$B$44</definedName>
    <definedName name="LGDMinimum" localSheetId="3">'Rating CC - No Fees'!$B$44</definedName>
    <definedName name="LGDMinimum">#REF!</definedName>
    <definedName name="ProcessCostsModelPercentage" localSheetId="0">Matrices!$B$42</definedName>
    <definedName name="ProcessCostsModelPercentage" localSheetId="1">'Rating AA - Limit Fee'!$B$42</definedName>
    <definedName name="ProcessCostsModelPercentage" localSheetId="2">'Rating AA - No Fees'!$B$42</definedName>
    <definedName name="ProcessCostsModelPercentage" localSheetId="3">'Rating CC - No Fees'!$B$42</definedName>
    <definedName name="ProcessCostsModelPercentage">#REF!</definedName>
    <definedName name="RendementseisBank" localSheetId="0">Matrices!$B$39</definedName>
    <definedName name="RendementseisBank" localSheetId="1">'Rating AA - Limit Fee'!$B$39</definedName>
    <definedName name="RendementseisBank" localSheetId="2">'Rating AA - No Fees'!$B$39</definedName>
    <definedName name="RendementseisBank" localSheetId="3">'Rating CC - No Fees'!$B$39</definedName>
    <definedName name="RendementseisBank">#REF!</definedName>
    <definedName name="RiskWeight" localSheetId="0">Matrices!$B$8</definedName>
    <definedName name="RiskWeight" localSheetId="1">'Rating AA - Limit Fee'!$B$8</definedName>
    <definedName name="RiskWeight" localSheetId="2">'Rating AA - No Fees'!$B$8</definedName>
    <definedName name="RiskWeight" localSheetId="3">'Rating CC - No Fees'!$B$8</definedName>
    <definedName name="RiskWeight">#REF!</definedName>
    <definedName name="RiskWeightGuarantor" localSheetId="0">Matrices!$B$21</definedName>
    <definedName name="RiskWeightGuarantor" localSheetId="1">'Rating AA - Limit Fee'!$B$21</definedName>
    <definedName name="RiskWeightGuarantor" localSheetId="2">'Rating AA - No Fees'!$B$21</definedName>
    <definedName name="RiskWeightGuarantor" localSheetId="3">'Rating CC - No Fees'!$B$21</definedName>
    <definedName name="RiskWeightGuarantor">#REF!</definedName>
    <definedName name="RiskWeightsSimpleApproach" localSheetId="1">'Rating AA - Limit Fee'!$I$48:$AB$58</definedName>
    <definedName name="RiskWeightsSimpleApproach" localSheetId="2">'Rating AA - No Fees'!$I$48:$AB$58</definedName>
    <definedName name="RiskWeightsSimpleApproach" localSheetId="3">'Rating CC - No Fees'!$I$48:$AB$58</definedName>
    <definedName name="RiskWeightsSimpleApproach">Matrices!$I$48:$AB$58</definedName>
    <definedName name="Taxrate" localSheetId="0">Matrices!$B$37</definedName>
    <definedName name="Taxrate" localSheetId="1">'Rating AA - Limit Fee'!$B$37</definedName>
    <definedName name="Taxrate" localSheetId="2">'Rating AA - No Fees'!$B$37</definedName>
    <definedName name="Taxrate" localSheetId="3">'Rating CC - No Fees'!$B$37</definedName>
    <definedName name="Taxra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7" i="4" s="1"/>
  <c r="B8" i="4"/>
  <c r="L8" i="4"/>
  <c r="L5" i="4"/>
  <c r="K78" i="6"/>
  <c r="J78" i="6"/>
  <c r="I78" i="6"/>
  <c r="K79" i="6" s="1"/>
  <c r="K81" i="6" s="1"/>
  <c r="K77" i="6"/>
  <c r="J77" i="6"/>
  <c r="I77" i="6"/>
  <c r="O76" i="6"/>
  <c r="N76" i="6"/>
  <c r="M76" i="6"/>
  <c r="O75" i="6"/>
  <c r="N75" i="6"/>
  <c r="M75" i="6"/>
  <c r="O74" i="6"/>
  <c r="N74" i="6"/>
  <c r="M74" i="6"/>
  <c r="M77" i="6" s="1"/>
  <c r="O73" i="6"/>
  <c r="N73" i="6"/>
  <c r="M73" i="6"/>
  <c r="O72" i="6"/>
  <c r="O77" i="6" s="1"/>
  <c r="N72" i="6"/>
  <c r="N77" i="6" s="1"/>
  <c r="N78" i="6" s="1"/>
  <c r="M72" i="6"/>
  <c r="M78" i="6" s="1"/>
  <c r="B32" i="6"/>
  <c r="B30" i="6"/>
  <c r="B29" i="6"/>
  <c r="G27" i="6"/>
  <c r="H27" i="6" s="1"/>
  <c r="H26" i="6"/>
  <c r="G26" i="6"/>
  <c r="G25" i="6"/>
  <c r="B21" i="6"/>
  <c r="B20" i="6"/>
  <c r="G15" i="6"/>
  <c r="H9" i="6"/>
  <c r="L8" i="6"/>
  <c r="B8" i="6"/>
  <c r="B27" i="6" s="1"/>
  <c r="B7" i="6"/>
  <c r="L5" i="6"/>
  <c r="K78" i="5"/>
  <c r="J78" i="5"/>
  <c r="K79" i="5" s="1"/>
  <c r="K81" i="5" s="1"/>
  <c r="I78" i="5"/>
  <c r="K77" i="5"/>
  <c r="J77" i="5"/>
  <c r="I77" i="5"/>
  <c r="O76" i="5"/>
  <c r="N76" i="5"/>
  <c r="M76" i="5"/>
  <c r="O75" i="5"/>
  <c r="N75" i="5"/>
  <c r="M75" i="5"/>
  <c r="O74" i="5"/>
  <c r="N74" i="5"/>
  <c r="N77" i="5" s="1"/>
  <c r="N78" i="5" s="1"/>
  <c r="M74" i="5"/>
  <c r="M77" i="5" s="1"/>
  <c r="O73" i="5"/>
  <c r="N73" i="5"/>
  <c r="M73" i="5"/>
  <c r="O72" i="5"/>
  <c r="O77" i="5" s="1"/>
  <c r="N72" i="5"/>
  <c r="M72" i="5"/>
  <c r="M78" i="5" s="1"/>
  <c r="B32" i="5"/>
  <c r="B30" i="5"/>
  <c r="B29" i="5"/>
  <c r="G27" i="5"/>
  <c r="H27" i="5" s="1"/>
  <c r="G26" i="5"/>
  <c r="H26" i="5" s="1"/>
  <c r="G25" i="5"/>
  <c r="B21" i="5"/>
  <c r="B20" i="5"/>
  <c r="G15" i="5"/>
  <c r="H9" i="5"/>
  <c r="L8" i="5"/>
  <c r="B8" i="5"/>
  <c r="B7" i="5"/>
  <c r="B41" i="5" s="1"/>
  <c r="L5" i="5"/>
  <c r="K78" i="4"/>
  <c r="I78" i="4"/>
  <c r="K79" i="4" s="1"/>
  <c r="K81" i="4" s="1"/>
  <c r="K77" i="4"/>
  <c r="J77" i="4"/>
  <c r="J78" i="4" s="1"/>
  <c r="I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B32" i="4"/>
  <c r="B30" i="4"/>
  <c r="B29" i="4"/>
  <c r="G27" i="4"/>
  <c r="H27" i="4" s="1"/>
  <c r="G26" i="4"/>
  <c r="H26" i="4" s="1"/>
  <c r="G25" i="4"/>
  <c r="B20" i="4"/>
  <c r="G15" i="4"/>
  <c r="H9" i="4"/>
  <c r="B7" i="4"/>
  <c r="H9" i="3"/>
  <c r="B28" i="5" l="1"/>
  <c r="B25" i="5" s="1"/>
  <c r="B27" i="5"/>
  <c r="B34" i="5"/>
  <c r="M77" i="4"/>
  <c r="O77" i="4"/>
  <c r="M78" i="4"/>
  <c r="N77" i="4"/>
  <c r="N78" i="4" s="1"/>
  <c r="B28" i="4"/>
  <c r="B25" i="4" s="1"/>
  <c r="H10" i="4" s="1"/>
  <c r="B28" i="6"/>
  <c r="B25" i="6" s="1"/>
  <c r="B52" i="6" s="1"/>
  <c r="G28" i="6"/>
  <c r="G30" i="6" s="1"/>
  <c r="B34" i="6"/>
  <c r="B41" i="6"/>
  <c r="O78" i="6"/>
  <c r="O79" i="6" s="1"/>
  <c r="G28" i="5"/>
  <c r="H28" i="5" s="1"/>
  <c r="B26" i="5"/>
  <c r="H10" i="5"/>
  <c r="B52" i="5"/>
  <c r="H32" i="5"/>
  <c r="G31" i="5"/>
  <c r="H31" i="5" s="1"/>
  <c r="O79" i="5"/>
  <c r="O78" i="5"/>
  <c r="G28" i="4"/>
  <c r="B34" i="4"/>
  <c r="B41" i="4"/>
  <c r="O78" i="4"/>
  <c r="B20" i="3"/>
  <c r="B7" i="3"/>
  <c r="G30" i="5" l="1"/>
  <c r="G32" i="5" s="1"/>
  <c r="G33" i="5" s="1"/>
  <c r="G36" i="5" s="1"/>
  <c r="G10" i="5"/>
  <c r="G13" i="5"/>
  <c r="O79" i="4"/>
  <c r="G31" i="4"/>
  <c r="H31" i="4" s="1"/>
  <c r="H32" i="4"/>
  <c r="H12" i="4" s="1"/>
  <c r="B52" i="4"/>
  <c r="G10" i="4"/>
  <c r="H10" i="6"/>
  <c r="H32" i="6"/>
  <c r="H12" i="6" s="1"/>
  <c r="G10" i="6"/>
  <c r="G31" i="6"/>
  <c r="H31" i="6" s="1"/>
  <c r="H28" i="6"/>
  <c r="G13" i="6"/>
  <c r="B26" i="6"/>
  <c r="G34" i="5"/>
  <c r="G12" i="5"/>
  <c r="G11" i="5" s="1"/>
  <c r="H33" i="5"/>
  <c r="H36" i="5" s="1"/>
  <c r="H12" i="5"/>
  <c r="H25" i="5"/>
  <c r="H13" i="5" s="1"/>
  <c r="B26" i="4"/>
  <c r="H28" i="4"/>
  <c r="G30" i="4"/>
  <c r="G13" i="4"/>
  <c r="G26" i="3"/>
  <c r="H26" i="3" s="1"/>
  <c r="G27" i="3"/>
  <c r="H27" i="3" s="1"/>
  <c r="H33" i="6" l="1"/>
  <c r="H36" i="6" s="1"/>
  <c r="H25" i="6"/>
  <c r="H13" i="6" s="1"/>
  <c r="H14" i="6" s="1"/>
  <c r="H25" i="4"/>
  <c r="H13" i="4" s="1"/>
  <c r="H11" i="4" s="1"/>
  <c r="H33" i="4"/>
  <c r="H36" i="4" s="1"/>
  <c r="G32" i="4"/>
  <c r="G33" i="4" s="1"/>
  <c r="G36" i="4" s="1"/>
  <c r="G32" i="6"/>
  <c r="G33" i="6" s="1"/>
  <c r="G36" i="6" s="1"/>
  <c r="H15" i="5"/>
  <c r="H14" i="5"/>
  <c r="H11" i="5"/>
  <c r="B30" i="3"/>
  <c r="H15" i="6" l="1"/>
  <c r="H11" i="6"/>
  <c r="H15" i="4"/>
  <c r="H14" i="4"/>
  <c r="G12" i="4"/>
  <c r="G11" i="4" s="1"/>
  <c r="G34" i="4"/>
  <c r="G12" i="6"/>
  <c r="G11" i="6" s="1"/>
  <c r="G34" i="6"/>
  <c r="L5" i="3"/>
  <c r="B21" i="3"/>
  <c r="K78" i="3"/>
  <c r="I78" i="3"/>
  <c r="K77" i="3"/>
  <c r="J77" i="3"/>
  <c r="J78" i="3" s="1"/>
  <c r="I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B41" i="3"/>
  <c r="B32" i="3"/>
  <c r="B29" i="3"/>
  <c r="L8" i="3"/>
  <c r="B8" i="3"/>
  <c r="G28" i="3" l="1"/>
  <c r="H28" i="3" s="1"/>
  <c r="B34" i="3"/>
  <c r="B27" i="3"/>
  <c r="N77" i="3"/>
  <c r="N78" i="3" s="1"/>
  <c r="K79" i="3"/>
  <c r="K81" i="3" s="1"/>
  <c r="O77" i="3"/>
  <c r="M77" i="3"/>
  <c r="B28" i="3"/>
  <c r="B25" i="3" s="1"/>
  <c r="M78" i="3"/>
  <c r="O78" i="3"/>
  <c r="H32" i="3" l="1"/>
  <c r="G10" i="3"/>
  <c r="H10" i="3"/>
  <c r="H12" i="3"/>
  <c r="H33" i="3"/>
  <c r="H36" i="3" s="1"/>
  <c r="B26" i="3"/>
  <c r="G31" i="3"/>
  <c r="H31" i="3" s="1"/>
  <c r="H25" i="3" s="1"/>
  <c r="H13" i="3" s="1"/>
  <c r="B52" i="3"/>
  <c r="G13" i="3"/>
  <c r="O79" i="3"/>
  <c r="H14" i="3" l="1"/>
  <c r="H11" i="3"/>
  <c r="H15" i="3"/>
  <c r="G25" i="3"/>
  <c r="G30" i="3" s="1"/>
  <c r="G15" i="3"/>
  <c r="G32" i="3" l="1"/>
  <c r="G34" i="3" l="1"/>
  <c r="G12" i="3"/>
  <c r="G11" i="3" s="1"/>
  <c r="G33" i="3"/>
  <c r="G36" i="3" s="1"/>
</calcChain>
</file>

<file path=xl/comments1.xml><?xml version="1.0" encoding="utf-8"?>
<comments xmlns="http://schemas.openxmlformats.org/spreadsheetml/2006/main">
  <authors>
    <author>Ruben Bos</author>
  </authors>
  <commentList>
    <comment ref="A38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 (is benchmark for RaRoRac)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(is for calc of Economic Profit)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We need to find the appropriate beta in the document (bcbs 291)
</t>
        </r>
      </text>
    </comment>
    <comment ref="K80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Stated by BASEL II (bcbs291)
</t>
        </r>
      </text>
    </comment>
  </commentList>
</comments>
</file>

<file path=xl/comments2.xml><?xml version="1.0" encoding="utf-8"?>
<comments xmlns="http://schemas.openxmlformats.org/spreadsheetml/2006/main">
  <authors>
    <author>Ruben Bos</author>
  </authors>
  <commentList>
    <comment ref="A38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 (is benchmark for RaRoRac)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(is for calc of Economic Profit)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We need to find the appropriate beta in the document (bcbs 291)
</t>
        </r>
      </text>
    </comment>
    <comment ref="K80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Stated by BASEL II (bcbs291)
</t>
        </r>
      </text>
    </comment>
  </commentList>
</comments>
</file>

<file path=xl/comments3.xml><?xml version="1.0" encoding="utf-8"?>
<comments xmlns="http://schemas.openxmlformats.org/spreadsheetml/2006/main">
  <authors>
    <author>Ruben Bos</author>
  </authors>
  <commentList>
    <comment ref="A38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 (is benchmark for RaRoRac)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(is for calc of Economic Profit)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We need to find the appropriate beta in the document (bcbs 291)
</t>
        </r>
      </text>
    </comment>
    <comment ref="K80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Stated by BASEL II (bcbs291)
</t>
        </r>
      </text>
    </comment>
  </commentList>
</comments>
</file>

<file path=xl/comments4.xml><?xml version="1.0" encoding="utf-8"?>
<comments xmlns="http://schemas.openxmlformats.org/spreadsheetml/2006/main">
  <authors>
    <author>Ruben Bos</author>
  </authors>
  <commentList>
    <comment ref="A38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 (is benchmark for RaRoRac)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(is for calc of Economic Profit)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We need to find the appropriate beta in the document (bcbs 291)
</t>
        </r>
      </text>
    </comment>
    <comment ref="K80" authorId="0" shapeId="0">
      <text>
        <r>
          <rPr>
            <b/>
            <sz val="9"/>
            <color indexed="81"/>
            <rFont val="Tahoma"/>
            <family val="2"/>
          </rPr>
          <t>Ruben Bos:</t>
        </r>
        <r>
          <rPr>
            <sz val="9"/>
            <color indexed="81"/>
            <rFont val="Tahoma"/>
            <family val="2"/>
          </rPr>
          <t xml:space="preserve">
Stated by BASEL II (bcbs291)
</t>
        </r>
      </text>
    </comment>
  </commentList>
</comments>
</file>

<file path=xl/sharedStrings.xml><?xml version="1.0" encoding="utf-8"?>
<sst xmlns="http://schemas.openxmlformats.org/spreadsheetml/2006/main" count="900" uniqueCount="150">
  <si>
    <t>PD (Rating)</t>
  </si>
  <si>
    <t>Risk premium</t>
  </si>
  <si>
    <t>Taxrate</t>
  </si>
  <si>
    <t>Facility_tpPrincipalLimit</t>
  </si>
  <si>
    <t>HurdleRate</t>
  </si>
  <si>
    <t>Facility_tpProductSelected</t>
  </si>
  <si>
    <t>Process costs</t>
  </si>
  <si>
    <t>Process costs (x € 1,-)</t>
  </si>
  <si>
    <t>Taxes (x € 1,-)</t>
  </si>
  <si>
    <t>Return (Absolute)</t>
  </si>
  <si>
    <t>RAROC</t>
  </si>
  <si>
    <t>Cost of funding</t>
  </si>
  <si>
    <t>Return (%)</t>
  </si>
  <si>
    <t>Calculated rate</t>
  </si>
  <si>
    <t>Used rate</t>
  </si>
  <si>
    <t>Premium</t>
  </si>
  <si>
    <t>Invoer door gebruiker</t>
  </si>
  <si>
    <t>Wordt berekend door model</t>
  </si>
  <si>
    <t>ToDo (variabele gemaakt, formule nog toepassen)</t>
  </si>
  <si>
    <t>Percentages</t>
  </si>
  <si>
    <t>Absolute bedragen</t>
  </si>
  <si>
    <t>ProcessCostsModelPercentage</t>
  </si>
  <si>
    <t>Facility_tpArrangementFee</t>
  </si>
  <si>
    <t>Facility_tpManagingFeeFacility</t>
  </si>
  <si>
    <t>Facility_tpFacilityFee</t>
  </si>
  <si>
    <t>Facility_tpUpfrontFee</t>
  </si>
  <si>
    <t>Facility_tpLGD</t>
  </si>
  <si>
    <t>Facility_tpEAD</t>
  </si>
  <si>
    <t>Facility_tpAverageDurationEL</t>
  </si>
  <si>
    <t>-/-</t>
  </si>
  <si>
    <t xml:space="preserve">+ </t>
  </si>
  <si>
    <t>ConfidenceLevel</t>
  </si>
  <si>
    <t>Correlation</t>
  </si>
  <si>
    <t>LGDMaximum</t>
  </si>
  <si>
    <t>LGDMinimum</t>
  </si>
  <si>
    <t>DurationMaximumAverage</t>
  </si>
  <si>
    <t>Economic Capital Credit Risk (IRB)</t>
  </si>
  <si>
    <t>AAA</t>
  </si>
  <si>
    <t>AA</t>
  </si>
  <si>
    <t>A</t>
  </si>
  <si>
    <t>BBB</t>
  </si>
  <si>
    <t>BB</t>
  </si>
  <si>
    <t>B</t>
  </si>
  <si>
    <t>Sovereign</t>
  </si>
  <si>
    <t>Bank1</t>
  </si>
  <si>
    <t>Bank2</t>
  </si>
  <si>
    <t>When HQ is used</t>
  </si>
  <si>
    <t>Residential</t>
  </si>
  <si>
    <t>AAA-</t>
  </si>
  <si>
    <t>AA+</t>
  </si>
  <si>
    <t>AA-</t>
  </si>
  <si>
    <t>A+</t>
  </si>
  <si>
    <t>A-</t>
  </si>
  <si>
    <t>BBB+</t>
  </si>
  <si>
    <t>BBB-</t>
  </si>
  <si>
    <t>EC = 0.08 * RWA(Amount*RiskWeight)</t>
  </si>
  <si>
    <t>Corporate</t>
  </si>
  <si>
    <t>Investment grade</t>
  </si>
  <si>
    <t>Non investment grade</t>
  </si>
  <si>
    <t>BB+</t>
  </si>
  <si>
    <t>BB-</t>
  </si>
  <si>
    <t>B+</t>
  </si>
  <si>
    <t>B-</t>
  </si>
  <si>
    <t>&lt;B</t>
  </si>
  <si>
    <t>RiskWeight</t>
  </si>
  <si>
    <t>Rating</t>
  </si>
  <si>
    <t xml:space="preserve">Counterparty </t>
  </si>
  <si>
    <t>Hovenier Groen</t>
  </si>
  <si>
    <t>NA</t>
  </si>
  <si>
    <t xml:space="preserve">Standard Approach for Credit Risk </t>
  </si>
  <si>
    <t xml:space="preserve">Standard Approach for Operational Risk </t>
  </si>
  <si>
    <t>A) Basic Indicator Approach (BIA)</t>
  </si>
  <si>
    <t>B) Standardized Approach</t>
  </si>
  <si>
    <t>Mortgages</t>
  </si>
  <si>
    <t>Retail banking</t>
  </si>
  <si>
    <t xml:space="preserve">Assest management </t>
  </si>
  <si>
    <t>Payments and settlements</t>
  </si>
  <si>
    <t xml:space="preserve">Y-3 </t>
  </si>
  <si>
    <t>Y-2</t>
  </si>
  <si>
    <t>Y-1</t>
  </si>
  <si>
    <t>Beta</t>
  </si>
  <si>
    <t>Gross Operating Income (GOI)</t>
  </si>
  <si>
    <t>(GOI) * Beta</t>
  </si>
  <si>
    <t>Business line</t>
  </si>
  <si>
    <t>Bank</t>
  </si>
  <si>
    <t>Treat negatives</t>
  </si>
  <si>
    <t xml:space="preserve">Capital requirement </t>
  </si>
  <si>
    <t>Average:</t>
  </si>
  <si>
    <t>Alpha</t>
  </si>
  <si>
    <t>Capital:</t>
  </si>
  <si>
    <t>Business Line</t>
  </si>
  <si>
    <t>Commercial Clients</t>
  </si>
  <si>
    <t>Economic Capital Operational Risk (BIA) (Method A)</t>
  </si>
  <si>
    <t>Economic Capital Operational Risk (STD) (Method B)</t>
  </si>
  <si>
    <t>Economic Capital (Choose method)</t>
  </si>
  <si>
    <t xml:space="preserve">Select method </t>
  </si>
  <si>
    <t>List of methods</t>
  </si>
  <si>
    <t>IRB</t>
  </si>
  <si>
    <t>STD</t>
  </si>
  <si>
    <t>RARORAC</t>
  </si>
  <si>
    <t>Expected Loss  (x € 1,-)</t>
  </si>
  <si>
    <t>Interest Expenses  (x € 1,-)</t>
  </si>
  <si>
    <t>EC ratio = Regulatory Cook Ratio (8%)</t>
  </si>
  <si>
    <t xml:space="preserve">Credit mitigation </t>
  </si>
  <si>
    <t>Credit Mitigation - Comprehensive approach</t>
  </si>
  <si>
    <t>Economic Capital Credit Risk (STD) (Simple)</t>
  </si>
  <si>
    <t>Economic Capital Credit Risk (STD) (Comprehensive)</t>
  </si>
  <si>
    <t>Exposure</t>
  </si>
  <si>
    <t>Haircut Exposure</t>
  </si>
  <si>
    <t>Collateral Value</t>
  </si>
  <si>
    <t xml:space="preserve">Haircut Collateral </t>
  </si>
  <si>
    <t xml:space="preserve">Haircut Currency </t>
  </si>
  <si>
    <t>Haircut Sovereign</t>
  </si>
  <si>
    <t>Haircut Other</t>
  </si>
  <si>
    <t>Maturity</t>
  </si>
  <si>
    <t>Debt securities</t>
  </si>
  <si>
    <t>Equity Index</t>
  </si>
  <si>
    <t>Other Index</t>
  </si>
  <si>
    <t xml:space="preserve">Cash in the same currency </t>
  </si>
  <si>
    <t>Mutual funds</t>
  </si>
  <si>
    <t>Collateral Value (EC-Value) issued by a bank</t>
  </si>
  <si>
    <t>ROC or EFA</t>
  </si>
  <si>
    <t>Name</t>
  </si>
  <si>
    <t>Search Option</t>
  </si>
  <si>
    <t>Exact</t>
  </si>
  <si>
    <t>RowIndex</t>
  </si>
  <si>
    <t>NoMatch</t>
  </si>
  <si>
    <t>SOV&gt;5Y</t>
  </si>
  <si>
    <t>SOV1to5Y</t>
  </si>
  <si>
    <t>SOV&lt;1Y</t>
  </si>
  <si>
    <t>OTHER&gt;5y</t>
  </si>
  <si>
    <t>OTHER1to5y</t>
  </si>
  <si>
    <t>OTHER&lt;1Y</t>
  </si>
  <si>
    <t>RiskWeightsSimpleApproach</t>
  </si>
  <si>
    <t>HairCuts</t>
  </si>
  <si>
    <t>AlphasOperationalRisks</t>
  </si>
  <si>
    <t>Collateral Counterparty Identity Class (12=Corporate)</t>
  </si>
  <si>
    <t>Counterparty Identity Class (12=Corporate)</t>
  </si>
  <si>
    <t>Return On Capital = Equity Funding Adjustment</t>
  </si>
  <si>
    <t>Risk free rate = 10 Y NL Governmentbond</t>
  </si>
  <si>
    <t>Interest Income (x € 1,-)</t>
  </si>
  <si>
    <t>CCC+</t>
  </si>
  <si>
    <t>CCC</t>
  </si>
  <si>
    <t>CCC-</t>
  </si>
  <si>
    <t>CC</t>
  </si>
  <si>
    <t>D</t>
  </si>
  <si>
    <t>Excel</t>
  </si>
  <si>
    <t xml:space="preserve">Ruben </t>
  </si>
  <si>
    <t>Economic Profit</t>
  </si>
  <si>
    <t xml:space="preserve">Target return on 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</si>
</sst>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0.0%"/>
    <numFmt numFmtId="166" formatCode="0.000%"/>
    <numFmt numFmtId="167" formatCode="0.0"/>
    <numFmt numFmtId="168" formatCode="_ &quot;€&quot;\ * #,##0.0_ ;_ &quot;€&quot;\ * \-#,##0.0_ ;_ &quot;€&quot;\ * &quot;-&quot;??_ ;_ @_ "/>
    <numFmt numFmtId="169" formatCode="0.0000%"/>
    <numFmt numFmtId="170" formatCode="0.000000"/>
    <numFmt numFmtId="171" formatCode="_ [$€-413]\ * #,##0.00_ ;_ [$€-413]\ * \-#,##0.00_ ;_ [$€-413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4">
    <xf numFmtId="0" fontId="0" fillId="0" borderId="0" xfId="0"/>
    <xf numFmtId="9" fontId="0" fillId="4" borderId="0" xfId="2" applyFont="1" applyFill="1"/>
    <xf numFmtId="164" fontId="0" fillId="4" borderId="0" xfId="1" applyNumberFormat="1" applyFont="1" applyFill="1"/>
    <xf numFmtId="10" fontId="0" fillId="4" borderId="0" xfId="2" applyNumberFormat="1" applyFont="1" applyFill="1"/>
    <xf numFmtId="166" fontId="0" fillId="4" borderId="0" xfId="2" applyNumberFormat="1" applyFont="1" applyFill="1"/>
    <xf numFmtId="166" fontId="0" fillId="5" borderId="0" xfId="2" applyNumberFormat="1" applyFont="1" applyFill="1"/>
    <xf numFmtId="0" fontId="2" fillId="2" borderId="0" xfId="3"/>
    <xf numFmtId="166" fontId="0" fillId="4" borderId="0" xfId="0" applyNumberFormat="1" applyFill="1"/>
    <xf numFmtId="9" fontId="0" fillId="4" borderId="0" xfId="0" applyNumberFormat="1" applyFill="1"/>
    <xf numFmtId="0" fontId="3" fillId="0" borderId="1" xfId="0" applyFont="1" applyBorder="1"/>
    <xf numFmtId="0" fontId="0" fillId="0" borderId="1" xfId="0" applyBorder="1"/>
    <xf numFmtId="0" fontId="0" fillId="5" borderId="0" xfId="0" applyFill="1"/>
    <xf numFmtId="0" fontId="3" fillId="0" borderId="0" xfId="0" applyFont="1" applyBorder="1"/>
    <xf numFmtId="0" fontId="0" fillId="0" borderId="0" xfId="0" quotePrefix="1"/>
    <xf numFmtId="166" fontId="0" fillId="5" borderId="1" xfId="2" applyNumberFormat="1" applyFont="1" applyFill="1" applyBorder="1"/>
    <xf numFmtId="0" fontId="0" fillId="0" borderId="0" xfId="0" quotePrefix="1" applyAlignment="1">
      <alignment horizontal="center"/>
    </xf>
    <xf numFmtId="10" fontId="1" fillId="5" borderId="0" xfId="4" applyNumberFormat="1" applyFill="1"/>
    <xf numFmtId="44" fontId="0" fillId="4" borderId="0" xfId="1" applyFont="1" applyFill="1"/>
    <xf numFmtId="164" fontId="1" fillId="5" borderId="0" xfId="4" applyNumberFormat="1" applyFill="1"/>
    <xf numFmtId="2" fontId="0" fillId="5" borderId="0" xfId="0" applyNumberFormat="1" applyFill="1"/>
    <xf numFmtId="165" fontId="0" fillId="4" borderId="0" xfId="0" applyNumberFormat="1" applyFill="1"/>
    <xf numFmtId="9" fontId="0" fillId="0" borderId="0" xfId="2" applyFont="1"/>
    <xf numFmtId="0" fontId="0" fillId="0" borderId="6" xfId="0" applyBorder="1"/>
    <xf numFmtId="0" fontId="3" fillId="0" borderId="0" xfId="0" applyFont="1" applyFill="1" applyBorder="1"/>
    <xf numFmtId="49" fontId="3" fillId="0" borderId="5" xfId="0" applyNumberFormat="1" applyFont="1" applyBorder="1"/>
    <xf numFmtId="0" fontId="0" fillId="7" borderId="0" xfId="0" applyFill="1"/>
    <xf numFmtId="164" fontId="1" fillId="7" borderId="0" xfId="4" applyNumberFormat="1" applyFill="1"/>
    <xf numFmtId="0" fontId="5" fillId="0" borderId="0" xfId="0" applyFont="1"/>
    <xf numFmtId="9" fontId="0" fillId="0" borderId="0" xfId="0" applyNumberFormat="1"/>
    <xf numFmtId="167" fontId="0" fillId="0" borderId="0" xfId="0" applyNumberFormat="1"/>
    <xf numFmtId="0" fontId="0" fillId="0" borderId="0" xfId="0" applyFill="1" applyBorder="1"/>
    <xf numFmtId="168" fontId="0" fillId="0" borderId="1" xfId="1" applyNumberFormat="1" applyFont="1" applyBorder="1"/>
    <xf numFmtId="168" fontId="0" fillId="0" borderId="0" xfId="1" applyNumberFormat="1" applyFont="1"/>
    <xf numFmtId="168" fontId="3" fillId="8" borderId="0" xfId="1" applyNumberFormat="1" applyFont="1" applyFill="1"/>
    <xf numFmtId="0" fontId="7" fillId="0" borderId="0" xfId="0" applyFont="1"/>
    <xf numFmtId="0" fontId="0" fillId="9" borderId="0" xfId="0" applyFill="1"/>
    <xf numFmtId="0" fontId="3" fillId="9" borderId="7" xfId="0" applyFont="1" applyFill="1" applyBorder="1"/>
    <xf numFmtId="16" fontId="0" fillId="0" borderId="0" xfId="0" quotePrefix="1" applyNumberFormat="1"/>
    <xf numFmtId="10" fontId="0" fillId="0" borderId="0" xfId="0" applyNumberFormat="1" applyFill="1"/>
    <xf numFmtId="10" fontId="0" fillId="0" borderId="0" xfId="2" applyNumberFormat="1" applyFont="1" applyFill="1"/>
    <xf numFmtId="0" fontId="0" fillId="0" borderId="1" xfId="0" quotePrefix="1" applyBorder="1" applyAlignment="1">
      <alignment horizontal="center"/>
    </xf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0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9" fontId="0" fillId="10" borderId="0" xfId="2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6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17" xfId="0" applyFont="1" applyFill="1" applyBorder="1"/>
    <xf numFmtId="9" fontId="0" fillId="10" borderId="12" xfId="2" applyFont="1" applyFill="1" applyBorder="1"/>
    <xf numFmtId="9" fontId="0" fillId="10" borderId="14" xfId="2" applyFont="1" applyFill="1" applyBorder="1"/>
    <xf numFmtId="9" fontId="0" fillId="10" borderId="15" xfId="2" applyFont="1" applyFill="1" applyBorder="1"/>
    <xf numFmtId="9" fontId="0" fillId="10" borderId="11" xfId="2" applyFont="1" applyFill="1" applyBorder="1"/>
    <xf numFmtId="9" fontId="0" fillId="10" borderId="13" xfId="2" applyFont="1" applyFill="1" applyBorder="1"/>
    <xf numFmtId="168" fontId="0" fillId="10" borderId="0" xfId="1" applyNumberFormat="1" applyFont="1" applyFill="1" applyBorder="1"/>
    <xf numFmtId="9" fontId="6" fillId="10" borderId="0" xfId="0" applyNumberFormat="1" applyFont="1" applyFill="1" applyBorder="1"/>
    <xf numFmtId="168" fontId="0" fillId="10" borderId="12" xfId="1" applyNumberFormat="1" applyFont="1" applyFill="1" applyBorder="1"/>
    <xf numFmtId="168" fontId="0" fillId="10" borderId="14" xfId="1" applyNumberFormat="1" applyFont="1" applyFill="1" applyBorder="1"/>
    <xf numFmtId="9" fontId="6" fillId="10" borderId="14" xfId="0" applyNumberFormat="1" applyFont="1" applyFill="1" applyBorder="1"/>
    <xf numFmtId="168" fontId="0" fillId="10" borderId="15" xfId="1" applyNumberFormat="1" applyFont="1" applyFill="1" applyBorder="1"/>
    <xf numFmtId="10" fontId="0" fillId="4" borderId="0" xfId="0" applyNumberFormat="1" applyFill="1"/>
    <xf numFmtId="166" fontId="0" fillId="0" borderId="0" xfId="2" applyNumberFormat="1" applyFont="1"/>
    <xf numFmtId="44" fontId="4" fillId="5" borderId="0" xfId="1" applyNumberFormat="1" applyFont="1" applyFill="1"/>
    <xf numFmtId="44" fontId="0" fillId="5" borderId="0" xfId="1" applyNumberFormat="1" applyFont="1" applyFill="1"/>
    <xf numFmtId="44" fontId="0" fillId="5" borderId="1" xfId="1" applyNumberFormat="1" applyFont="1" applyFill="1" applyBorder="1"/>
    <xf numFmtId="10" fontId="0" fillId="6" borderId="0" xfId="2" applyNumberFormat="1" applyFont="1" applyFill="1"/>
    <xf numFmtId="0" fontId="0" fillId="11" borderId="0" xfId="0" applyFont="1" applyFill="1" applyBorder="1"/>
    <xf numFmtId="170" fontId="0" fillId="11" borderId="0" xfId="0" applyNumberFormat="1" applyFont="1" applyFill="1"/>
    <xf numFmtId="1" fontId="0" fillId="11" borderId="0" xfId="0" applyNumberFormat="1" applyFont="1" applyFill="1" applyBorder="1"/>
    <xf numFmtId="170" fontId="0" fillId="11" borderId="0" xfId="0" applyNumberFormat="1" applyFont="1" applyFill="1" applyBorder="1"/>
    <xf numFmtId="166" fontId="0" fillId="0" borderId="0" xfId="2" applyNumberFormat="1" applyFont="1" applyFill="1"/>
    <xf numFmtId="169" fontId="0" fillId="0" borderId="0" xfId="2" applyNumberFormat="1" applyFont="1" applyFill="1"/>
    <xf numFmtId="166" fontId="0" fillId="5" borderId="0" xfId="0" applyNumberFormat="1" applyFill="1"/>
    <xf numFmtId="171" fontId="0" fillId="0" borderId="0" xfId="1" applyNumberFormat="1" applyFont="1"/>
    <xf numFmtId="0" fontId="0" fillId="4" borderId="0" xfId="0" applyFill="1"/>
  </cellXfs>
  <cellStyles count="5">
    <cellStyle name="40% - Accent4" xfId="4" builtinId="43"/>
    <cellStyle name="Currency" xfId="1" builtinId="4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81"/>
  <sheetViews>
    <sheetView tabSelected="1" zoomScale="70" zoomScaleNormal="70" workbookViewId="0">
      <selection activeCell="C23" sqref="C23"/>
    </sheetView>
  </sheetViews>
  <sheetFormatPr defaultRowHeight="15" x14ac:dyDescent="0.25"/>
  <cols>
    <col min="1" max="1" width="45.7109375" customWidth="1"/>
    <col min="2" max="2" width="14.140625" bestFit="1" customWidth="1"/>
    <col min="5" max="5" width="23.85546875" bestFit="1" customWidth="1"/>
    <col min="6" max="6" width="3.140625" customWidth="1"/>
    <col min="7" max="8" width="17.85546875" customWidth="1"/>
    <col min="9" max="9" width="12.28515625" customWidth="1"/>
    <col min="10" max="10" width="9.85546875" customWidth="1"/>
    <col min="11" max="16" width="12" customWidth="1"/>
    <col min="17" max="21" width="9" customWidth="1"/>
    <col min="30" max="40" width="9.140625" customWidth="1"/>
    <col min="41" max="41" width="10.5703125" customWidth="1"/>
    <col min="42" max="48" width="9.140625" customWidth="1"/>
  </cols>
  <sheetData>
    <row r="1" spans="1:42" ht="15.75" thickBot="1" x14ac:dyDescent="0.3">
      <c r="A1" s="35" t="s">
        <v>95</v>
      </c>
      <c r="B1" s="36" t="s">
        <v>98</v>
      </c>
    </row>
    <row r="2" spans="1:42" x14ac:dyDescent="0.25">
      <c r="J2" t="s">
        <v>104</v>
      </c>
      <c r="AJ2" t="s">
        <v>96</v>
      </c>
      <c r="AM2" t="s">
        <v>65</v>
      </c>
      <c r="AP2" t="s">
        <v>83</v>
      </c>
    </row>
    <row r="3" spans="1:42" x14ac:dyDescent="0.25">
      <c r="A3" t="s">
        <v>66</v>
      </c>
      <c r="B3" t="s">
        <v>67</v>
      </c>
      <c r="AD3" s="1" t="s">
        <v>16</v>
      </c>
      <c r="AJ3" t="s">
        <v>98</v>
      </c>
      <c r="AM3" t="s">
        <v>37</v>
      </c>
      <c r="AN3" s="75">
        <v>1</v>
      </c>
      <c r="AO3" s="76">
        <v>1.0000000000000001E-5</v>
      </c>
      <c r="AP3" t="s">
        <v>91</v>
      </c>
    </row>
    <row r="4" spans="1:42" x14ac:dyDescent="0.25">
      <c r="A4" t="s">
        <v>90</v>
      </c>
      <c r="B4" t="s">
        <v>91</v>
      </c>
      <c r="J4" t="s">
        <v>107</v>
      </c>
      <c r="AD4" s="1"/>
      <c r="AJ4" t="s">
        <v>97</v>
      </c>
      <c r="AM4" t="s">
        <v>49</v>
      </c>
      <c r="AN4" s="75">
        <v>2</v>
      </c>
      <c r="AO4" s="76">
        <v>2.0000000000000002E-5</v>
      </c>
      <c r="AP4" t="s">
        <v>74</v>
      </c>
    </row>
    <row r="5" spans="1:42" x14ac:dyDescent="0.25">
      <c r="A5" t="s">
        <v>137</v>
      </c>
      <c r="B5">
        <v>12</v>
      </c>
      <c r="J5" t="s">
        <v>108</v>
      </c>
      <c r="L5" s="3">
        <f>VLOOKUP($B$6,$J$16:$P$39,6,FALSE)</f>
        <v>0.04</v>
      </c>
      <c r="AD5" s="1"/>
      <c r="AM5" t="s">
        <v>38</v>
      </c>
      <c r="AN5" s="75">
        <v>3</v>
      </c>
      <c r="AO5" s="76">
        <v>4.0000000000000003E-5</v>
      </c>
      <c r="AP5" t="s">
        <v>73</v>
      </c>
    </row>
    <row r="6" spans="1:42" x14ac:dyDescent="0.25">
      <c r="A6" t="s">
        <v>65</v>
      </c>
      <c r="B6" s="24" t="s">
        <v>49</v>
      </c>
      <c r="AD6" s="5" t="s">
        <v>17</v>
      </c>
      <c r="AM6" t="s">
        <v>50</v>
      </c>
      <c r="AN6" s="75">
        <v>4</v>
      </c>
      <c r="AO6" s="76">
        <v>8.0000000000000007E-5</v>
      </c>
      <c r="AP6" t="s">
        <v>75</v>
      </c>
    </row>
    <row r="7" spans="1:42" x14ac:dyDescent="0.25">
      <c r="A7" t="s">
        <v>0</v>
      </c>
      <c r="B7" s="79">
        <f>VLOOKUP(B6,$AM$3:$AO$23,3,FALSE)</f>
        <v>2.0000000000000002E-5</v>
      </c>
      <c r="E7" s="9" t="s">
        <v>19</v>
      </c>
      <c r="F7" s="12"/>
      <c r="G7" t="s">
        <v>146</v>
      </c>
      <c r="H7" t="s">
        <v>147</v>
      </c>
      <c r="J7" t="s">
        <v>109</v>
      </c>
      <c r="AD7" s="6" t="s">
        <v>18</v>
      </c>
      <c r="AM7" t="s">
        <v>51</v>
      </c>
      <c r="AN7" s="75">
        <v>5</v>
      </c>
      <c r="AO7" s="76">
        <v>1E-4</v>
      </c>
      <c r="AP7" t="s">
        <v>76</v>
      </c>
    </row>
    <row r="8" spans="1:42" x14ac:dyDescent="0.25">
      <c r="A8" t="s">
        <v>64</v>
      </c>
      <c r="B8" s="39">
        <f>HLOOKUP($B$6,I47:AB58,B5,FALSE)</f>
        <v>0.2</v>
      </c>
      <c r="E8" s="12"/>
      <c r="F8" s="12"/>
      <c r="J8" t="s">
        <v>110</v>
      </c>
      <c r="L8" s="3">
        <f>VLOOKUP($B$19,$J$16:$P$39,6,FALSE)</f>
        <v>0.04</v>
      </c>
      <c r="AD8" s="6"/>
      <c r="AM8" t="s">
        <v>39</v>
      </c>
      <c r="AN8" s="75">
        <v>6</v>
      </c>
      <c r="AO8" s="76">
        <v>2.0000000000000001E-4</v>
      </c>
      <c r="AP8" t="s">
        <v>84</v>
      </c>
    </row>
    <row r="9" spans="1:42" x14ac:dyDescent="0.25">
      <c r="A9" t="s">
        <v>5</v>
      </c>
      <c r="B9" s="6">
        <v>1</v>
      </c>
      <c r="E9" t="s">
        <v>11</v>
      </c>
      <c r="F9" s="15" t="s">
        <v>30</v>
      </c>
      <c r="G9" s="4">
        <v>4.2000000000000003E-2</v>
      </c>
      <c r="H9" s="4">
        <f>Facility_tpFunding</f>
        <v>4.2000000000000003E-2</v>
      </c>
      <c r="I9" s="4"/>
      <c r="J9" t="s">
        <v>111</v>
      </c>
      <c r="L9">
        <v>0</v>
      </c>
      <c r="AM9" t="s">
        <v>52</v>
      </c>
      <c r="AN9" s="75">
        <v>7</v>
      </c>
      <c r="AO9" s="76">
        <v>4.0000000000000002E-4</v>
      </c>
      <c r="AP9" t="s">
        <v>85</v>
      </c>
    </row>
    <row r="10" spans="1:42" x14ac:dyDescent="0.25">
      <c r="A10" t="s">
        <v>3</v>
      </c>
      <c r="B10" s="2">
        <v>10000</v>
      </c>
      <c r="E10" t="s">
        <v>1</v>
      </c>
      <c r="F10" s="15" t="s">
        <v>30</v>
      </c>
      <c r="G10" s="5">
        <f>IF((Facility_tpProductSelected=1),(((HurdleRate*Facility_tpEC)-(1-Taxrate)*(Facility_tpFunding*Facility_tpEC-(Facility_tpEL)))/(Facility_tpPrincipalLimit*(1-Taxrate))))</f>
        <v>1.52748E-2</v>
      </c>
      <c r="H10" s="81">
        <f>(Facility_tpECRatio*Facility_tpEC)/Facility_tpPrincipalLimit</f>
        <v>2.1056000000000002E-2</v>
      </c>
      <c r="AM10" t="s">
        <v>53</v>
      </c>
      <c r="AN10" s="77">
        <v>8</v>
      </c>
      <c r="AO10" s="78">
        <v>8.9999999999999998E-4</v>
      </c>
    </row>
    <row r="11" spans="1:42" x14ac:dyDescent="0.25">
      <c r="A11" t="s">
        <v>22</v>
      </c>
      <c r="B11" s="17">
        <v>25</v>
      </c>
      <c r="E11" t="s">
        <v>6</v>
      </c>
      <c r="F11" s="15" t="s">
        <v>30</v>
      </c>
      <c r="G11" s="5">
        <f>IFERROR(Facility_tpUsedRate-Facility_tpRiskPremium-Facility_tpReturnPercentage-Facility_tpFunding,NA)</f>
        <v>7.3815999999999951E-3</v>
      </c>
      <c r="H11" s="5">
        <f>H13-H12-H10-H9</f>
        <v>1.6003999999999949E-3</v>
      </c>
      <c r="AM11" t="s">
        <v>40</v>
      </c>
      <c r="AN11" s="77">
        <v>9</v>
      </c>
      <c r="AO11" s="78">
        <v>1.6999999999999999E-3</v>
      </c>
    </row>
    <row r="12" spans="1:42" x14ac:dyDescent="0.25">
      <c r="A12" t="s">
        <v>23</v>
      </c>
      <c r="B12" s="17">
        <v>0</v>
      </c>
      <c r="E12" t="s">
        <v>12</v>
      </c>
      <c r="F12" s="15" t="s">
        <v>30</v>
      </c>
      <c r="G12" s="14">
        <f>IFERROR((Facility_tpReturnAbsolute)/(Facility_tpPrincipalLimit*(1-Taxrate)),NA)</f>
        <v>1.8643599999999996E-2</v>
      </c>
      <c r="H12" s="14">
        <f>IFERROR((H32)/(Facility_tpPrincipalLimit*(1-Taxrate)),NA)</f>
        <v>2.632E-2</v>
      </c>
      <c r="AM12" t="s">
        <v>54</v>
      </c>
      <c r="AN12" s="77">
        <v>10</v>
      </c>
      <c r="AO12" s="78">
        <v>4.1999999999999997E-3</v>
      </c>
    </row>
    <row r="13" spans="1:42" x14ac:dyDescent="0.25">
      <c r="A13" t="s">
        <v>24</v>
      </c>
      <c r="B13" s="17">
        <v>0</v>
      </c>
      <c r="E13" t="s">
        <v>13</v>
      </c>
      <c r="G13" s="5">
        <f>IF(Facility_tpProductSelected=1,IFERROR(((RendementseisBank*Facility_tpEC)-(1-Taxrate)*(Facility_tpFunding*Facility_tpEC-(Facility_tpEL+Facility_tpProcessCostsAbsolute)))/(Facility_tpPrincipalLimit*(1-Taxrate))+Facility_tpFunding,NA),NA)</f>
        <v>8.3343600000000004E-2</v>
      </c>
      <c r="H13" s="5">
        <f>H25/Facility_tpPrincipalLimit</f>
        <v>9.0976399999999999E-2</v>
      </c>
      <c r="AM13" t="s">
        <v>59</v>
      </c>
      <c r="AN13" s="77">
        <v>11</v>
      </c>
      <c r="AO13" s="78">
        <v>8.6999999999999994E-3</v>
      </c>
    </row>
    <row r="14" spans="1:42" x14ac:dyDescent="0.25">
      <c r="A14" t="s">
        <v>25</v>
      </c>
      <c r="B14" s="17">
        <v>0</v>
      </c>
      <c r="E14" t="s">
        <v>14</v>
      </c>
      <c r="G14" s="7">
        <v>8.3299999999999999E-2</v>
      </c>
      <c r="H14" s="4">
        <f>H13</f>
        <v>9.0976399999999999E-2</v>
      </c>
      <c r="J14" t="s">
        <v>115</v>
      </c>
      <c r="AM14" t="s">
        <v>41</v>
      </c>
      <c r="AN14" s="77">
        <v>12</v>
      </c>
      <c r="AO14" s="78">
        <v>1.5599999999999999E-2</v>
      </c>
    </row>
    <row r="15" spans="1:42" x14ac:dyDescent="0.25">
      <c r="E15" t="s">
        <v>15</v>
      </c>
      <c r="G15" s="5">
        <f xml:space="preserve"> Facility_tpUsedRate - Facility_tpFunding</f>
        <v>4.1299999999999996E-2</v>
      </c>
      <c r="H15" s="5">
        <f>H13-H9</f>
        <v>4.8976399999999996E-2</v>
      </c>
      <c r="J15" t="s">
        <v>65</v>
      </c>
      <c r="K15" t="s">
        <v>112</v>
      </c>
      <c r="N15" t="s">
        <v>113</v>
      </c>
      <c r="AM15" t="s">
        <v>60</v>
      </c>
      <c r="AN15" s="77">
        <v>13</v>
      </c>
      <c r="AO15" s="78">
        <v>2.81E-2</v>
      </c>
    </row>
    <row r="16" spans="1:42" ht="15.75" thickBot="1" x14ac:dyDescent="0.3">
      <c r="A16" t="s">
        <v>103</v>
      </c>
      <c r="G16" s="5"/>
      <c r="H16" s="11"/>
      <c r="J16" t="s">
        <v>114</v>
      </c>
      <c r="K16" t="s">
        <v>129</v>
      </c>
      <c r="L16" s="37" t="s">
        <v>128</v>
      </c>
      <c r="M16" t="s">
        <v>127</v>
      </c>
      <c r="N16" t="s">
        <v>132</v>
      </c>
      <c r="O16" s="37" t="s">
        <v>131</v>
      </c>
      <c r="P16" t="s">
        <v>130</v>
      </c>
      <c r="AM16" t="s">
        <v>61</v>
      </c>
      <c r="AN16" s="77">
        <v>14</v>
      </c>
      <c r="AO16" s="78">
        <v>4.6800000000000001E-2</v>
      </c>
    </row>
    <row r="17" spans="1:41" x14ac:dyDescent="0.25">
      <c r="A17" t="s">
        <v>120</v>
      </c>
      <c r="B17" s="2">
        <v>0</v>
      </c>
      <c r="G17" s="5"/>
      <c r="H17" s="11"/>
      <c r="J17" s="41" t="s">
        <v>122</v>
      </c>
      <c r="K17" s="42" t="s">
        <v>134</v>
      </c>
      <c r="L17" s="42"/>
      <c r="M17" s="42"/>
      <c r="N17" s="42"/>
      <c r="O17" s="42"/>
      <c r="P17" s="43"/>
      <c r="AM17" t="s">
        <v>42</v>
      </c>
      <c r="AN17" s="77">
        <v>15</v>
      </c>
      <c r="AO17" s="78">
        <v>7.1599999999999997E-2</v>
      </c>
    </row>
    <row r="18" spans="1:41" x14ac:dyDescent="0.25">
      <c r="A18" t="s">
        <v>136</v>
      </c>
      <c r="B18">
        <v>12</v>
      </c>
      <c r="G18" s="5"/>
      <c r="H18" s="11"/>
      <c r="J18" s="44" t="s">
        <v>123</v>
      </c>
      <c r="K18" s="45" t="s">
        <v>124</v>
      </c>
      <c r="L18" s="45"/>
      <c r="M18" s="45"/>
      <c r="N18" s="45"/>
      <c r="O18" s="45"/>
      <c r="P18" s="46"/>
      <c r="AM18" t="s">
        <v>62</v>
      </c>
      <c r="AN18" s="77">
        <v>16</v>
      </c>
      <c r="AO18" s="78">
        <v>0.1162</v>
      </c>
    </row>
    <row r="19" spans="1:41" x14ac:dyDescent="0.25">
      <c r="A19" t="s">
        <v>65</v>
      </c>
      <c r="B19" s="24" t="s">
        <v>49</v>
      </c>
      <c r="G19" s="5"/>
      <c r="H19" s="11"/>
      <c r="J19" s="44" t="s">
        <v>125</v>
      </c>
      <c r="K19" s="45">
        <v>1</v>
      </c>
      <c r="L19" s="45">
        <v>2</v>
      </c>
      <c r="M19" s="45">
        <v>3</v>
      </c>
      <c r="N19" s="45">
        <v>4</v>
      </c>
      <c r="O19" s="45">
        <v>5</v>
      </c>
      <c r="P19" s="46">
        <v>6</v>
      </c>
      <c r="AM19" t="s">
        <v>141</v>
      </c>
      <c r="AN19" s="77">
        <v>17</v>
      </c>
      <c r="AO19" s="78">
        <v>0.154</v>
      </c>
    </row>
    <row r="20" spans="1:41" x14ac:dyDescent="0.25">
      <c r="A20" t="s">
        <v>0</v>
      </c>
      <c r="B20" s="80">
        <f>VLOOKUP(B19,$AM$3:$AO$23,3,FALSE)</f>
        <v>2.0000000000000002E-5</v>
      </c>
      <c r="G20" s="5"/>
      <c r="H20" s="11"/>
      <c r="J20" s="44" t="s">
        <v>126</v>
      </c>
      <c r="K20" s="45">
        <v>0.15</v>
      </c>
      <c r="L20" s="45">
        <v>0.15</v>
      </c>
      <c r="M20" s="45">
        <v>0.15</v>
      </c>
      <c r="N20" s="45">
        <v>0.15</v>
      </c>
      <c r="O20" s="45">
        <v>0.15</v>
      </c>
      <c r="P20" s="46">
        <v>0.15</v>
      </c>
      <c r="AM20" t="s">
        <v>142</v>
      </c>
      <c r="AN20" s="77">
        <v>18</v>
      </c>
      <c r="AO20" s="78">
        <v>0.17380000000000001</v>
      </c>
    </row>
    <row r="21" spans="1:41" x14ac:dyDescent="0.25">
      <c r="A21" t="s">
        <v>64</v>
      </c>
      <c r="B21" s="39">
        <f>HLOOKUP($B$19,J47:AC58,B18,FALSE)</f>
        <v>0.2</v>
      </c>
      <c r="J21" s="44" t="s">
        <v>68</v>
      </c>
      <c r="K21" s="45">
        <v>0.15</v>
      </c>
      <c r="L21" s="45">
        <v>0.15</v>
      </c>
      <c r="M21" s="45">
        <v>0.15</v>
      </c>
      <c r="N21" s="45">
        <v>0.15</v>
      </c>
      <c r="O21" s="45">
        <v>0.15</v>
      </c>
      <c r="P21" s="46">
        <v>0.15</v>
      </c>
      <c r="AM21" t="s">
        <v>143</v>
      </c>
      <c r="AN21" s="77">
        <v>19</v>
      </c>
      <c r="AO21" s="78">
        <v>0.215</v>
      </c>
    </row>
    <row r="22" spans="1:41" x14ac:dyDescent="0.25">
      <c r="J22" s="44" t="s">
        <v>37</v>
      </c>
      <c r="K22" s="45">
        <v>5.0000000000000001E-3</v>
      </c>
      <c r="L22" s="45">
        <v>0.02</v>
      </c>
      <c r="M22" s="45">
        <v>0.04</v>
      </c>
      <c r="N22" s="45">
        <v>0.01</v>
      </c>
      <c r="O22" s="45">
        <v>0.04</v>
      </c>
      <c r="P22" s="46">
        <v>0.08</v>
      </c>
      <c r="AM22" t="s">
        <v>144</v>
      </c>
      <c r="AN22" s="77">
        <v>20</v>
      </c>
      <c r="AO22" s="78">
        <v>0.26</v>
      </c>
    </row>
    <row r="23" spans="1:41" x14ac:dyDescent="0.25">
      <c r="J23" s="44" t="s">
        <v>49</v>
      </c>
      <c r="K23" s="45">
        <v>5.0000000000000001E-3</v>
      </c>
      <c r="L23" s="45">
        <v>0.02</v>
      </c>
      <c r="M23" s="45">
        <v>0.04</v>
      </c>
      <c r="N23" s="45">
        <v>0.01</v>
      </c>
      <c r="O23" s="45">
        <v>0.04</v>
      </c>
      <c r="P23" s="46">
        <v>0.08</v>
      </c>
      <c r="AM23" t="s">
        <v>145</v>
      </c>
      <c r="AN23" s="77">
        <v>21</v>
      </c>
      <c r="AO23" s="75">
        <v>1</v>
      </c>
    </row>
    <row r="24" spans="1:41" x14ac:dyDescent="0.25">
      <c r="E24" s="9" t="s">
        <v>20</v>
      </c>
      <c r="F24" s="9"/>
      <c r="G24" s="10"/>
      <c r="J24" s="44" t="s">
        <v>38</v>
      </c>
      <c r="K24" s="45">
        <v>5.0000000000000001E-3</v>
      </c>
      <c r="L24" s="45">
        <v>0.02</v>
      </c>
      <c r="M24" s="45">
        <v>0.04</v>
      </c>
      <c r="N24" s="45">
        <v>0.01</v>
      </c>
      <c r="O24" s="45">
        <v>0.04</v>
      </c>
      <c r="P24" s="46">
        <v>0.08</v>
      </c>
    </row>
    <row r="25" spans="1:41" x14ac:dyDescent="0.25">
      <c r="A25" t="s">
        <v>94</v>
      </c>
      <c r="B25" s="18">
        <f>IF(B1="STD",B28+B30,B26+B30)</f>
        <v>2632</v>
      </c>
      <c r="E25" t="s">
        <v>140</v>
      </c>
      <c r="F25" s="15" t="s">
        <v>30</v>
      </c>
      <c r="G25" s="72">
        <f>IFERROR((Facility_tpUsedRate)*Facility_tpPrincipalLimit,NA)</f>
        <v>833</v>
      </c>
      <c r="H25">
        <f>H32-H31+H28+H27+H26</f>
        <v>909.76400000000001</v>
      </c>
      <c r="J25" s="44" t="s">
        <v>50</v>
      </c>
      <c r="K25" s="45">
        <v>5.0000000000000001E-3</v>
      </c>
      <c r="L25" s="45">
        <v>0.02</v>
      </c>
      <c r="M25" s="45">
        <v>0.04</v>
      </c>
      <c r="N25" s="45">
        <v>0.01</v>
      </c>
      <c r="O25" s="45">
        <v>0.04</v>
      </c>
      <c r="P25" s="46">
        <v>0.08</v>
      </c>
    </row>
    <row r="26" spans="1:41" x14ac:dyDescent="0.25">
      <c r="A26" t="s">
        <v>36</v>
      </c>
      <c r="B26" s="18">
        <f>MAX(0,IFERROR(Facility_tpAverageDurationEL*(Facility_tpEAD*Facility_tpLGD*NORMSDIST((NORMSINV(Facility_tpPD)+(Correlation^0.5)*NORMSINV(ConfidenceLevel))/((1-Correlation)^0.5))-Facility_tpEL) * 1.06,NA))</f>
        <v>7.0399339483772172</v>
      </c>
      <c r="E26" t="s">
        <v>101</v>
      </c>
      <c r="F26" s="13" t="s">
        <v>29</v>
      </c>
      <c r="G26" s="72">
        <f>MAX(IFERROR(Facility_tpPrincipalLimit*Facility_tpFunding,NA),0)</f>
        <v>420</v>
      </c>
      <c r="H26">
        <f>Facility_tpInterestExpenses</f>
        <v>420</v>
      </c>
      <c r="J26" s="44" t="s">
        <v>51</v>
      </c>
      <c r="K26" s="45">
        <v>0.01</v>
      </c>
      <c r="L26" s="45">
        <v>0.03</v>
      </c>
      <c r="M26" s="45">
        <v>0.06</v>
      </c>
      <c r="N26" s="45">
        <v>0.02</v>
      </c>
      <c r="O26" s="45">
        <v>0.06</v>
      </c>
      <c r="P26" s="46">
        <v>0.12</v>
      </c>
    </row>
    <row r="27" spans="1:41" x14ac:dyDescent="0.25">
      <c r="A27" s="25" t="s">
        <v>105</v>
      </c>
      <c r="B27" s="26">
        <f>Facility_tpECRatio*(RiskWeight*(Facility_tpPrincipalLimit-CollateralValue)+RiskWeightGuarantor*CollateralValue)</f>
        <v>160</v>
      </c>
      <c r="E27" t="s">
        <v>7</v>
      </c>
      <c r="F27" s="13" t="s">
        <v>29</v>
      </c>
      <c r="G27" s="72">
        <f xml:space="preserve"> MAX(0,IFERROR(ProcessCostsModelPercentage*Facility_tpPrincipalLimit - Facility_tpArrangementFee - Facility_tpManagingFeeFacility - Facility_tpFacilityFee - Facility_tpUpfrontFee,NA))</f>
        <v>237</v>
      </c>
      <c r="H27">
        <f>Facility_tpProcessCostsAbsolute</f>
        <v>237</v>
      </c>
      <c r="J27" s="44" t="s">
        <v>39</v>
      </c>
      <c r="K27" s="45">
        <v>0.01</v>
      </c>
      <c r="L27" s="45">
        <v>0.03</v>
      </c>
      <c r="M27" s="45">
        <v>0.06</v>
      </c>
      <c r="N27" s="45">
        <v>0.02</v>
      </c>
      <c r="O27" s="45">
        <v>0.06</v>
      </c>
      <c r="P27" s="46">
        <v>0.12</v>
      </c>
    </row>
    <row r="28" spans="1:41" x14ac:dyDescent="0.25">
      <c r="A28" s="25" t="s">
        <v>106</v>
      </c>
      <c r="B28" s="26">
        <f>Facility_tpECRatio*(Facility_tpPrincipalLimit*(1+H)-CollateralValue*(1-Hc-Hfx))</f>
        <v>832</v>
      </c>
      <c r="E28" t="s">
        <v>100</v>
      </c>
      <c r="F28" s="13" t="s">
        <v>29</v>
      </c>
      <c r="G28" s="72">
        <f>MAX(IFERROR(Facility_tpAverageDurationEL*Facility_tpEAD*Facility_tpLGD*Facility_tpPD,NA),0)</f>
        <v>9.2000000000000012E-2</v>
      </c>
      <c r="H28">
        <f>Facility_tpEL</f>
        <v>9.2000000000000012E-2</v>
      </c>
      <c r="J28" s="44" t="s">
        <v>52</v>
      </c>
      <c r="K28" s="45">
        <v>0.01</v>
      </c>
      <c r="L28" s="45">
        <v>0.03</v>
      </c>
      <c r="M28" s="45">
        <v>0.06</v>
      </c>
      <c r="N28" s="45">
        <v>0.02</v>
      </c>
      <c r="O28" s="45">
        <v>0.06</v>
      </c>
      <c r="P28" s="46">
        <v>0.12</v>
      </c>
    </row>
    <row r="29" spans="1:41" x14ac:dyDescent="0.25">
      <c r="A29" s="25" t="s">
        <v>92</v>
      </c>
      <c r="B29" s="26">
        <f>Facility_tpPrincipalLimit*Alpha</f>
        <v>1500</v>
      </c>
      <c r="F29" s="13"/>
      <c r="G29" s="72"/>
      <c r="J29" s="44" t="s">
        <v>53</v>
      </c>
      <c r="K29" s="45">
        <v>0.01</v>
      </c>
      <c r="L29" s="45">
        <v>0.03</v>
      </c>
      <c r="M29" s="45">
        <v>0.06</v>
      </c>
      <c r="N29" s="45">
        <v>0.02</v>
      </c>
      <c r="O29" s="45">
        <v>0.06</v>
      </c>
      <c r="P29" s="46">
        <v>0.12</v>
      </c>
    </row>
    <row r="30" spans="1:41" x14ac:dyDescent="0.25">
      <c r="A30" s="25" t="s">
        <v>93</v>
      </c>
      <c r="B30" s="26">
        <f>VLOOKUP($B$4,H72:L76,5,FALSE)*Facility_tpPrincipalLimit</f>
        <v>1800</v>
      </c>
      <c r="E30" t="s">
        <v>8</v>
      </c>
      <c r="F30" s="13" t="s">
        <v>29</v>
      </c>
      <c r="G30" s="72">
        <f>MAX(0,(Facility_tpInterestIncome-Facility_tpProcessCostsAbsolute-Facility_tpEL)*Taxrate)</f>
        <v>0</v>
      </c>
      <c r="J30" s="44" t="s">
        <v>40</v>
      </c>
      <c r="K30" s="45">
        <v>0.01</v>
      </c>
      <c r="L30" s="45">
        <v>0.03</v>
      </c>
      <c r="M30" s="45">
        <v>0.06</v>
      </c>
      <c r="N30" s="45">
        <v>0.02</v>
      </c>
      <c r="O30" s="45">
        <v>0.06</v>
      </c>
      <c r="P30" s="46">
        <v>0.12</v>
      </c>
    </row>
    <row r="31" spans="1:41" x14ac:dyDescent="0.25">
      <c r="A31" t="s">
        <v>26</v>
      </c>
      <c r="B31" s="74">
        <v>0.46</v>
      </c>
      <c r="E31" s="10" t="s">
        <v>121</v>
      </c>
      <c r="F31" s="40" t="s">
        <v>30</v>
      </c>
      <c r="G31" s="73">
        <f>Facility_tpEC*B47</f>
        <v>10.528</v>
      </c>
      <c r="H31">
        <f>Facility_tpReturnOnCapital</f>
        <v>10.528</v>
      </c>
      <c r="J31" s="44" t="s">
        <v>54</v>
      </c>
      <c r="K31" s="45">
        <v>0.01</v>
      </c>
      <c r="L31" s="45">
        <v>0.03</v>
      </c>
      <c r="M31" s="45">
        <v>0.06</v>
      </c>
      <c r="N31" s="45">
        <v>0.02</v>
      </c>
      <c r="O31" s="45">
        <v>0.06</v>
      </c>
      <c r="P31" s="46">
        <v>0.12</v>
      </c>
    </row>
    <row r="32" spans="1:41" x14ac:dyDescent="0.25">
      <c r="A32" t="s">
        <v>27</v>
      </c>
      <c r="B32" s="18">
        <f xml:space="preserve"> Facility_tpPrincipalLimit</f>
        <v>10000</v>
      </c>
      <c r="E32" t="s">
        <v>9</v>
      </c>
      <c r="G32" s="71">
        <f>IFERROR(Facility_tpInterestIncome-Facility_tpInterestExpenses-Facility_tpProcessCostsAbsolute-Facility_tpEL-Facility_tpTax+Facility_tpReturnOnCapital,NA)</f>
        <v>186.43599999999998</v>
      </c>
      <c r="H32">
        <f>Facility_tpEC*HurdleRate</f>
        <v>263.2</v>
      </c>
      <c r="J32" s="44" t="s">
        <v>59</v>
      </c>
      <c r="K32" s="45">
        <v>0.15</v>
      </c>
      <c r="L32" s="45">
        <v>0.15</v>
      </c>
      <c r="M32" s="45">
        <v>0.15</v>
      </c>
      <c r="N32" s="45">
        <v>0.15</v>
      </c>
      <c r="O32" s="45">
        <v>0.15</v>
      </c>
      <c r="P32" s="46">
        <v>0.15</v>
      </c>
    </row>
    <row r="33" spans="1:28" x14ac:dyDescent="0.25">
      <c r="A33" t="s">
        <v>28</v>
      </c>
      <c r="B33" s="19">
        <v>1</v>
      </c>
      <c r="E33" t="s">
        <v>10</v>
      </c>
      <c r="G33" s="16">
        <f xml:space="preserve"> IF(Facility_tpProductSelected=1,IFERROR(Facility_tpReturnAbsolute/Facility_tpEC,NA),NA)</f>
        <v>7.0834346504559262E-2</v>
      </c>
      <c r="H33" s="21">
        <f>H32/Facility_tpEC</f>
        <v>9.9999999999999992E-2</v>
      </c>
      <c r="J33" s="44" t="s">
        <v>41</v>
      </c>
      <c r="K33" s="45">
        <v>0.15</v>
      </c>
      <c r="L33" s="45">
        <v>0.15</v>
      </c>
      <c r="M33" s="45">
        <v>0.15</v>
      </c>
      <c r="N33" s="45">
        <v>0.15</v>
      </c>
      <c r="O33" s="45">
        <v>0.15</v>
      </c>
      <c r="P33" s="46">
        <v>0.15</v>
      </c>
    </row>
    <row r="34" spans="1:28" x14ac:dyDescent="0.25">
      <c r="B34">
        <f>Facility_tpAverageDurationEL*Facility_tpEAD*Facility_tpLGD*Facility_tpPD</f>
        <v>9.2000000000000012E-2</v>
      </c>
      <c r="E34" t="s">
        <v>99</v>
      </c>
      <c r="G34" s="16">
        <f xml:space="preserve"> IF(Facility_tpProductSelected=1,IFERROR(Facility_tpReturnAbsolute/Facility_tpEC,NA),NA)</f>
        <v>7.0834346504559262E-2</v>
      </c>
      <c r="J34" s="44" t="s">
        <v>60</v>
      </c>
      <c r="K34" s="45">
        <v>0.15</v>
      </c>
      <c r="L34" s="45">
        <v>0.15</v>
      </c>
      <c r="M34" s="45">
        <v>0.15</v>
      </c>
      <c r="N34" s="45">
        <v>0.15</v>
      </c>
      <c r="O34" s="45">
        <v>0.15</v>
      </c>
      <c r="P34" s="46">
        <v>0.15</v>
      </c>
    </row>
    <row r="35" spans="1:28" x14ac:dyDescent="0.25">
      <c r="J35" s="44" t="s">
        <v>61</v>
      </c>
      <c r="K35" s="45">
        <v>0.15</v>
      </c>
      <c r="L35" s="45">
        <v>0.15</v>
      </c>
      <c r="M35" s="45">
        <v>0.15</v>
      </c>
      <c r="N35" s="45">
        <v>0.15</v>
      </c>
      <c r="O35" s="45">
        <v>0.15</v>
      </c>
      <c r="P35" s="46">
        <v>0.15</v>
      </c>
    </row>
    <row r="36" spans="1:28" x14ac:dyDescent="0.25">
      <c r="A36" t="s">
        <v>102</v>
      </c>
      <c r="B36" s="1">
        <v>0.08</v>
      </c>
      <c r="E36" t="s">
        <v>148</v>
      </c>
      <c r="G36" s="82">
        <f>(Facility_tpRAROC-HurdleRate)*Facility_tpEC</f>
        <v>-76.764000000000038</v>
      </c>
      <c r="H36" s="82">
        <f>(H33-HurdleRate)*Facility_tpEC</f>
        <v>-3.652633751016765E-14</v>
      </c>
      <c r="J36" s="44" t="s">
        <v>42</v>
      </c>
      <c r="K36" s="45">
        <v>0.15</v>
      </c>
      <c r="L36" s="45">
        <v>0.15</v>
      </c>
      <c r="M36" s="45">
        <v>0.15</v>
      </c>
      <c r="N36" s="45">
        <v>0.15</v>
      </c>
      <c r="O36" s="45">
        <v>0.15</v>
      </c>
      <c r="P36" s="46">
        <v>0.15</v>
      </c>
    </row>
    <row r="37" spans="1:28" ht="15.75" thickBot="1" x14ac:dyDescent="0.3">
      <c r="A37" t="s">
        <v>2</v>
      </c>
      <c r="B37" s="1">
        <v>0</v>
      </c>
      <c r="J37" s="47" t="s">
        <v>62</v>
      </c>
      <c r="K37" s="48">
        <v>0.15</v>
      </c>
      <c r="L37" s="48">
        <v>0.15</v>
      </c>
      <c r="M37" s="48">
        <v>0.15</v>
      </c>
      <c r="N37" s="48">
        <v>0.15</v>
      </c>
      <c r="O37" s="48">
        <v>0.15</v>
      </c>
      <c r="P37" s="49">
        <v>0.15</v>
      </c>
    </row>
    <row r="38" spans="1:28" x14ac:dyDescent="0.25">
      <c r="A38" t="s">
        <v>4</v>
      </c>
      <c r="B38" s="1">
        <v>0.1</v>
      </c>
    </row>
    <row r="39" spans="1:28" x14ac:dyDescent="0.25">
      <c r="A39" t="s">
        <v>149</v>
      </c>
      <c r="B39" s="20">
        <v>0.109</v>
      </c>
      <c r="J39" t="s">
        <v>116</v>
      </c>
      <c r="L39">
        <v>0.15</v>
      </c>
    </row>
    <row r="40" spans="1:28" x14ac:dyDescent="0.25">
      <c r="A40" t="s">
        <v>31</v>
      </c>
      <c r="B40" s="69">
        <v>0.999</v>
      </c>
      <c r="J40" t="s">
        <v>117</v>
      </c>
      <c r="L40">
        <v>0.25</v>
      </c>
    </row>
    <row r="41" spans="1:28" x14ac:dyDescent="0.25">
      <c r="A41" t="s">
        <v>32</v>
      </c>
      <c r="B41" s="19">
        <f>0.12*(1-EXP(-50*Facility_tpPD))/(1-EXP(-50))+0.24*((1-(1-EXP(-50*Facility_tpPD))/(1-EXP(-50))))</f>
        <v>0.239880059980005</v>
      </c>
      <c r="J41" t="s">
        <v>119</v>
      </c>
      <c r="L41">
        <v>0.25</v>
      </c>
    </row>
    <row r="42" spans="1:28" x14ac:dyDescent="0.25">
      <c r="A42" t="s">
        <v>21</v>
      </c>
      <c r="B42" s="20">
        <v>2.6200000000000001E-2</v>
      </c>
      <c r="J42" t="s">
        <v>118</v>
      </c>
      <c r="L42">
        <v>0</v>
      </c>
    </row>
    <row r="43" spans="1:28" x14ac:dyDescent="0.25">
      <c r="A43" t="s">
        <v>33</v>
      </c>
      <c r="B43" s="8">
        <v>1</v>
      </c>
    </row>
    <row r="44" spans="1:28" ht="23.25" x14ac:dyDescent="0.35">
      <c r="A44" t="s">
        <v>34</v>
      </c>
      <c r="B44" s="8">
        <v>0.33</v>
      </c>
      <c r="G44" s="27" t="s">
        <v>69</v>
      </c>
    </row>
    <row r="45" spans="1:28" x14ac:dyDescent="0.25">
      <c r="A45" t="s">
        <v>35</v>
      </c>
      <c r="B45" s="83">
        <v>24</v>
      </c>
      <c r="I45" t="s">
        <v>64</v>
      </c>
      <c r="J45" t="s">
        <v>57</v>
      </c>
      <c r="T45" s="22"/>
      <c r="V45" t="s">
        <v>58</v>
      </c>
    </row>
    <row r="46" spans="1:28" x14ac:dyDescent="0.25">
      <c r="A46" t="s">
        <v>138</v>
      </c>
      <c r="B46" s="38">
        <v>5.8000000000000003E-2</v>
      </c>
    </row>
    <row r="47" spans="1:28" ht="15.75" thickBot="1" x14ac:dyDescent="0.3">
      <c r="A47" t="s">
        <v>139</v>
      </c>
      <c r="B47" s="70">
        <v>4.0000000000000001E-3</v>
      </c>
      <c r="I47">
        <v>1</v>
      </c>
      <c r="J47" s="51" t="s">
        <v>37</v>
      </c>
      <c r="K47" s="52" t="s">
        <v>48</v>
      </c>
      <c r="L47" s="52" t="s">
        <v>49</v>
      </c>
      <c r="M47" s="52" t="s">
        <v>38</v>
      </c>
      <c r="N47" s="53" t="s">
        <v>50</v>
      </c>
      <c r="O47" s="51" t="s">
        <v>51</v>
      </c>
      <c r="P47" s="52" t="s">
        <v>39</v>
      </c>
      <c r="Q47" s="53" t="s">
        <v>52</v>
      </c>
      <c r="R47" s="51" t="s">
        <v>53</v>
      </c>
      <c r="S47" s="52" t="s">
        <v>40</v>
      </c>
      <c r="T47" s="54" t="s">
        <v>54</v>
      </c>
      <c r="U47" s="51" t="s">
        <v>59</v>
      </c>
      <c r="V47" s="52" t="s">
        <v>41</v>
      </c>
      <c r="W47" s="52" t="s">
        <v>60</v>
      </c>
      <c r="X47" s="55" t="s">
        <v>61</v>
      </c>
      <c r="Y47" s="56" t="s">
        <v>42</v>
      </c>
      <c r="Z47" s="56" t="s">
        <v>62</v>
      </c>
      <c r="AA47" s="57" t="s">
        <v>63</v>
      </c>
      <c r="AB47" s="23" t="s">
        <v>68</v>
      </c>
    </row>
    <row r="48" spans="1:28" x14ac:dyDescent="0.25">
      <c r="I48" s="41" t="s">
        <v>122</v>
      </c>
      <c r="J48" s="42" t="s">
        <v>133</v>
      </c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1"/>
      <c r="V48" s="42"/>
      <c r="W48" s="42"/>
      <c r="X48" s="42"/>
      <c r="Y48" s="42"/>
      <c r="Z48" s="42"/>
      <c r="AA48" s="42"/>
      <c r="AB48" s="43"/>
    </row>
    <row r="49" spans="2:28" x14ac:dyDescent="0.25">
      <c r="I49" s="44" t="s">
        <v>123</v>
      </c>
      <c r="J49" s="45" t="s">
        <v>124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4"/>
      <c r="V49" s="45"/>
      <c r="W49" s="45"/>
      <c r="X49" s="45"/>
      <c r="Y49" s="45"/>
      <c r="Z49" s="45"/>
      <c r="AA49" s="45"/>
      <c r="AB49" s="46"/>
    </row>
    <row r="50" spans="2:28" x14ac:dyDescent="0.25">
      <c r="I50" s="44" t="s">
        <v>125</v>
      </c>
      <c r="J50" s="45">
        <v>1</v>
      </c>
      <c r="K50" s="45">
        <v>2</v>
      </c>
      <c r="L50" s="45">
        <v>3</v>
      </c>
      <c r="M50" s="45">
        <v>4</v>
      </c>
      <c r="N50" s="45">
        <v>5</v>
      </c>
      <c r="O50" s="45">
        <v>6</v>
      </c>
      <c r="P50" s="45">
        <v>7</v>
      </c>
      <c r="Q50" s="45">
        <v>8</v>
      </c>
      <c r="R50" s="45">
        <v>9</v>
      </c>
      <c r="S50" s="45">
        <v>10</v>
      </c>
      <c r="T50" s="45">
        <v>11</v>
      </c>
      <c r="U50" s="44">
        <v>12</v>
      </c>
      <c r="V50" s="45">
        <v>13</v>
      </c>
      <c r="W50" s="45">
        <v>14</v>
      </c>
      <c r="X50" s="45">
        <v>15</v>
      </c>
      <c r="Y50" s="45">
        <v>16</v>
      </c>
      <c r="Z50" s="45">
        <v>17</v>
      </c>
      <c r="AA50" s="45">
        <v>18</v>
      </c>
      <c r="AB50" s="46">
        <v>19</v>
      </c>
    </row>
    <row r="51" spans="2:28" x14ac:dyDescent="0.25">
      <c r="I51" s="44" t="s">
        <v>126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4"/>
      <c r="V51" s="45"/>
      <c r="W51" s="45"/>
      <c r="X51" s="45"/>
      <c r="Y51" s="45"/>
      <c r="Z51" s="45"/>
      <c r="AA51" s="45"/>
      <c r="AB51" s="46"/>
    </row>
    <row r="52" spans="2:28" x14ac:dyDescent="0.25">
      <c r="B52">
        <f>153/Facility_tpEC</f>
        <v>5.8130699088145894E-2</v>
      </c>
      <c r="I52" s="44" t="s">
        <v>68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4"/>
      <c r="V52" s="45"/>
      <c r="W52" s="45"/>
      <c r="X52" s="45"/>
      <c r="Y52" s="45"/>
      <c r="Z52" s="45"/>
      <c r="AA52" s="45"/>
      <c r="AB52" s="46"/>
    </row>
    <row r="53" spans="2:28" x14ac:dyDescent="0.25">
      <c r="H53" t="s">
        <v>43</v>
      </c>
      <c r="I53" s="44">
        <v>7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0.2</v>
      </c>
      <c r="P53" s="50">
        <v>0.2</v>
      </c>
      <c r="Q53" s="50">
        <v>0.2</v>
      </c>
      <c r="R53" s="50">
        <v>0.5</v>
      </c>
      <c r="S53" s="50">
        <v>0.5</v>
      </c>
      <c r="T53" s="50">
        <v>0.5</v>
      </c>
      <c r="U53" s="61">
        <v>1</v>
      </c>
      <c r="V53" s="50">
        <v>1</v>
      </c>
      <c r="W53" s="50">
        <v>1</v>
      </c>
      <c r="X53" s="50">
        <v>1</v>
      </c>
      <c r="Y53" s="50">
        <v>1</v>
      </c>
      <c r="Z53" s="50">
        <v>1</v>
      </c>
      <c r="AA53" s="50">
        <v>1.5</v>
      </c>
      <c r="AB53" s="58">
        <v>1</v>
      </c>
    </row>
    <row r="54" spans="2:28" x14ac:dyDescent="0.25">
      <c r="H54" t="s">
        <v>44</v>
      </c>
      <c r="I54" s="44">
        <v>8</v>
      </c>
      <c r="J54" s="50">
        <v>0.2</v>
      </c>
      <c r="K54" s="50">
        <v>0.2</v>
      </c>
      <c r="L54" s="50">
        <v>0.2</v>
      </c>
      <c r="M54" s="50">
        <v>0.2</v>
      </c>
      <c r="N54" s="50">
        <v>0.2</v>
      </c>
      <c r="O54" s="50">
        <v>0.5</v>
      </c>
      <c r="P54" s="50">
        <v>0.5</v>
      </c>
      <c r="Q54" s="50">
        <v>0.5</v>
      </c>
      <c r="R54" s="50">
        <v>0.5</v>
      </c>
      <c r="S54" s="50">
        <v>0.5</v>
      </c>
      <c r="T54" s="50">
        <v>0.5</v>
      </c>
      <c r="U54" s="61">
        <v>1</v>
      </c>
      <c r="V54" s="50">
        <v>1</v>
      </c>
      <c r="W54" s="50">
        <v>1</v>
      </c>
      <c r="X54" s="50">
        <v>1</v>
      </c>
      <c r="Y54" s="50">
        <v>1</v>
      </c>
      <c r="Z54" s="50">
        <v>1</v>
      </c>
      <c r="AA54" s="50">
        <v>1.5</v>
      </c>
      <c r="AB54" s="58">
        <v>1</v>
      </c>
    </row>
    <row r="55" spans="2:28" x14ac:dyDescent="0.25">
      <c r="G55" t="s">
        <v>46</v>
      </c>
      <c r="H55" t="s">
        <v>45</v>
      </c>
      <c r="I55" s="44">
        <v>9</v>
      </c>
      <c r="J55" s="50">
        <v>0.2</v>
      </c>
      <c r="K55" s="50">
        <v>0.2</v>
      </c>
      <c r="L55" s="50">
        <v>0.2</v>
      </c>
      <c r="M55" s="50">
        <v>0.2</v>
      </c>
      <c r="N55" s="50">
        <v>0.2</v>
      </c>
      <c r="O55" s="50">
        <v>0.5</v>
      </c>
      <c r="P55" s="50">
        <v>0.5</v>
      </c>
      <c r="Q55" s="50">
        <v>0.5</v>
      </c>
      <c r="R55" s="50">
        <v>1</v>
      </c>
      <c r="S55" s="50">
        <v>1</v>
      </c>
      <c r="T55" s="50">
        <v>1</v>
      </c>
      <c r="U55" s="61">
        <v>1</v>
      </c>
      <c r="V55" s="50">
        <v>1</v>
      </c>
      <c r="W55" s="50">
        <v>1</v>
      </c>
      <c r="X55" s="50">
        <v>1</v>
      </c>
      <c r="Y55" s="50">
        <v>1</v>
      </c>
      <c r="Z55" s="50">
        <v>1</v>
      </c>
      <c r="AA55" s="50">
        <v>1.5</v>
      </c>
      <c r="AB55" s="58">
        <v>1</v>
      </c>
    </row>
    <row r="56" spans="2:28" x14ac:dyDescent="0.25">
      <c r="H56" t="s">
        <v>74</v>
      </c>
      <c r="I56" s="44">
        <v>10</v>
      </c>
      <c r="J56" s="50">
        <v>0.75</v>
      </c>
      <c r="K56" s="50">
        <v>0.75</v>
      </c>
      <c r="L56" s="50">
        <v>0.75</v>
      </c>
      <c r="M56" s="50">
        <v>0.75</v>
      </c>
      <c r="N56" s="50">
        <v>0.75</v>
      </c>
      <c r="O56" s="50">
        <v>0.75</v>
      </c>
      <c r="P56" s="50">
        <v>0.75</v>
      </c>
      <c r="Q56" s="50">
        <v>0.75</v>
      </c>
      <c r="R56" s="50">
        <v>0.75</v>
      </c>
      <c r="S56" s="50">
        <v>0.75</v>
      </c>
      <c r="T56" s="50">
        <v>0.75</v>
      </c>
      <c r="U56" s="61">
        <v>0.75</v>
      </c>
      <c r="V56" s="50">
        <v>0.75</v>
      </c>
      <c r="W56" s="50">
        <v>0.75</v>
      </c>
      <c r="X56" s="50">
        <v>0.75</v>
      </c>
      <c r="Y56" s="50">
        <v>0.75</v>
      </c>
      <c r="Z56" s="50">
        <v>0.75</v>
      </c>
      <c r="AA56" s="50">
        <v>0.75</v>
      </c>
      <c r="AB56" s="58">
        <v>0.75</v>
      </c>
    </row>
    <row r="57" spans="2:28" x14ac:dyDescent="0.25">
      <c r="H57" t="s">
        <v>47</v>
      </c>
      <c r="I57" s="44">
        <v>11</v>
      </c>
      <c r="J57" s="50">
        <v>0.35</v>
      </c>
      <c r="K57" s="50">
        <v>0.35</v>
      </c>
      <c r="L57" s="50">
        <v>0.35</v>
      </c>
      <c r="M57" s="50">
        <v>0.35</v>
      </c>
      <c r="N57" s="50">
        <v>0.35</v>
      </c>
      <c r="O57" s="50">
        <v>0.35</v>
      </c>
      <c r="P57" s="50">
        <v>0.35</v>
      </c>
      <c r="Q57" s="50">
        <v>0.35</v>
      </c>
      <c r="R57" s="50">
        <v>0.35</v>
      </c>
      <c r="S57" s="50">
        <v>0.35</v>
      </c>
      <c r="T57" s="50">
        <v>0.35</v>
      </c>
      <c r="U57" s="61">
        <v>0.35</v>
      </c>
      <c r="V57" s="50">
        <v>0.35</v>
      </c>
      <c r="W57" s="50">
        <v>0.35</v>
      </c>
      <c r="X57" s="50">
        <v>0.35</v>
      </c>
      <c r="Y57" s="50">
        <v>0.35</v>
      </c>
      <c r="Z57" s="50">
        <v>0.35</v>
      </c>
      <c r="AA57" s="50">
        <v>0.35</v>
      </c>
      <c r="AB57" s="58">
        <v>0.35</v>
      </c>
    </row>
    <row r="58" spans="2:28" ht="15.75" thickBot="1" x14ac:dyDescent="0.3">
      <c r="H58" t="s">
        <v>56</v>
      </c>
      <c r="I58" s="47">
        <v>12</v>
      </c>
      <c r="J58" s="59">
        <v>0.2</v>
      </c>
      <c r="K58" s="59">
        <v>0.2</v>
      </c>
      <c r="L58" s="59">
        <v>0.2</v>
      </c>
      <c r="M58" s="59">
        <v>0.2</v>
      </c>
      <c r="N58" s="59">
        <v>0.2</v>
      </c>
      <c r="O58" s="59">
        <v>0.5</v>
      </c>
      <c r="P58" s="59">
        <v>0.5</v>
      </c>
      <c r="Q58" s="59">
        <v>0.5</v>
      </c>
      <c r="R58" s="59">
        <v>1</v>
      </c>
      <c r="S58" s="59">
        <v>1</v>
      </c>
      <c r="T58" s="59">
        <v>1</v>
      </c>
      <c r="U58" s="62">
        <v>1</v>
      </c>
      <c r="V58" s="59">
        <v>1</v>
      </c>
      <c r="W58" s="59">
        <v>1</v>
      </c>
      <c r="X58" s="59">
        <v>1.5</v>
      </c>
      <c r="Y58" s="59">
        <v>1.5</v>
      </c>
      <c r="Z58" s="59">
        <v>1.5</v>
      </c>
      <c r="AA58" s="59">
        <v>1.5</v>
      </c>
      <c r="AB58" s="60">
        <v>1</v>
      </c>
    </row>
    <row r="59" spans="2:28" x14ac:dyDescent="0.25">
      <c r="J59" s="21"/>
      <c r="T59" s="22"/>
    </row>
    <row r="60" spans="2:28" x14ac:dyDescent="0.25">
      <c r="J60" s="21"/>
      <c r="K60" s="13" t="s">
        <v>55</v>
      </c>
      <c r="T60" s="22"/>
    </row>
    <row r="61" spans="2:28" x14ac:dyDescent="0.25">
      <c r="T61" s="22"/>
    </row>
    <row r="62" spans="2:28" ht="23.25" x14ac:dyDescent="0.35">
      <c r="G62" s="27" t="s">
        <v>70</v>
      </c>
    </row>
    <row r="64" spans="2:28" x14ac:dyDescent="0.25">
      <c r="G64" s="34" t="s">
        <v>71</v>
      </c>
      <c r="H64" s="34"/>
      <c r="I64" s="34"/>
      <c r="J64" s="34"/>
      <c r="K64" s="34"/>
      <c r="L64" s="34"/>
      <c r="M64" s="34" t="s">
        <v>72</v>
      </c>
      <c r="N64" s="34"/>
    </row>
    <row r="65" spans="7:15" x14ac:dyDescent="0.25">
      <c r="I65" t="s">
        <v>81</v>
      </c>
      <c r="M65" t="s">
        <v>82</v>
      </c>
    </row>
    <row r="66" spans="7:15" ht="15.75" thickBot="1" x14ac:dyDescent="0.3">
      <c r="G66" t="s">
        <v>83</v>
      </c>
      <c r="I66" t="s">
        <v>77</v>
      </c>
      <c r="J66" t="s">
        <v>78</v>
      </c>
      <c r="K66" t="s">
        <v>79</v>
      </c>
      <c r="L66" t="s">
        <v>80</v>
      </c>
      <c r="M66" t="s">
        <v>77</v>
      </c>
      <c r="N66" t="s">
        <v>78</v>
      </c>
      <c r="O66" t="s">
        <v>79</v>
      </c>
    </row>
    <row r="67" spans="7:15" x14ac:dyDescent="0.25">
      <c r="H67" s="41" t="s">
        <v>122</v>
      </c>
      <c r="I67" s="42" t="s">
        <v>135</v>
      </c>
      <c r="J67" s="42"/>
      <c r="K67" s="42"/>
      <c r="L67" s="42"/>
      <c r="M67" s="42"/>
      <c r="N67" s="42"/>
      <c r="O67" s="43"/>
    </row>
    <row r="68" spans="7:15" x14ac:dyDescent="0.25">
      <c r="H68" s="44" t="s">
        <v>123</v>
      </c>
      <c r="I68" s="45" t="s">
        <v>124</v>
      </c>
      <c r="J68" s="45"/>
      <c r="K68" s="45"/>
      <c r="L68" s="45"/>
      <c r="M68" s="45"/>
      <c r="N68" s="45"/>
      <c r="O68" s="46"/>
    </row>
    <row r="69" spans="7:15" x14ac:dyDescent="0.25">
      <c r="H69" s="44" t="s">
        <v>125</v>
      </c>
      <c r="I69" s="45">
        <v>1</v>
      </c>
      <c r="J69" s="45">
        <v>2</v>
      </c>
      <c r="K69" s="45">
        <v>3</v>
      </c>
      <c r="L69" s="45">
        <v>4</v>
      </c>
      <c r="M69" s="45">
        <v>5</v>
      </c>
      <c r="N69" s="45">
        <v>6</v>
      </c>
      <c r="O69" s="46">
        <v>7</v>
      </c>
    </row>
    <row r="70" spans="7:15" x14ac:dyDescent="0.25">
      <c r="H70" s="44" t="s">
        <v>126</v>
      </c>
      <c r="I70" s="45"/>
      <c r="J70" s="45"/>
      <c r="K70" s="45"/>
      <c r="L70" s="45"/>
      <c r="M70" s="45"/>
      <c r="N70" s="45"/>
      <c r="O70" s="46"/>
    </row>
    <row r="71" spans="7:15" x14ac:dyDescent="0.25">
      <c r="H71" s="44" t="s">
        <v>68</v>
      </c>
      <c r="I71" s="45"/>
      <c r="J71" s="45"/>
      <c r="K71" s="45"/>
      <c r="L71" s="45"/>
      <c r="M71" s="45"/>
      <c r="N71" s="45"/>
      <c r="O71" s="46"/>
    </row>
    <row r="72" spans="7:15" x14ac:dyDescent="0.25">
      <c r="H72" s="44" t="s">
        <v>91</v>
      </c>
      <c r="I72" s="63">
        <v>10</v>
      </c>
      <c r="J72" s="63">
        <v>12.5</v>
      </c>
      <c r="K72" s="63">
        <v>25</v>
      </c>
      <c r="L72" s="64">
        <v>0.18</v>
      </c>
      <c r="M72" s="63">
        <f>I72*$L72</f>
        <v>1.7999999999999998</v>
      </c>
      <c r="N72" s="63">
        <f t="shared" ref="N72:O76" si="0">J72*$L72</f>
        <v>2.25</v>
      </c>
      <c r="O72" s="65">
        <f t="shared" si="0"/>
        <v>4.5</v>
      </c>
    </row>
    <row r="73" spans="7:15" x14ac:dyDescent="0.25">
      <c r="H73" s="44" t="s">
        <v>74</v>
      </c>
      <c r="I73" s="63">
        <v>10</v>
      </c>
      <c r="J73" s="63">
        <v>12.5</v>
      </c>
      <c r="K73" s="63">
        <v>25</v>
      </c>
      <c r="L73" s="64">
        <v>0.15</v>
      </c>
      <c r="M73" s="63">
        <f>I73*$L73</f>
        <v>1.5</v>
      </c>
      <c r="N73" s="63">
        <f t="shared" si="0"/>
        <v>1.875</v>
      </c>
      <c r="O73" s="65">
        <f t="shared" si="0"/>
        <v>3.75</v>
      </c>
    </row>
    <row r="74" spans="7:15" x14ac:dyDescent="0.25">
      <c r="H74" s="44" t="s">
        <v>73</v>
      </c>
      <c r="I74" s="63">
        <v>10</v>
      </c>
      <c r="J74" s="63">
        <v>12.5</v>
      </c>
      <c r="K74" s="63">
        <v>25</v>
      </c>
      <c r="L74" s="64">
        <v>0.12</v>
      </c>
      <c r="M74" s="63">
        <f>I74*$L74</f>
        <v>1.2</v>
      </c>
      <c r="N74" s="63">
        <f t="shared" si="0"/>
        <v>1.5</v>
      </c>
      <c r="O74" s="65">
        <f t="shared" si="0"/>
        <v>3</v>
      </c>
    </row>
    <row r="75" spans="7:15" x14ac:dyDescent="0.25">
      <c r="H75" s="44" t="s">
        <v>75</v>
      </c>
      <c r="I75" s="63">
        <v>10</v>
      </c>
      <c r="J75" s="63">
        <v>12.5</v>
      </c>
      <c r="K75" s="63">
        <v>25</v>
      </c>
      <c r="L75" s="64">
        <v>0.15</v>
      </c>
      <c r="M75" s="63">
        <f>I75*$L75</f>
        <v>1.5</v>
      </c>
      <c r="N75" s="63">
        <f t="shared" si="0"/>
        <v>1.875</v>
      </c>
      <c r="O75" s="65">
        <f t="shared" si="0"/>
        <v>3.75</v>
      </c>
    </row>
    <row r="76" spans="7:15" ht="15.75" thickBot="1" x14ac:dyDescent="0.3">
      <c r="H76" s="47" t="s">
        <v>76</v>
      </c>
      <c r="I76" s="66">
        <v>10</v>
      </c>
      <c r="J76" s="66">
        <v>12.5</v>
      </c>
      <c r="K76" s="66">
        <v>25</v>
      </c>
      <c r="L76" s="67">
        <v>0.15</v>
      </c>
      <c r="M76" s="66">
        <f>I76*$L76</f>
        <v>1.5</v>
      </c>
      <c r="N76" s="66">
        <f t="shared" si="0"/>
        <v>1.875</v>
      </c>
      <c r="O76" s="68">
        <f t="shared" si="0"/>
        <v>3.75</v>
      </c>
    </row>
    <row r="77" spans="7:15" x14ac:dyDescent="0.25">
      <c r="H77" s="30" t="s">
        <v>84</v>
      </c>
      <c r="I77" s="32">
        <f>SUM(I72:I76)</f>
        <v>50</v>
      </c>
      <c r="J77" s="32">
        <f t="shared" ref="J77:O77" si="1">SUM(J72:J76)</f>
        <v>62.5</v>
      </c>
      <c r="K77" s="32">
        <f t="shared" si="1"/>
        <v>125</v>
      </c>
      <c r="L77" s="28"/>
      <c r="M77" s="32">
        <f t="shared" si="1"/>
        <v>7.5</v>
      </c>
      <c r="N77" s="32">
        <f t="shared" si="1"/>
        <v>9.375</v>
      </c>
      <c r="O77" s="32">
        <f t="shared" si="1"/>
        <v>18.75</v>
      </c>
    </row>
    <row r="78" spans="7:15" x14ac:dyDescent="0.25">
      <c r="H78" s="30" t="s">
        <v>85</v>
      </c>
      <c r="I78" s="31">
        <f>SUM(I72:I76)</f>
        <v>50</v>
      </c>
      <c r="J78" s="31">
        <f>IF(J77&lt;0,"",J77)</f>
        <v>62.5</v>
      </c>
      <c r="K78" s="31">
        <f t="shared" ref="K78" si="2">SUM(K72:K76)</f>
        <v>125</v>
      </c>
      <c r="M78" s="31">
        <f>SUM(M72:M76)</f>
        <v>7.5</v>
      </c>
      <c r="N78" s="31">
        <f>MAX(0,N77)</f>
        <v>9.375</v>
      </c>
      <c r="O78" s="31">
        <f t="shared" ref="O78" si="3">SUM(O72:O76)</f>
        <v>18.75</v>
      </c>
    </row>
    <row r="79" spans="7:15" x14ac:dyDescent="0.25">
      <c r="H79" s="30" t="s">
        <v>86</v>
      </c>
      <c r="J79" t="s">
        <v>87</v>
      </c>
      <c r="K79" s="32">
        <f>AVERAGE(I78:K78)</f>
        <v>79.166666666666671</v>
      </c>
      <c r="L79" s="29"/>
      <c r="M79" s="29"/>
      <c r="N79" s="29" t="s">
        <v>89</v>
      </c>
      <c r="O79" s="33">
        <f>AVERAGE(M78:O78)</f>
        <v>11.875</v>
      </c>
    </row>
    <row r="80" spans="7:15" x14ac:dyDescent="0.25">
      <c r="J80" t="s">
        <v>88</v>
      </c>
      <c r="K80" s="21">
        <v>0.15</v>
      </c>
      <c r="L80" s="29"/>
      <c r="M80" s="29"/>
      <c r="N80" s="29"/>
      <c r="O80" s="29"/>
    </row>
    <row r="81" spans="10:15" x14ac:dyDescent="0.25">
      <c r="J81" t="s">
        <v>89</v>
      </c>
      <c r="K81" s="33">
        <f>K79*K80</f>
        <v>11.875</v>
      </c>
      <c r="L81" s="29"/>
      <c r="M81" s="29"/>
      <c r="N81" s="29"/>
      <c r="O81" s="29"/>
    </row>
  </sheetData>
  <protectedRanges>
    <protectedRange password="DBBD" sqref="AN23 AN3:AN15" name="Parameters voor RiskCube"/>
  </protectedRanges>
  <dataValidations count="4">
    <dataValidation type="list" allowBlank="1" showInputMessage="1" showErrorMessage="1" sqref="B4">
      <formula1>$AP$3:$AP$9</formula1>
    </dataValidation>
    <dataValidation type="list" showInputMessage="1" showErrorMessage="1" sqref="B1">
      <formula1>$AJ$3:$AJ$4</formula1>
    </dataValidation>
    <dataValidation type="list" allowBlank="1" showInputMessage="1" showErrorMessage="1" sqref="B19">
      <formula1>$AM$3:$AM$23</formula1>
    </dataValidation>
    <dataValidation type="list" allowBlank="1" showInputMessage="1" showErrorMessage="1" sqref="B6">
      <formula1>$AM$3:$AM$23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1"/>
  <sheetViews>
    <sheetView zoomScale="70" zoomScaleNormal="70" workbookViewId="0">
      <selection activeCell="D26" sqref="D26"/>
    </sheetView>
  </sheetViews>
  <sheetFormatPr defaultRowHeight="15" x14ac:dyDescent="0.25"/>
  <cols>
    <col min="1" max="1" width="45.7109375" customWidth="1"/>
    <col min="2" max="2" width="14.140625" bestFit="1" customWidth="1"/>
    <col min="5" max="5" width="23.85546875" bestFit="1" customWidth="1"/>
    <col min="6" max="6" width="3.140625" customWidth="1"/>
    <col min="7" max="8" width="17.85546875" customWidth="1"/>
    <col min="9" max="9" width="12.28515625" customWidth="1"/>
    <col min="10" max="10" width="9.85546875" customWidth="1"/>
    <col min="11" max="16" width="12" customWidth="1"/>
    <col min="17" max="21" width="9" customWidth="1"/>
    <col min="30" max="40" width="9.140625" hidden="1" customWidth="1"/>
    <col min="41" max="41" width="10.5703125" hidden="1" customWidth="1"/>
    <col min="42" max="46" width="9.140625" hidden="1" customWidth="1"/>
    <col min="47" max="48" width="0" hidden="1" customWidth="1"/>
  </cols>
  <sheetData>
    <row r="1" spans="1:42" ht="15.75" thickBot="1" x14ac:dyDescent="0.3">
      <c r="A1" s="35" t="s">
        <v>95</v>
      </c>
      <c r="B1" s="36" t="s">
        <v>98</v>
      </c>
    </row>
    <row r="2" spans="1:42" x14ac:dyDescent="0.25">
      <c r="J2" t="s">
        <v>104</v>
      </c>
      <c r="AJ2" t="s">
        <v>96</v>
      </c>
      <c r="AM2" t="s">
        <v>65</v>
      </c>
      <c r="AP2" t="s">
        <v>83</v>
      </c>
    </row>
    <row r="3" spans="1:42" x14ac:dyDescent="0.25">
      <c r="A3" t="s">
        <v>66</v>
      </c>
      <c r="B3" t="s">
        <v>67</v>
      </c>
      <c r="AD3" s="1" t="s">
        <v>16</v>
      </c>
      <c r="AJ3" t="s">
        <v>98</v>
      </c>
      <c r="AM3" t="s">
        <v>37</v>
      </c>
      <c r="AN3" s="75">
        <v>1</v>
      </c>
      <c r="AO3" s="76">
        <v>1.0000000000000001E-5</v>
      </c>
      <c r="AP3" t="s">
        <v>91</v>
      </c>
    </row>
    <row r="4" spans="1:42" x14ac:dyDescent="0.25">
      <c r="A4" t="s">
        <v>90</v>
      </c>
      <c r="B4" t="s">
        <v>91</v>
      </c>
      <c r="J4" t="s">
        <v>107</v>
      </c>
      <c r="AD4" s="1"/>
      <c r="AJ4" t="s">
        <v>97</v>
      </c>
      <c r="AM4" t="s">
        <v>49</v>
      </c>
      <c r="AN4" s="75">
        <v>2</v>
      </c>
      <c r="AO4" s="76">
        <v>2.0000000000000002E-5</v>
      </c>
      <c r="AP4" t="s">
        <v>74</v>
      </c>
    </row>
    <row r="5" spans="1:42" x14ac:dyDescent="0.25">
      <c r="A5" t="s">
        <v>137</v>
      </c>
      <c r="B5">
        <v>12</v>
      </c>
      <c r="J5" t="s">
        <v>108</v>
      </c>
      <c r="L5" s="3">
        <f>VLOOKUP($B$6,$J$16:$P$39,6,FALSE)</f>
        <v>0.04</v>
      </c>
      <c r="AD5" s="1"/>
      <c r="AM5" t="s">
        <v>38</v>
      </c>
      <c r="AN5" s="75">
        <v>3</v>
      </c>
      <c r="AO5" s="76">
        <v>4.0000000000000003E-5</v>
      </c>
      <c r="AP5" t="s">
        <v>73</v>
      </c>
    </row>
    <row r="6" spans="1:42" x14ac:dyDescent="0.25">
      <c r="A6" t="s">
        <v>65</v>
      </c>
      <c r="B6" s="24" t="s">
        <v>38</v>
      </c>
      <c r="AD6" s="5" t="s">
        <v>17</v>
      </c>
      <c r="AM6" t="s">
        <v>50</v>
      </c>
      <c r="AN6" s="75">
        <v>4</v>
      </c>
      <c r="AO6" s="76">
        <v>8.0000000000000007E-5</v>
      </c>
      <c r="AP6" t="s">
        <v>75</v>
      </c>
    </row>
    <row r="7" spans="1:42" x14ac:dyDescent="0.25">
      <c r="A7" t="s">
        <v>0</v>
      </c>
      <c r="B7" s="79">
        <f>VLOOKUP(B6,$AM$3:$AO$23,3,FALSE)</f>
        <v>4.0000000000000003E-5</v>
      </c>
      <c r="E7" s="9" t="s">
        <v>19</v>
      </c>
      <c r="F7" s="12"/>
      <c r="G7" t="s">
        <v>146</v>
      </c>
      <c r="H7" t="s">
        <v>147</v>
      </c>
      <c r="J7" t="s">
        <v>109</v>
      </c>
      <c r="AD7" s="6" t="s">
        <v>18</v>
      </c>
      <c r="AM7" t="s">
        <v>51</v>
      </c>
      <c r="AN7" s="75">
        <v>5</v>
      </c>
      <c r="AO7" s="76">
        <v>1E-4</v>
      </c>
      <c r="AP7" t="s">
        <v>76</v>
      </c>
    </row>
    <row r="8" spans="1:42" x14ac:dyDescent="0.25">
      <c r="A8" t="s">
        <v>64</v>
      </c>
      <c r="B8" s="39">
        <f>HLOOKUP($B$6,I47:AB58,B5,FALSE)</f>
        <v>0.2</v>
      </c>
      <c r="E8" s="12"/>
      <c r="F8" s="12"/>
      <c r="J8" t="s">
        <v>110</v>
      </c>
      <c r="L8" s="3">
        <f>VLOOKUP($B$19,$J$16:$P$39,6,FALSE)</f>
        <v>0.04</v>
      </c>
      <c r="AD8" s="6"/>
      <c r="AM8" t="s">
        <v>39</v>
      </c>
      <c r="AN8" s="75">
        <v>6</v>
      </c>
      <c r="AO8" s="76">
        <v>2.0000000000000001E-4</v>
      </c>
      <c r="AP8" t="s">
        <v>84</v>
      </c>
    </row>
    <row r="9" spans="1:42" x14ac:dyDescent="0.25">
      <c r="A9" t="s">
        <v>5</v>
      </c>
      <c r="B9" s="6">
        <v>1</v>
      </c>
      <c r="E9" t="s">
        <v>11</v>
      </c>
      <c r="F9" s="15" t="s">
        <v>30</v>
      </c>
      <c r="G9" s="4">
        <v>4.2000000000000003E-2</v>
      </c>
      <c r="H9" s="4">
        <f>Facility_tpFunding</f>
        <v>4.2000000000000003E-2</v>
      </c>
      <c r="I9" s="4"/>
      <c r="J9" t="s">
        <v>111</v>
      </c>
      <c r="L9">
        <v>0</v>
      </c>
      <c r="AM9" t="s">
        <v>52</v>
      </c>
      <c r="AN9" s="75">
        <v>7</v>
      </c>
      <c r="AO9" s="76">
        <v>4.0000000000000002E-4</v>
      </c>
      <c r="AP9" t="s">
        <v>85</v>
      </c>
    </row>
    <row r="10" spans="1:42" x14ac:dyDescent="0.25">
      <c r="A10" t="s">
        <v>3</v>
      </c>
      <c r="B10" s="2">
        <v>10000</v>
      </c>
      <c r="E10" t="s">
        <v>1</v>
      </c>
      <c r="F10" s="15" t="s">
        <v>30</v>
      </c>
      <c r="G10" s="5">
        <f>IF((Facility_tpProductSelected=1),(((HurdleRate*Facility_tpEC)-(1-Taxrate)*(Facility_tpFunding*Facility_tpEC-(Facility_tpEL)))/(Facility_tpPrincipalLimit*(1-Taxrate))))</f>
        <v>1.5283999999999997E-2</v>
      </c>
      <c r="H10" s="81">
        <f>(Facility_tpECRatio*Facility_tpEC)/Facility_tpPrincipalLimit</f>
        <v>2.1056000000000002E-2</v>
      </c>
      <c r="AM10" t="s">
        <v>53</v>
      </c>
      <c r="AN10" s="77">
        <v>8</v>
      </c>
      <c r="AO10" s="78">
        <v>8.9999999999999998E-4</v>
      </c>
    </row>
    <row r="11" spans="1:42" x14ac:dyDescent="0.25">
      <c r="A11" t="s">
        <v>22</v>
      </c>
      <c r="B11" s="17">
        <v>25</v>
      </c>
      <c r="E11" t="s">
        <v>6</v>
      </c>
      <c r="F11" s="15" t="s">
        <v>30</v>
      </c>
      <c r="G11" s="5">
        <f>IFERROR(Facility_tpUsedRate-Facility_tpRiskPremium-Facility_tpReturnPercentage-Facility_tpFunding,NA)</f>
        <v>7.381600000000009E-3</v>
      </c>
      <c r="H11" s="5">
        <f>H13-H12-H10-H9</f>
        <v>1.6095999999999958E-3</v>
      </c>
      <c r="AM11" t="s">
        <v>40</v>
      </c>
      <c r="AN11" s="77">
        <v>9</v>
      </c>
      <c r="AO11" s="78">
        <v>1.6999999999999999E-3</v>
      </c>
    </row>
    <row r="12" spans="1:42" x14ac:dyDescent="0.25">
      <c r="A12" t="s">
        <v>23</v>
      </c>
      <c r="B12" s="17">
        <v>0</v>
      </c>
      <c r="E12" t="s">
        <v>12</v>
      </c>
      <c r="F12" s="15" t="s">
        <v>30</v>
      </c>
      <c r="G12" s="14">
        <f>IFERROR((Facility_tpReturnAbsolute)/(Facility_tpPrincipalLimit*(1-Taxrate)),NA)</f>
        <v>1.8634399999999999E-2</v>
      </c>
      <c r="H12" s="14">
        <f>IFERROR((H32)/(Facility_tpPrincipalLimit*(1-Taxrate)),NA)</f>
        <v>2.632E-2</v>
      </c>
      <c r="AM12" t="s">
        <v>54</v>
      </c>
      <c r="AN12" s="77">
        <v>10</v>
      </c>
      <c r="AO12" s="78">
        <v>4.1999999999999997E-3</v>
      </c>
    </row>
    <row r="13" spans="1:42" x14ac:dyDescent="0.25">
      <c r="A13" t="s">
        <v>24</v>
      </c>
      <c r="B13" s="17">
        <v>0</v>
      </c>
      <c r="E13" t="s">
        <v>13</v>
      </c>
      <c r="G13" s="5">
        <f>IF(Facility_tpProductSelected=1,IFERROR(((RendementseisBank*Facility_tpEC)-(1-Taxrate)*(Facility_tpFunding*Facility_tpEC-(Facility_tpEL+Facility_tpProcessCostsAbsolute)))/(Facility_tpPrincipalLimit*(1-Taxrate))+Facility_tpFunding,NA),NA)</f>
        <v>8.3352800000000005E-2</v>
      </c>
      <c r="H13" s="5">
        <f>H25/Facility_tpPrincipalLimit</f>
        <v>9.09856E-2</v>
      </c>
      <c r="AM13" t="s">
        <v>59</v>
      </c>
      <c r="AN13" s="77">
        <v>11</v>
      </c>
      <c r="AO13" s="78">
        <v>8.6999999999999994E-3</v>
      </c>
    </row>
    <row r="14" spans="1:42" x14ac:dyDescent="0.25">
      <c r="A14" t="s">
        <v>25</v>
      </c>
      <c r="B14" s="17">
        <v>0</v>
      </c>
      <c r="E14" t="s">
        <v>14</v>
      </c>
      <c r="G14" s="7">
        <v>8.3299999999999999E-2</v>
      </c>
      <c r="H14" s="4">
        <f>H13</f>
        <v>9.09856E-2</v>
      </c>
      <c r="J14" t="s">
        <v>115</v>
      </c>
      <c r="AM14" t="s">
        <v>41</v>
      </c>
      <c r="AN14" s="77">
        <v>12</v>
      </c>
      <c r="AO14" s="78">
        <v>1.5599999999999999E-2</v>
      </c>
    </row>
    <row r="15" spans="1:42" x14ac:dyDescent="0.25">
      <c r="E15" t="s">
        <v>15</v>
      </c>
      <c r="G15" s="5">
        <f xml:space="preserve"> Facility_tpUsedRate - Facility_tpFunding</f>
        <v>4.1299999999999996E-2</v>
      </c>
      <c r="H15" s="5">
        <f>H13-H9</f>
        <v>4.8985599999999997E-2</v>
      </c>
      <c r="J15" t="s">
        <v>65</v>
      </c>
      <c r="K15" t="s">
        <v>112</v>
      </c>
      <c r="N15" t="s">
        <v>113</v>
      </c>
      <c r="AM15" t="s">
        <v>60</v>
      </c>
      <c r="AN15" s="77">
        <v>13</v>
      </c>
      <c r="AO15" s="78">
        <v>2.81E-2</v>
      </c>
    </row>
    <row r="16" spans="1:42" ht="15.75" thickBot="1" x14ac:dyDescent="0.3">
      <c r="A16" t="s">
        <v>103</v>
      </c>
      <c r="G16" s="5"/>
      <c r="H16" s="11"/>
      <c r="J16" t="s">
        <v>114</v>
      </c>
      <c r="K16" t="s">
        <v>129</v>
      </c>
      <c r="L16" s="37" t="s">
        <v>128</v>
      </c>
      <c r="M16" t="s">
        <v>127</v>
      </c>
      <c r="N16" t="s">
        <v>132</v>
      </c>
      <c r="O16" s="37" t="s">
        <v>131</v>
      </c>
      <c r="P16" t="s">
        <v>130</v>
      </c>
      <c r="AM16" t="s">
        <v>61</v>
      </c>
      <c r="AN16" s="77">
        <v>14</v>
      </c>
      <c r="AO16" s="78">
        <v>4.6800000000000001E-2</v>
      </c>
    </row>
    <row r="17" spans="1:41" x14ac:dyDescent="0.25">
      <c r="A17" t="s">
        <v>120</v>
      </c>
      <c r="B17" s="2">
        <v>0</v>
      </c>
      <c r="G17" s="5"/>
      <c r="H17" s="11"/>
      <c r="J17" s="41" t="s">
        <v>122</v>
      </c>
      <c r="K17" s="42" t="s">
        <v>134</v>
      </c>
      <c r="L17" s="42"/>
      <c r="M17" s="42"/>
      <c r="N17" s="42"/>
      <c r="O17" s="42"/>
      <c r="P17" s="43"/>
      <c r="AM17" t="s">
        <v>42</v>
      </c>
      <c r="AN17" s="77">
        <v>15</v>
      </c>
      <c r="AO17" s="78">
        <v>7.1599999999999997E-2</v>
      </c>
    </row>
    <row r="18" spans="1:41" x14ac:dyDescent="0.25">
      <c r="A18" t="s">
        <v>136</v>
      </c>
      <c r="B18">
        <v>12</v>
      </c>
      <c r="G18" s="5"/>
      <c r="H18" s="11"/>
      <c r="J18" s="44" t="s">
        <v>123</v>
      </c>
      <c r="K18" s="45" t="s">
        <v>124</v>
      </c>
      <c r="L18" s="45"/>
      <c r="M18" s="45"/>
      <c r="N18" s="45"/>
      <c r="O18" s="45"/>
      <c r="P18" s="46"/>
      <c r="AM18" t="s">
        <v>62</v>
      </c>
      <c r="AN18" s="77">
        <v>16</v>
      </c>
      <c r="AO18" s="78">
        <v>0.1162</v>
      </c>
    </row>
    <row r="19" spans="1:41" x14ac:dyDescent="0.25">
      <c r="A19" t="s">
        <v>65</v>
      </c>
      <c r="B19" s="24" t="s">
        <v>38</v>
      </c>
      <c r="G19" s="5"/>
      <c r="H19" s="11"/>
      <c r="J19" s="44" t="s">
        <v>125</v>
      </c>
      <c r="K19" s="45">
        <v>1</v>
      </c>
      <c r="L19" s="45">
        <v>2</v>
      </c>
      <c r="M19" s="45">
        <v>3</v>
      </c>
      <c r="N19" s="45">
        <v>4</v>
      </c>
      <c r="O19" s="45">
        <v>5</v>
      </c>
      <c r="P19" s="46">
        <v>6</v>
      </c>
      <c r="AM19" t="s">
        <v>141</v>
      </c>
      <c r="AN19" s="77">
        <v>17</v>
      </c>
      <c r="AO19" s="78">
        <v>0.154</v>
      </c>
    </row>
    <row r="20" spans="1:41" x14ac:dyDescent="0.25">
      <c r="A20" t="s">
        <v>0</v>
      </c>
      <c r="B20" s="80">
        <f>VLOOKUP(B19,$AM$3:$AO$23,3,FALSE)</f>
        <v>4.0000000000000003E-5</v>
      </c>
      <c r="G20" s="5"/>
      <c r="H20" s="11"/>
      <c r="J20" s="44" t="s">
        <v>126</v>
      </c>
      <c r="K20" s="45">
        <v>0.15</v>
      </c>
      <c r="L20" s="45">
        <v>0.15</v>
      </c>
      <c r="M20" s="45">
        <v>0.15</v>
      </c>
      <c r="N20" s="45">
        <v>0.15</v>
      </c>
      <c r="O20" s="45">
        <v>0.15</v>
      </c>
      <c r="P20" s="46">
        <v>0.15</v>
      </c>
      <c r="AM20" t="s">
        <v>142</v>
      </c>
      <c r="AN20" s="77">
        <v>18</v>
      </c>
      <c r="AO20" s="78">
        <v>0.17380000000000001</v>
      </c>
    </row>
    <row r="21" spans="1:41" x14ac:dyDescent="0.25">
      <c r="A21" t="s">
        <v>64</v>
      </c>
      <c r="B21" s="39">
        <f>HLOOKUP($B$19,J47:AC58,B18,FALSE)</f>
        <v>0.2</v>
      </c>
      <c r="J21" s="44" t="s">
        <v>68</v>
      </c>
      <c r="K21" s="45">
        <v>0.15</v>
      </c>
      <c r="L21" s="45">
        <v>0.15</v>
      </c>
      <c r="M21" s="45">
        <v>0.15</v>
      </c>
      <c r="N21" s="45">
        <v>0.15</v>
      </c>
      <c r="O21" s="45">
        <v>0.15</v>
      </c>
      <c r="P21" s="46">
        <v>0.15</v>
      </c>
      <c r="AM21" t="s">
        <v>143</v>
      </c>
      <c r="AN21" s="77">
        <v>19</v>
      </c>
      <c r="AO21" s="78">
        <v>0.215</v>
      </c>
    </row>
    <row r="22" spans="1:41" x14ac:dyDescent="0.25">
      <c r="J22" s="44" t="s">
        <v>37</v>
      </c>
      <c r="K22" s="45">
        <v>5.0000000000000001E-3</v>
      </c>
      <c r="L22" s="45">
        <v>0.02</v>
      </c>
      <c r="M22" s="45">
        <v>0.04</v>
      </c>
      <c r="N22" s="45">
        <v>0.01</v>
      </c>
      <c r="O22" s="45">
        <v>0.04</v>
      </c>
      <c r="P22" s="46">
        <v>0.08</v>
      </c>
      <c r="AM22" t="s">
        <v>144</v>
      </c>
      <c r="AN22" s="77">
        <v>20</v>
      </c>
      <c r="AO22" s="78">
        <v>0.26</v>
      </c>
    </row>
    <row r="23" spans="1:41" x14ac:dyDescent="0.25">
      <c r="J23" s="44" t="s">
        <v>49</v>
      </c>
      <c r="K23" s="45">
        <v>5.0000000000000001E-3</v>
      </c>
      <c r="L23" s="45">
        <v>0.02</v>
      </c>
      <c r="M23" s="45">
        <v>0.04</v>
      </c>
      <c r="N23" s="45">
        <v>0.01</v>
      </c>
      <c r="O23" s="45">
        <v>0.04</v>
      </c>
      <c r="P23" s="46">
        <v>0.08</v>
      </c>
      <c r="AM23" t="s">
        <v>145</v>
      </c>
      <c r="AN23" s="77">
        <v>21</v>
      </c>
      <c r="AO23" s="75">
        <v>1</v>
      </c>
    </row>
    <row r="24" spans="1:41" x14ac:dyDescent="0.25">
      <c r="E24" s="9" t="s">
        <v>20</v>
      </c>
      <c r="F24" s="9"/>
      <c r="G24" s="10"/>
      <c r="J24" s="44" t="s">
        <v>38</v>
      </c>
      <c r="K24" s="45">
        <v>5.0000000000000001E-3</v>
      </c>
      <c r="L24" s="45">
        <v>0.02</v>
      </c>
      <c r="M24" s="45">
        <v>0.04</v>
      </c>
      <c r="N24" s="45">
        <v>0.01</v>
      </c>
      <c r="O24" s="45">
        <v>0.04</v>
      </c>
      <c r="P24" s="46">
        <v>0.08</v>
      </c>
    </row>
    <row r="25" spans="1:41" x14ac:dyDescent="0.25">
      <c r="A25" t="s">
        <v>94</v>
      </c>
      <c r="B25" s="18">
        <f>IF(B1="STD",B28+B30,B26+B30)</f>
        <v>2632</v>
      </c>
      <c r="E25" t="s">
        <v>140</v>
      </c>
      <c r="F25" s="15" t="s">
        <v>30</v>
      </c>
      <c r="G25" s="72">
        <f>IFERROR((Facility_tpUsedRate)*Facility_tpPrincipalLimit,NA)</f>
        <v>833</v>
      </c>
      <c r="H25">
        <f>H32-H31+H28+H27+H26</f>
        <v>909.85599999999999</v>
      </c>
      <c r="J25" s="44" t="s">
        <v>50</v>
      </c>
      <c r="K25" s="45">
        <v>5.0000000000000001E-3</v>
      </c>
      <c r="L25" s="45">
        <v>0.02</v>
      </c>
      <c r="M25" s="45">
        <v>0.04</v>
      </c>
      <c r="N25" s="45">
        <v>0.01</v>
      </c>
      <c r="O25" s="45">
        <v>0.04</v>
      </c>
      <c r="P25" s="46">
        <v>0.08</v>
      </c>
    </row>
    <row r="26" spans="1:41" x14ac:dyDescent="0.25">
      <c r="A26" t="s">
        <v>36</v>
      </c>
      <c r="B26" s="18">
        <f>MAX(0,IFERROR(Facility_tpAverageDurationEL*(Facility_tpEAD*Facility_tpLGD*NORMSDIST((NORMSINV(Facility_tpPD)+(Correlation^0.5)*NORMSINV(ConfidenceLevel))/((1-Correlation)^0.5))-Facility_tpEL) * 1.06,NA))</f>
        <v>12.718650970938254</v>
      </c>
      <c r="E26" t="s">
        <v>101</v>
      </c>
      <c r="F26" s="13" t="s">
        <v>29</v>
      </c>
      <c r="G26" s="72">
        <f>MAX(IFERROR(Facility_tpPrincipalLimit*Facility_tpFunding,NA),0)</f>
        <v>420</v>
      </c>
      <c r="H26">
        <f>Facility_tpInterestExpenses</f>
        <v>420</v>
      </c>
      <c r="J26" s="44" t="s">
        <v>51</v>
      </c>
      <c r="K26" s="45">
        <v>0.01</v>
      </c>
      <c r="L26" s="45">
        <v>0.03</v>
      </c>
      <c r="M26" s="45">
        <v>0.06</v>
      </c>
      <c r="N26" s="45">
        <v>0.02</v>
      </c>
      <c r="O26" s="45">
        <v>0.06</v>
      </c>
      <c r="P26" s="46">
        <v>0.12</v>
      </c>
    </row>
    <row r="27" spans="1:41" x14ac:dyDescent="0.25">
      <c r="A27" s="25" t="s">
        <v>105</v>
      </c>
      <c r="B27" s="26">
        <f>Facility_tpECRatio*(RiskWeight*(Facility_tpPrincipalLimit-CollateralValue)+RiskWeightGuarantor*CollateralValue)</f>
        <v>160</v>
      </c>
      <c r="E27" t="s">
        <v>7</v>
      </c>
      <c r="F27" s="13" t="s">
        <v>29</v>
      </c>
      <c r="G27" s="72">
        <f xml:space="preserve"> MAX(0,IFERROR(ProcessCostsModelPercentage*Facility_tpPrincipalLimit - Facility_tpArrangementFee - Facility_tpManagingFeeFacility - Facility_tpFacilityFee - Facility_tpUpfrontFee,NA))</f>
        <v>237</v>
      </c>
      <c r="H27">
        <f>Facility_tpProcessCostsAbsolute</f>
        <v>237</v>
      </c>
      <c r="J27" s="44" t="s">
        <v>39</v>
      </c>
      <c r="K27" s="45">
        <v>0.01</v>
      </c>
      <c r="L27" s="45">
        <v>0.03</v>
      </c>
      <c r="M27" s="45">
        <v>0.06</v>
      </c>
      <c r="N27" s="45">
        <v>0.02</v>
      </c>
      <c r="O27" s="45">
        <v>0.06</v>
      </c>
      <c r="P27" s="46">
        <v>0.12</v>
      </c>
    </row>
    <row r="28" spans="1:41" x14ac:dyDescent="0.25">
      <c r="A28" s="25" t="s">
        <v>106</v>
      </c>
      <c r="B28" s="26">
        <f>Facility_tpECRatio*(Facility_tpPrincipalLimit*(1+H)-CollateralValue*(1-Hc-Hfx))</f>
        <v>832</v>
      </c>
      <c r="E28" t="s">
        <v>100</v>
      </c>
      <c r="F28" s="13" t="s">
        <v>29</v>
      </c>
      <c r="G28" s="72">
        <f>MAX(IFERROR(Facility_tpAverageDurationEL*Facility_tpEAD*Facility_tpLGD*Facility_tpPD,NA),0)</f>
        <v>0.18400000000000002</v>
      </c>
      <c r="H28">
        <f>Facility_tpEL</f>
        <v>0.18400000000000002</v>
      </c>
      <c r="J28" s="44" t="s">
        <v>52</v>
      </c>
      <c r="K28" s="45">
        <v>0.01</v>
      </c>
      <c r="L28" s="45">
        <v>0.03</v>
      </c>
      <c r="M28" s="45">
        <v>0.06</v>
      </c>
      <c r="N28" s="45">
        <v>0.02</v>
      </c>
      <c r="O28" s="45">
        <v>0.06</v>
      </c>
      <c r="P28" s="46">
        <v>0.12</v>
      </c>
    </row>
    <row r="29" spans="1:41" x14ac:dyDescent="0.25">
      <c r="A29" s="25" t="s">
        <v>92</v>
      </c>
      <c r="B29" s="26">
        <f>Facility_tpPrincipalLimit*Alpha</f>
        <v>1500</v>
      </c>
      <c r="F29" s="13"/>
      <c r="G29" s="72"/>
      <c r="J29" s="44" t="s">
        <v>53</v>
      </c>
      <c r="K29" s="45">
        <v>0.01</v>
      </c>
      <c r="L29" s="45">
        <v>0.03</v>
      </c>
      <c r="M29" s="45">
        <v>0.06</v>
      </c>
      <c r="N29" s="45">
        <v>0.02</v>
      </c>
      <c r="O29" s="45">
        <v>0.06</v>
      </c>
      <c r="P29" s="46">
        <v>0.12</v>
      </c>
    </row>
    <row r="30" spans="1:41" x14ac:dyDescent="0.25">
      <c r="A30" s="25" t="s">
        <v>93</v>
      </c>
      <c r="B30" s="26">
        <f>VLOOKUP($B$4,H72:L76,5,FALSE)*Facility_tpPrincipalLimit</f>
        <v>1800</v>
      </c>
      <c r="E30" t="s">
        <v>8</v>
      </c>
      <c r="F30" s="13" t="s">
        <v>29</v>
      </c>
      <c r="G30" s="72">
        <f>MAX(0,(Facility_tpInterestIncome-Facility_tpProcessCostsAbsolute-Facility_tpEL)*Taxrate)</f>
        <v>0</v>
      </c>
      <c r="J30" s="44" t="s">
        <v>40</v>
      </c>
      <c r="K30" s="45">
        <v>0.01</v>
      </c>
      <c r="L30" s="45">
        <v>0.03</v>
      </c>
      <c r="M30" s="45">
        <v>0.06</v>
      </c>
      <c r="N30" s="45">
        <v>0.02</v>
      </c>
      <c r="O30" s="45">
        <v>0.06</v>
      </c>
      <c r="P30" s="46">
        <v>0.12</v>
      </c>
    </row>
    <row r="31" spans="1:41" x14ac:dyDescent="0.25">
      <c r="A31" t="s">
        <v>26</v>
      </c>
      <c r="B31" s="74">
        <v>0.46</v>
      </c>
      <c r="E31" s="10" t="s">
        <v>121</v>
      </c>
      <c r="F31" s="40" t="s">
        <v>30</v>
      </c>
      <c r="G31" s="73">
        <f>Facility_tpEC*B47</f>
        <v>10.528</v>
      </c>
      <c r="H31">
        <f>Facility_tpReturnOnCapital</f>
        <v>10.528</v>
      </c>
      <c r="J31" s="44" t="s">
        <v>54</v>
      </c>
      <c r="K31" s="45">
        <v>0.01</v>
      </c>
      <c r="L31" s="45">
        <v>0.03</v>
      </c>
      <c r="M31" s="45">
        <v>0.06</v>
      </c>
      <c r="N31" s="45">
        <v>0.02</v>
      </c>
      <c r="O31" s="45">
        <v>0.06</v>
      </c>
      <c r="P31" s="46">
        <v>0.12</v>
      </c>
    </row>
    <row r="32" spans="1:41" x14ac:dyDescent="0.25">
      <c r="A32" t="s">
        <v>27</v>
      </c>
      <c r="B32" s="18">
        <f xml:space="preserve"> Facility_tpPrincipalLimit</f>
        <v>10000</v>
      </c>
      <c r="E32" t="s">
        <v>9</v>
      </c>
      <c r="G32" s="71">
        <f>IFERROR(Facility_tpInterestIncome-Facility_tpInterestExpenses-Facility_tpProcessCostsAbsolute-Facility_tpEL-Facility_tpTax+Facility_tpReturnOnCapital,NA)</f>
        <v>186.34399999999999</v>
      </c>
      <c r="H32">
        <f>Facility_tpEC*HurdleRate</f>
        <v>263.2</v>
      </c>
      <c r="J32" s="44" t="s">
        <v>59</v>
      </c>
      <c r="K32" s="45">
        <v>0.15</v>
      </c>
      <c r="L32" s="45">
        <v>0.15</v>
      </c>
      <c r="M32" s="45">
        <v>0.15</v>
      </c>
      <c r="N32" s="45">
        <v>0.15</v>
      </c>
      <c r="O32" s="45">
        <v>0.15</v>
      </c>
      <c r="P32" s="46">
        <v>0.15</v>
      </c>
    </row>
    <row r="33" spans="1:28" x14ac:dyDescent="0.25">
      <c r="A33" t="s">
        <v>28</v>
      </c>
      <c r="B33" s="19">
        <v>1</v>
      </c>
      <c r="E33" t="s">
        <v>10</v>
      </c>
      <c r="G33" s="16">
        <f xml:space="preserve"> IF(Facility_tpProductSelected=1,IFERROR(Facility_tpReturnAbsolute/Facility_tpEC,NA),NA)</f>
        <v>7.0799392097264435E-2</v>
      </c>
      <c r="H33" s="21">
        <f>H32/Facility_tpEC</f>
        <v>9.9999999999999992E-2</v>
      </c>
      <c r="J33" s="44" t="s">
        <v>41</v>
      </c>
      <c r="K33" s="45">
        <v>0.15</v>
      </c>
      <c r="L33" s="45">
        <v>0.15</v>
      </c>
      <c r="M33" s="45">
        <v>0.15</v>
      </c>
      <c r="N33" s="45">
        <v>0.15</v>
      </c>
      <c r="O33" s="45">
        <v>0.15</v>
      </c>
      <c r="P33" s="46">
        <v>0.15</v>
      </c>
    </row>
    <row r="34" spans="1:28" x14ac:dyDescent="0.25">
      <c r="B34">
        <f>Facility_tpAverageDurationEL*Facility_tpEAD*Facility_tpLGD*Facility_tpPD</f>
        <v>0.18400000000000002</v>
      </c>
      <c r="E34" t="s">
        <v>99</v>
      </c>
      <c r="G34" s="16">
        <f xml:space="preserve"> IF(Facility_tpProductSelected=1,IFERROR(Facility_tpReturnAbsolute/Facility_tpEC,NA),NA)</f>
        <v>7.0799392097264435E-2</v>
      </c>
      <c r="J34" s="44" t="s">
        <v>60</v>
      </c>
      <c r="K34" s="45">
        <v>0.15</v>
      </c>
      <c r="L34" s="45">
        <v>0.15</v>
      </c>
      <c r="M34" s="45">
        <v>0.15</v>
      </c>
      <c r="N34" s="45">
        <v>0.15</v>
      </c>
      <c r="O34" s="45">
        <v>0.15</v>
      </c>
      <c r="P34" s="46">
        <v>0.15</v>
      </c>
    </row>
    <row r="35" spans="1:28" x14ac:dyDescent="0.25">
      <c r="J35" s="44" t="s">
        <v>61</v>
      </c>
      <c r="K35" s="45">
        <v>0.15</v>
      </c>
      <c r="L35" s="45">
        <v>0.15</v>
      </c>
      <c r="M35" s="45">
        <v>0.15</v>
      </c>
      <c r="N35" s="45">
        <v>0.15</v>
      </c>
      <c r="O35" s="45">
        <v>0.15</v>
      </c>
      <c r="P35" s="46">
        <v>0.15</v>
      </c>
    </row>
    <row r="36" spans="1:28" x14ac:dyDescent="0.25">
      <c r="A36" t="s">
        <v>102</v>
      </c>
      <c r="B36" s="1">
        <v>0.08</v>
      </c>
      <c r="E36" t="s">
        <v>148</v>
      </c>
      <c r="G36" s="82">
        <f>(Facility_tpRAROC-HurdleRate)*Facility_tpEC</f>
        <v>-76.856000000000023</v>
      </c>
      <c r="H36" s="82">
        <f>(H33-HurdleRate)*Facility_tpEC</f>
        <v>-3.652633751016765E-14</v>
      </c>
      <c r="J36" s="44" t="s">
        <v>42</v>
      </c>
      <c r="K36" s="45">
        <v>0.15</v>
      </c>
      <c r="L36" s="45">
        <v>0.15</v>
      </c>
      <c r="M36" s="45">
        <v>0.15</v>
      </c>
      <c r="N36" s="45">
        <v>0.15</v>
      </c>
      <c r="O36" s="45">
        <v>0.15</v>
      </c>
      <c r="P36" s="46">
        <v>0.15</v>
      </c>
    </row>
    <row r="37" spans="1:28" ht="15.75" thickBot="1" x14ac:dyDescent="0.3">
      <c r="A37" t="s">
        <v>2</v>
      </c>
      <c r="B37" s="1">
        <v>0</v>
      </c>
      <c r="J37" s="47" t="s">
        <v>62</v>
      </c>
      <c r="K37" s="48">
        <v>0.15</v>
      </c>
      <c r="L37" s="48">
        <v>0.15</v>
      </c>
      <c r="M37" s="48">
        <v>0.15</v>
      </c>
      <c r="N37" s="48">
        <v>0.15</v>
      </c>
      <c r="O37" s="48">
        <v>0.15</v>
      </c>
      <c r="P37" s="49">
        <v>0.15</v>
      </c>
    </row>
    <row r="38" spans="1:28" x14ac:dyDescent="0.25">
      <c r="A38" t="s">
        <v>4</v>
      </c>
      <c r="B38" s="1">
        <v>0.1</v>
      </c>
    </row>
    <row r="39" spans="1:28" x14ac:dyDescent="0.25">
      <c r="A39" t="s">
        <v>149</v>
      </c>
      <c r="B39" s="20">
        <v>0.109</v>
      </c>
      <c r="J39" t="s">
        <v>116</v>
      </c>
      <c r="L39">
        <v>0.15</v>
      </c>
    </row>
    <row r="40" spans="1:28" x14ac:dyDescent="0.25">
      <c r="A40" t="s">
        <v>31</v>
      </c>
      <c r="B40" s="69">
        <v>0.999</v>
      </c>
      <c r="J40" t="s">
        <v>117</v>
      </c>
      <c r="L40">
        <v>0.25</v>
      </c>
    </row>
    <row r="41" spans="1:28" x14ac:dyDescent="0.25">
      <c r="A41" t="s">
        <v>32</v>
      </c>
      <c r="B41" s="19">
        <f>0.12*(1-EXP(-50*Facility_tpPD))/(1-EXP(-50))+0.24*((1-(1-EXP(-50*Facility_tpPD))/(1-EXP(-50))))</f>
        <v>0.23976023984007996</v>
      </c>
      <c r="J41" t="s">
        <v>119</v>
      </c>
      <c r="L41">
        <v>0.25</v>
      </c>
    </row>
    <row r="42" spans="1:28" x14ac:dyDescent="0.25">
      <c r="A42" t="s">
        <v>21</v>
      </c>
      <c r="B42" s="20">
        <v>2.6200000000000001E-2</v>
      </c>
      <c r="J42" t="s">
        <v>118</v>
      </c>
      <c r="L42">
        <v>0</v>
      </c>
    </row>
    <row r="43" spans="1:28" x14ac:dyDescent="0.25">
      <c r="A43" t="s">
        <v>33</v>
      </c>
      <c r="B43" s="8">
        <v>1</v>
      </c>
    </row>
    <row r="44" spans="1:28" ht="23.25" x14ac:dyDescent="0.35">
      <c r="A44" t="s">
        <v>34</v>
      </c>
      <c r="B44" s="8">
        <v>0.33</v>
      </c>
      <c r="G44" s="27" t="s">
        <v>69</v>
      </c>
    </row>
    <row r="45" spans="1:28" x14ac:dyDescent="0.25">
      <c r="A45" t="s">
        <v>35</v>
      </c>
      <c r="B45">
        <v>24</v>
      </c>
      <c r="I45" t="s">
        <v>64</v>
      </c>
      <c r="J45" t="s">
        <v>57</v>
      </c>
      <c r="T45" s="22"/>
      <c r="V45" t="s">
        <v>58</v>
      </c>
    </row>
    <row r="46" spans="1:28" x14ac:dyDescent="0.25">
      <c r="A46" t="s">
        <v>138</v>
      </c>
      <c r="B46" s="38">
        <v>5.8000000000000003E-2</v>
      </c>
    </row>
    <row r="47" spans="1:28" ht="15.75" thickBot="1" x14ac:dyDescent="0.3">
      <c r="A47" t="s">
        <v>139</v>
      </c>
      <c r="B47" s="70">
        <v>4.0000000000000001E-3</v>
      </c>
      <c r="I47">
        <v>1</v>
      </c>
      <c r="J47" s="51" t="s">
        <v>37</v>
      </c>
      <c r="K47" s="52" t="s">
        <v>48</v>
      </c>
      <c r="L47" s="52" t="s">
        <v>49</v>
      </c>
      <c r="M47" s="52" t="s">
        <v>38</v>
      </c>
      <c r="N47" s="53" t="s">
        <v>50</v>
      </c>
      <c r="O47" s="51" t="s">
        <v>51</v>
      </c>
      <c r="P47" s="52" t="s">
        <v>39</v>
      </c>
      <c r="Q47" s="53" t="s">
        <v>52</v>
      </c>
      <c r="R47" s="51" t="s">
        <v>53</v>
      </c>
      <c r="S47" s="52" t="s">
        <v>40</v>
      </c>
      <c r="T47" s="54" t="s">
        <v>54</v>
      </c>
      <c r="U47" s="51" t="s">
        <v>59</v>
      </c>
      <c r="V47" s="52" t="s">
        <v>41</v>
      </c>
      <c r="W47" s="52" t="s">
        <v>60</v>
      </c>
      <c r="X47" s="55" t="s">
        <v>61</v>
      </c>
      <c r="Y47" s="56" t="s">
        <v>42</v>
      </c>
      <c r="Z47" s="56" t="s">
        <v>62</v>
      </c>
      <c r="AA47" s="57" t="s">
        <v>63</v>
      </c>
      <c r="AB47" s="23" t="s">
        <v>68</v>
      </c>
    </row>
    <row r="48" spans="1:28" x14ac:dyDescent="0.25">
      <c r="I48" s="41" t="s">
        <v>122</v>
      </c>
      <c r="J48" s="42" t="s">
        <v>133</v>
      </c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1"/>
      <c r="V48" s="42"/>
      <c r="W48" s="42"/>
      <c r="X48" s="42"/>
      <c r="Y48" s="42"/>
      <c r="Z48" s="42"/>
      <c r="AA48" s="42"/>
      <c r="AB48" s="43"/>
    </row>
    <row r="49" spans="2:28" x14ac:dyDescent="0.25">
      <c r="I49" s="44" t="s">
        <v>123</v>
      </c>
      <c r="J49" s="45" t="s">
        <v>124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4"/>
      <c r="V49" s="45"/>
      <c r="W49" s="45"/>
      <c r="X49" s="45"/>
      <c r="Y49" s="45"/>
      <c r="Z49" s="45"/>
      <c r="AA49" s="45"/>
      <c r="AB49" s="46"/>
    </row>
    <row r="50" spans="2:28" x14ac:dyDescent="0.25">
      <c r="I50" s="44" t="s">
        <v>125</v>
      </c>
      <c r="J50" s="45">
        <v>1</v>
      </c>
      <c r="K50" s="45">
        <v>2</v>
      </c>
      <c r="L50" s="45">
        <v>3</v>
      </c>
      <c r="M50" s="45">
        <v>4</v>
      </c>
      <c r="N50" s="45">
        <v>5</v>
      </c>
      <c r="O50" s="45">
        <v>6</v>
      </c>
      <c r="P50" s="45">
        <v>7</v>
      </c>
      <c r="Q50" s="45">
        <v>8</v>
      </c>
      <c r="R50" s="45">
        <v>9</v>
      </c>
      <c r="S50" s="45">
        <v>10</v>
      </c>
      <c r="T50" s="45">
        <v>11</v>
      </c>
      <c r="U50" s="44">
        <v>12</v>
      </c>
      <c r="V50" s="45">
        <v>13</v>
      </c>
      <c r="W50" s="45">
        <v>14</v>
      </c>
      <c r="X50" s="45">
        <v>15</v>
      </c>
      <c r="Y50" s="45">
        <v>16</v>
      </c>
      <c r="Z50" s="45">
        <v>17</v>
      </c>
      <c r="AA50" s="45">
        <v>18</v>
      </c>
      <c r="AB50" s="46">
        <v>19</v>
      </c>
    </row>
    <row r="51" spans="2:28" x14ac:dyDescent="0.25">
      <c r="I51" s="44" t="s">
        <v>126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4"/>
      <c r="V51" s="45"/>
      <c r="W51" s="45"/>
      <c r="X51" s="45"/>
      <c r="Y51" s="45"/>
      <c r="Z51" s="45"/>
      <c r="AA51" s="45"/>
      <c r="AB51" s="46"/>
    </row>
    <row r="52" spans="2:28" x14ac:dyDescent="0.25">
      <c r="B52">
        <f>153/Facility_tpEC</f>
        <v>5.8130699088145894E-2</v>
      </c>
      <c r="I52" s="44" t="s">
        <v>68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4"/>
      <c r="V52" s="45"/>
      <c r="W52" s="45"/>
      <c r="X52" s="45"/>
      <c r="Y52" s="45"/>
      <c r="Z52" s="45"/>
      <c r="AA52" s="45"/>
      <c r="AB52" s="46"/>
    </row>
    <row r="53" spans="2:28" x14ac:dyDescent="0.25">
      <c r="H53" t="s">
        <v>43</v>
      </c>
      <c r="I53" s="44">
        <v>7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0.2</v>
      </c>
      <c r="P53" s="50">
        <v>0.2</v>
      </c>
      <c r="Q53" s="50">
        <v>0.2</v>
      </c>
      <c r="R53" s="50">
        <v>0.5</v>
      </c>
      <c r="S53" s="50">
        <v>0.5</v>
      </c>
      <c r="T53" s="50">
        <v>0.5</v>
      </c>
      <c r="U53" s="61">
        <v>1</v>
      </c>
      <c r="V53" s="50">
        <v>1</v>
      </c>
      <c r="W53" s="50">
        <v>1</v>
      </c>
      <c r="X53" s="50">
        <v>1</v>
      </c>
      <c r="Y53" s="50">
        <v>1</v>
      </c>
      <c r="Z53" s="50">
        <v>1</v>
      </c>
      <c r="AA53" s="50">
        <v>1.5</v>
      </c>
      <c r="AB53" s="58">
        <v>1</v>
      </c>
    </row>
    <row r="54" spans="2:28" x14ac:dyDescent="0.25">
      <c r="H54" t="s">
        <v>44</v>
      </c>
      <c r="I54" s="44">
        <v>8</v>
      </c>
      <c r="J54" s="50">
        <v>0.2</v>
      </c>
      <c r="K54" s="50">
        <v>0.2</v>
      </c>
      <c r="L54" s="50">
        <v>0.2</v>
      </c>
      <c r="M54" s="50">
        <v>0.2</v>
      </c>
      <c r="N54" s="50">
        <v>0.2</v>
      </c>
      <c r="O54" s="50">
        <v>0.5</v>
      </c>
      <c r="P54" s="50">
        <v>0.5</v>
      </c>
      <c r="Q54" s="50">
        <v>0.5</v>
      </c>
      <c r="R54" s="50">
        <v>0.5</v>
      </c>
      <c r="S54" s="50">
        <v>0.5</v>
      </c>
      <c r="T54" s="50">
        <v>0.5</v>
      </c>
      <c r="U54" s="61">
        <v>1</v>
      </c>
      <c r="V54" s="50">
        <v>1</v>
      </c>
      <c r="W54" s="50">
        <v>1</v>
      </c>
      <c r="X54" s="50">
        <v>1</v>
      </c>
      <c r="Y54" s="50">
        <v>1</v>
      </c>
      <c r="Z54" s="50">
        <v>1</v>
      </c>
      <c r="AA54" s="50">
        <v>1.5</v>
      </c>
      <c r="AB54" s="58">
        <v>1</v>
      </c>
    </row>
    <row r="55" spans="2:28" x14ac:dyDescent="0.25">
      <c r="G55" t="s">
        <v>46</v>
      </c>
      <c r="H55" t="s">
        <v>45</v>
      </c>
      <c r="I55" s="44">
        <v>9</v>
      </c>
      <c r="J55" s="50">
        <v>0.2</v>
      </c>
      <c r="K55" s="50">
        <v>0.2</v>
      </c>
      <c r="L55" s="50">
        <v>0.2</v>
      </c>
      <c r="M55" s="50">
        <v>0.2</v>
      </c>
      <c r="N55" s="50">
        <v>0.2</v>
      </c>
      <c r="O55" s="50">
        <v>0.5</v>
      </c>
      <c r="P55" s="50">
        <v>0.5</v>
      </c>
      <c r="Q55" s="50">
        <v>0.5</v>
      </c>
      <c r="R55" s="50">
        <v>1</v>
      </c>
      <c r="S55" s="50">
        <v>1</v>
      </c>
      <c r="T55" s="50">
        <v>1</v>
      </c>
      <c r="U55" s="61">
        <v>1</v>
      </c>
      <c r="V55" s="50">
        <v>1</v>
      </c>
      <c r="W55" s="50">
        <v>1</v>
      </c>
      <c r="X55" s="50">
        <v>1</v>
      </c>
      <c r="Y55" s="50">
        <v>1</v>
      </c>
      <c r="Z55" s="50">
        <v>1</v>
      </c>
      <c r="AA55" s="50">
        <v>1.5</v>
      </c>
      <c r="AB55" s="58">
        <v>1</v>
      </c>
    </row>
    <row r="56" spans="2:28" x14ac:dyDescent="0.25">
      <c r="H56" t="s">
        <v>74</v>
      </c>
      <c r="I56" s="44">
        <v>10</v>
      </c>
      <c r="J56" s="50">
        <v>0.75</v>
      </c>
      <c r="K56" s="50">
        <v>0.75</v>
      </c>
      <c r="L56" s="50">
        <v>0.75</v>
      </c>
      <c r="M56" s="50">
        <v>0.75</v>
      </c>
      <c r="N56" s="50">
        <v>0.75</v>
      </c>
      <c r="O56" s="50">
        <v>0.75</v>
      </c>
      <c r="P56" s="50">
        <v>0.75</v>
      </c>
      <c r="Q56" s="50">
        <v>0.75</v>
      </c>
      <c r="R56" s="50">
        <v>0.75</v>
      </c>
      <c r="S56" s="50">
        <v>0.75</v>
      </c>
      <c r="T56" s="50">
        <v>0.75</v>
      </c>
      <c r="U56" s="61">
        <v>0.75</v>
      </c>
      <c r="V56" s="50">
        <v>0.75</v>
      </c>
      <c r="W56" s="50">
        <v>0.75</v>
      </c>
      <c r="X56" s="50">
        <v>0.75</v>
      </c>
      <c r="Y56" s="50">
        <v>0.75</v>
      </c>
      <c r="Z56" s="50">
        <v>0.75</v>
      </c>
      <c r="AA56" s="50">
        <v>0.75</v>
      </c>
      <c r="AB56" s="58">
        <v>0.75</v>
      </c>
    </row>
    <row r="57" spans="2:28" x14ac:dyDescent="0.25">
      <c r="H57" t="s">
        <v>47</v>
      </c>
      <c r="I57" s="44">
        <v>11</v>
      </c>
      <c r="J57" s="50">
        <v>0.35</v>
      </c>
      <c r="K57" s="50">
        <v>0.35</v>
      </c>
      <c r="L57" s="50">
        <v>0.35</v>
      </c>
      <c r="M57" s="50">
        <v>0.35</v>
      </c>
      <c r="N57" s="50">
        <v>0.35</v>
      </c>
      <c r="O57" s="50">
        <v>0.35</v>
      </c>
      <c r="P57" s="50">
        <v>0.35</v>
      </c>
      <c r="Q57" s="50">
        <v>0.35</v>
      </c>
      <c r="R57" s="50">
        <v>0.35</v>
      </c>
      <c r="S57" s="50">
        <v>0.35</v>
      </c>
      <c r="T57" s="50">
        <v>0.35</v>
      </c>
      <c r="U57" s="61">
        <v>0.35</v>
      </c>
      <c r="V57" s="50">
        <v>0.35</v>
      </c>
      <c r="W57" s="50">
        <v>0.35</v>
      </c>
      <c r="X57" s="50">
        <v>0.35</v>
      </c>
      <c r="Y57" s="50">
        <v>0.35</v>
      </c>
      <c r="Z57" s="50">
        <v>0.35</v>
      </c>
      <c r="AA57" s="50">
        <v>0.35</v>
      </c>
      <c r="AB57" s="58">
        <v>0.35</v>
      </c>
    </row>
    <row r="58" spans="2:28" ht="15.75" thickBot="1" x14ac:dyDescent="0.3">
      <c r="H58" t="s">
        <v>56</v>
      </c>
      <c r="I58" s="47">
        <v>12</v>
      </c>
      <c r="J58" s="59">
        <v>0.2</v>
      </c>
      <c r="K58" s="59">
        <v>0.2</v>
      </c>
      <c r="L58" s="59">
        <v>0.2</v>
      </c>
      <c r="M58" s="59">
        <v>0.2</v>
      </c>
      <c r="N58" s="59">
        <v>0.2</v>
      </c>
      <c r="O58" s="59">
        <v>0.5</v>
      </c>
      <c r="P58" s="59">
        <v>0.5</v>
      </c>
      <c r="Q58" s="59">
        <v>0.5</v>
      </c>
      <c r="R58" s="59">
        <v>1</v>
      </c>
      <c r="S58" s="59">
        <v>1</v>
      </c>
      <c r="T58" s="59">
        <v>1</v>
      </c>
      <c r="U58" s="62">
        <v>1</v>
      </c>
      <c r="V58" s="59">
        <v>1</v>
      </c>
      <c r="W58" s="59">
        <v>1</v>
      </c>
      <c r="X58" s="59">
        <v>1.5</v>
      </c>
      <c r="Y58" s="59">
        <v>1.5</v>
      </c>
      <c r="Z58" s="59">
        <v>1.5</v>
      </c>
      <c r="AA58" s="59">
        <v>1.5</v>
      </c>
      <c r="AB58" s="60">
        <v>1</v>
      </c>
    </row>
    <row r="59" spans="2:28" x14ac:dyDescent="0.25">
      <c r="J59" s="21"/>
      <c r="T59" s="22"/>
    </row>
    <row r="60" spans="2:28" x14ac:dyDescent="0.25">
      <c r="J60" s="21"/>
      <c r="K60" s="13" t="s">
        <v>55</v>
      </c>
      <c r="T60" s="22"/>
    </row>
    <row r="61" spans="2:28" x14ac:dyDescent="0.25">
      <c r="T61" s="22"/>
    </row>
    <row r="62" spans="2:28" ht="23.25" x14ac:dyDescent="0.35">
      <c r="G62" s="27" t="s">
        <v>70</v>
      </c>
    </row>
    <row r="64" spans="2:28" x14ac:dyDescent="0.25">
      <c r="G64" s="34" t="s">
        <v>71</v>
      </c>
      <c r="H64" s="34"/>
      <c r="I64" s="34"/>
      <c r="J64" s="34"/>
      <c r="K64" s="34"/>
      <c r="L64" s="34"/>
      <c r="M64" s="34" t="s">
        <v>72</v>
      </c>
      <c r="N64" s="34"/>
    </row>
    <row r="65" spans="7:15" x14ac:dyDescent="0.25">
      <c r="I65" t="s">
        <v>81</v>
      </c>
      <c r="M65" t="s">
        <v>82</v>
      </c>
    </row>
    <row r="66" spans="7:15" ht="15.75" thickBot="1" x14ac:dyDescent="0.3">
      <c r="G66" t="s">
        <v>83</v>
      </c>
      <c r="I66" t="s">
        <v>77</v>
      </c>
      <c r="J66" t="s">
        <v>78</v>
      </c>
      <c r="K66" t="s">
        <v>79</v>
      </c>
      <c r="L66" t="s">
        <v>80</v>
      </c>
      <c r="M66" t="s">
        <v>77</v>
      </c>
      <c r="N66" t="s">
        <v>78</v>
      </c>
      <c r="O66" t="s">
        <v>79</v>
      </c>
    </row>
    <row r="67" spans="7:15" x14ac:dyDescent="0.25">
      <c r="H67" s="41" t="s">
        <v>122</v>
      </c>
      <c r="I67" s="42" t="s">
        <v>135</v>
      </c>
      <c r="J67" s="42"/>
      <c r="K67" s="42"/>
      <c r="L67" s="42"/>
      <c r="M67" s="42"/>
      <c r="N67" s="42"/>
      <c r="O67" s="43"/>
    </row>
    <row r="68" spans="7:15" x14ac:dyDescent="0.25">
      <c r="H68" s="44" t="s">
        <v>123</v>
      </c>
      <c r="I68" s="45" t="s">
        <v>124</v>
      </c>
      <c r="J68" s="45"/>
      <c r="K68" s="45"/>
      <c r="L68" s="45"/>
      <c r="M68" s="45"/>
      <c r="N68" s="45"/>
      <c r="O68" s="46"/>
    </row>
    <row r="69" spans="7:15" x14ac:dyDescent="0.25">
      <c r="H69" s="44" t="s">
        <v>125</v>
      </c>
      <c r="I69" s="45">
        <v>1</v>
      </c>
      <c r="J69" s="45">
        <v>2</v>
      </c>
      <c r="K69" s="45">
        <v>3</v>
      </c>
      <c r="L69" s="45">
        <v>4</v>
      </c>
      <c r="M69" s="45">
        <v>5</v>
      </c>
      <c r="N69" s="45">
        <v>6</v>
      </c>
      <c r="O69" s="46">
        <v>7</v>
      </c>
    </row>
    <row r="70" spans="7:15" x14ac:dyDescent="0.25">
      <c r="H70" s="44" t="s">
        <v>126</v>
      </c>
      <c r="I70" s="45"/>
      <c r="J70" s="45"/>
      <c r="K70" s="45"/>
      <c r="L70" s="45"/>
      <c r="M70" s="45"/>
      <c r="N70" s="45"/>
      <c r="O70" s="46"/>
    </row>
    <row r="71" spans="7:15" x14ac:dyDescent="0.25">
      <c r="H71" s="44" t="s">
        <v>68</v>
      </c>
      <c r="I71" s="45"/>
      <c r="J71" s="45"/>
      <c r="K71" s="45"/>
      <c r="L71" s="45"/>
      <c r="M71" s="45"/>
      <c r="N71" s="45"/>
      <c r="O71" s="46"/>
    </row>
    <row r="72" spans="7:15" x14ac:dyDescent="0.25">
      <c r="H72" s="44" t="s">
        <v>91</v>
      </c>
      <c r="I72" s="63">
        <v>10</v>
      </c>
      <c r="J72" s="63">
        <v>12.5</v>
      </c>
      <c r="K72" s="63">
        <v>25</v>
      </c>
      <c r="L72" s="64">
        <v>0.18</v>
      </c>
      <c r="M72" s="63">
        <f>I72*$L72</f>
        <v>1.7999999999999998</v>
      </c>
      <c r="N72" s="63">
        <f t="shared" ref="N72:O76" si="0">J72*$L72</f>
        <v>2.25</v>
      </c>
      <c r="O72" s="65">
        <f t="shared" si="0"/>
        <v>4.5</v>
      </c>
    </row>
    <row r="73" spans="7:15" x14ac:dyDescent="0.25">
      <c r="H73" s="44" t="s">
        <v>74</v>
      </c>
      <c r="I73" s="63">
        <v>10</v>
      </c>
      <c r="J73" s="63">
        <v>12.5</v>
      </c>
      <c r="K73" s="63">
        <v>25</v>
      </c>
      <c r="L73" s="64">
        <v>0.15</v>
      </c>
      <c r="M73" s="63">
        <f>I73*$L73</f>
        <v>1.5</v>
      </c>
      <c r="N73" s="63">
        <f t="shared" si="0"/>
        <v>1.875</v>
      </c>
      <c r="O73" s="65">
        <f t="shared" si="0"/>
        <v>3.75</v>
      </c>
    </row>
    <row r="74" spans="7:15" x14ac:dyDescent="0.25">
      <c r="H74" s="44" t="s">
        <v>73</v>
      </c>
      <c r="I74" s="63">
        <v>10</v>
      </c>
      <c r="J74" s="63">
        <v>12.5</v>
      </c>
      <c r="K74" s="63">
        <v>25</v>
      </c>
      <c r="L74" s="64">
        <v>0.12</v>
      </c>
      <c r="M74" s="63">
        <f>I74*$L74</f>
        <v>1.2</v>
      </c>
      <c r="N74" s="63">
        <f t="shared" si="0"/>
        <v>1.5</v>
      </c>
      <c r="O74" s="65">
        <f t="shared" si="0"/>
        <v>3</v>
      </c>
    </row>
    <row r="75" spans="7:15" x14ac:dyDescent="0.25">
      <c r="H75" s="44" t="s">
        <v>75</v>
      </c>
      <c r="I75" s="63">
        <v>10</v>
      </c>
      <c r="J75" s="63">
        <v>12.5</v>
      </c>
      <c r="K75" s="63">
        <v>25</v>
      </c>
      <c r="L75" s="64">
        <v>0.15</v>
      </c>
      <c r="M75" s="63">
        <f>I75*$L75</f>
        <v>1.5</v>
      </c>
      <c r="N75" s="63">
        <f t="shared" si="0"/>
        <v>1.875</v>
      </c>
      <c r="O75" s="65">
        <f t="shared" si="0"/>
        <v>3.75</v>
      </c>
    </row>
    <row r="76" spans="7:15" ht="15.75" thickBot="1" x14ac:dyDescent="0.3">
      <c r="H76" s="47" t="s">
        <v>76</v>
      </c>
      <c r="I76" s="66">
        <v>10</v>
      </c>
      <c r="J76" s="66">
        <v>12.5</v>
      </c>
      <c r="K76" s="66">
        <v>25</v>
      </c>
      <c r="L76" s="67">
        <v>0.15</v>
      </c>
      <c r="M76" s="66">
        <f>I76*$L76</f>
        <v>1.5</v>
      </c>
      <c r="N76" s="66">
        <f t="shared" si="0"/>
        <v>1.875</v>
      </c>
      <c r="O76" s="68">
        <f t="shared" si="0"/>
        <v>3.75</v>
      </c>
    </row>
    <row r="77" spans="7:15" x14ac:dyDescent="0.25">
      <c r="H77" s="30" t="s">
        <v>84</v>
      </c>
      <c r="I77" s="32">
        <f>SUM(I72:I76)</f>
        <v>50</v>
      </c>
      <c r="J77" s="32">
        <f t="shared" ref="J77:O77" si="1">SUM(J72:J76)</f>
        <v>62.5</v>
      </c>
      <c r="K77" s="32">
        <f t="shared" si="1"/>
        <v>125</v>
      </c>
      <c r="L77" s="28"/>
      <c r="M77" s="32">
        <f t="shared" si="1"/>
        <v>7.5</v>
      </c>
      <c r="N77" s="32">
        <f t="shared" si="1"/>
        <v>9.375</v>
      </c>
      <c r="O77" s="32">
        <f t="shared" si="1"/>
        <v>18.75</v>
      </c>
    </row>
    <row r="78" spans="7:15" x14ac:dyDescent="0.25">
      <c r="H78" s="30" t="s">
        <v>85</v>
      </c>
      <c r="I78" s="31">
        <f>SUM(I72:I76)</f>
        <v>50</v>
      </c>
      <c r="J78" s="31">
        <f>IF(J77&lt;0,"",J77)</f>
        <v>62.5</v>
      </c>
      <c r="K78" s="31">
        <f t="shared" ref="K78" si="2">SUM(K72:K76)</f>
        <v>125</v>
      </c>
      <c r="M78" s="31">
        <f>SUM(M72:M76)</f>
        <v>7.5</v>
      </c>
      <c r="N78" s="31">
        <f>MAX(0,N77)</f>
        <v>9.375</v>
      </c>
      <c r="O78" s="31">
        <f t="shared" ref="O78" si="3">SUM(O72:O76)</f>
        <v>18.75</v>
      </c>
    </row>
    <row r="79" spans="7:15" x14ac:dyDescent="0.25">
      <c r="H79" s="30" t="s">
        <v>86</v>
      </c>
      <c r="J79" t="s">
        <v>87</v>
      </c>
      <c r="K79" s="32">
        <f>AVERAGE(I78:K78)</f>
        <v>79.166666666666671</v>
      </c>
      <c r="L79" s="29"/>
      <c r="M79" s="29"/>
      <c r="N79" s="29" t="s">
        <v>89</v>
      </c>
      <c r="O79" s="33">
        <f>AVERAGE(M78:O78)</f>
        <v>11.875</v>
      </c>
    </row>
    <row r="80" spans="7:15" x14ac:dyDescent="0.25">
      <c r="J80" t="s">
        <v>88</v>
      </c>
      <c r="K80" s="21">
        <v>0.15</v>
      </c>
      <c r="L80" s="29"/>
      <c r="M80" s="29"/>
      <c r="N80" s="29"/>
      <c r="O80" s="29"/>
    </row>
    <row r="81" spans="10:15" x14ac:dyDescent="0.25">
      <c r="J81" t="s">
        <v>89</v>
      </c>
      <c r="K81" s="33">
        <f>K79*K80</f>
        <v>11.875</v>
      </c>
      <c r="L81" s="29"/>
      <c r="M81" s="29"/>
      <c r="N81" s="29"/>
      <c r="O81" s="29"/>
    </row>
  </sheetData>
  <protectedRanges>
    <protectedRange password="DBBD" sqref="AN23 AN3:AN15" name="Parameters voor RiskCube"/>
  </protectedRanges>
  <dataValidations count="3">
    <dataValidation type="list" allowBlank="1" showInputMessage="1" showErrorMessage="1" sqref="B4">
      <formula1>$AP$3:$AP$9</formula1>
    </dataValidation>
    <dataValidation type="list" showInputMessage="1" showErrorMessage="1" sqref="B1">
      <formula1>$AJ$3:$AJ$4</formula1>
    </dataValidation>
    <dataValidation type="list" allowBlank="1" showInputMessage="1" showErrorMessage="1" sqref="B6 B19">
      <formula1>$AM$3:$AM$20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1"/>
  <sheetViews>
    <sheetView zoomScale="70" zoomScaleNormal="70" workbookViewId="0">
      <selection activeCell="E36" sqref="E36"/>
    </sheetView>
  </sheetViews>
  <sheetFormatPr defaultRowHeight="15" x14ac:dyDescent="0.25"/>
  <cols>
    <col min="1" max="1" width="45.7109375" customWidth="1"/>
    <col min="2" max="2" width="14.140625" bestFit="1" customWidth="1"/>
    <col min="5" max="5" width="23.85546875" bestFit="1" customWidth="1"/>
    <col min="6" max="6" width="3.140625" customWidth="1"/>
    <col min="7" max="8" width="17.85546875" customWidth="1"/>
    <col min="9" max="9" width="12.28515625" customWidth="1"/>
    <col min="10" max="10" width="9.85546875" customWidth="1"/>
    <col min="11" max="16" width="12" customWidth="1"/>
    <col min="17" max="21" width="9" customWidth="1"/>
    <col min="30" max="40" width="9.140625" hidden="1" customWidth="1"/>
    <col min="41" max="41" width="10.5703125" hidden="1" customWidth="1"/>
    <col min="42" max="46" width="9.140625" hidden="1" customWidth="1"/>
    <col min="47" max="48" width="0" hidden="1" customWidth="1"/>
  </cols>
  <sheetData>
    <row r="1" spans="1:42" ht="15.75" thickBot="1" x14ac:dyDescent="0.3">
      <c r="A1" s="35" t="s">
        <v>95</v>
      </c>
      <c r="B1" s="36" t="s">
        <v>98</v>
      </c>
    </row>
    <row r="2" spans="1:42" x14ac:dyDescent="0.25">
      <c r="J2" t="s">
        <v>104</v>
      </c>
      <c r="AJ2" t="s">
        <v>96</v>
      </c>
      <c r="AM2" t="s">
        <v>65</v>
      </c>
      <c r="AP2" t="s">
        <v>83</v>
      </c>
    </row>
    <row r="3" spans="1:42" x14ac:dyDescent="0.25">
      <c r="A3" t="s">
        <v>66</v>
      </c>
      <c r="B3" t="s">
        <v>67</v>
      </c>
      <c r="AD3" s="1" t="s">
        <v>16</v>
      </c>
      <c r="AJ3" t="s">
        <v>98</v>
      </c>
      <c r="AM3" t="s">
        <v>37</v>
      </c>
      <c r="AN3" s="75">
        <v>1</v>
      </c>
      <c r="AO3" s="76">
        <v>1.0000000000000001E-5</v>
      </c>
      <c r="AP3" t="s">
        <v>91</v>
      </c>
    </row>
    <row r="4" spans="1:42" x14ac:dyDescent="0.25">
      <c r="A4" t="s">
        <v>90</v>
      </c>
      <c r="B4" t="s">
        <v>91</v>
      </c>
      <c r="J4" t="s">
        <v>107</v>
      </c>
      <c r="AD4" s="1"/>
      <c r="AJ4" t="s">
        <v>97</v>
      </c>
      <c r="AM4" t="s">
        <v>49</v>
      </c>
      <c r="AN4" s="75">
        <v>2</v>
      </c>
      <c r="AO4" s="76">
        <v>2.0000000000000002E-5</v>
      </c>
      <c r="AP4" t="s">
        <v>74</v>
      </c>
    </row>
    <row r="5" spans="1:42" x14ac:dyDescent="0.25">
      <c r="A5" t="s">
        <v>137</v>
      </c>
      <c r="B5">
        <v>12</v>
      </c>
      <c r="J5" t="s">
        <v>108</v>
      </c>
      <c r="L5" s="3">
        <f>VLOOKUP($B$6,$J$16:$P$39,6,FALSE)</f>
        <v>0.04</v>
      </c>
      <c r="AD5" s="1"/>
      <c r="AM5" t="s">
        <v>38</v>
      </c>
      <c r="AN5" s="75">
        <v>3</v>
      </c>
      <c r="AO5" s="76">
        <v>4.0000000000000003E-5</v>
      </c>
      <c r="AP5" t="s">
        <v>73</v>
      </c>
    </row>
    <row r="6" spans="1:42" x14ac:dyDescent="0.25">
      <c r="A6" t="s">
        <v>65</v>
      </c>
      <c r="B6" s="24" t="s">
        <v>38</v>
      </c>
      <c r="AD6" s="5" t="s">
        <v>17</v>
      </c>
      <c r="AM6" t="s">
        <v>50</v>
      </c>
      <c r="AN6" s="75">
        <v>4</v>
      </c>
      <c r="AO6" s="76">
        <v>8.0000000000000007E-5</v>
      </c>
      <c r="AP6" t="s">
        <v>75</v>
      </c>
    </row>
    <row r="7" spans="1:42" x14ac:dyDescent="0.25">
      <c r="A7" t="s">
        <v>0</v>
      </c>
      <c r="B7" s="79">
        <f>VLOOKUP(B6,$AM$3:$AO$23,3,FALSE)</f>
        <v>4.0000000000000003E-5</v>
      </c>
      <c r="E7" s="9" t="s">
        <v>19</v>
      </c>
      <c r="F7" s="12"/>
      <c r="G7" t="s">
        <v>146</v>
      </c>
      <c r="H7" t="s">
        <v>147</v>
      </c>
      <c r="J7" t="s">
        <v>109</v>
      </c>
      <c r="AD7" s="6" t="s">
        <v>18</v>
      </c>
      <c r="AM7" t="s">
        <v>51</v>
      </c>
      <c r="AN7" s="75">
        <v>5</v>
      </c>
      <c r="AO7" s="76">
        <v>1E-4</v>
      </c>
      <c r="AP7" t="s">
        <v>76</v>
      </c>
    </row>
    <row r="8" spans="1:42" x14ac:dyDescent="0.25">
      <c r="A8" t="s">
        <v>64</v>
      </c>
      <c r="B8" s="39">
        <f>HLOOKUP($B$6,I47:AB58,B5,FALSE)</f>
        <v>0.2</v>
      </c>
      <c r="E8" s="12"/>
      <c r="F8" s="12"/>
      <c r="J8" t="s">
        <v>110</v>
      </c>
      <c r="L8" s="3">
        <f>VLOOKUP($B$19,$J$16:$P$39,6,FALSE)</f>
        <v>0.04</v>
      </c>
      <c r="AD8" s="6"/>
      <c r="AM8" t="s">
        <v>39</v>
      </c>
      <c r="AN8" s="75">
        <v>6</v>
      </c>
      <c r="AO8" s="76">
        <v>2.0000000000000001E-4</v>
      </c>
      <c r="AP8" t="s">
        <v>84</v>
      </c>
    </row>
    <row r="9" spans="1:42" x14ac:dyDescent="0.25">
      <c r="A9" t="s">
        <v>5</v>
      </c>
      <c r="B9" s="6">
        <v>1</v>
      </c>
      <c r="E9" t="s">
        <v>11</v>
      </c>
      <c r="F9" s="15" t="s">
        <v>30</v>
      </c>
      <c r="G9" s="4">
        <v>4.2000000000000003E-2</v>
      </c>
      <c r="H9" s="4">
        <f>Facility_tpFunding</f>
        <v>4.2000000000000003E-2</v>
      </c>
      <c r="I9" s="4"/>
      <c r="J9" t="s">
        <v>111</v>
      </c>
      <c r="L9">
        <v>0</v>
      </c>
      <c r="AM9" t="s">
        <v>52</v>
      </c>
      <c r="AN9" s="75">
        <v>7</v>
      </c>
      <c r="AO9" s="76">
        <v>4.0000000000000002E-4</v>
      </c>
      <c r="AP9" t="s">
        <v>85</v>
      </c>
    </row>
    <row r="10" spans="1:42" x14ac:dyDescent="0.25">
      <c r="A10" t="s">
        <v>3</v>
      </c>
      <c r="B10" s="2">
        <v>10000</v>
      </c>
      <c r="E10" t="s">
        <v>1</v>
      </c>
      <c r="F10" s="15" t="s">
        <v>30</v>
      </c>
      <c r="G10" s="5">
        <f>IF((Facility_tpProductSelected=1),(((HurdleRate*Facility_tpEC)-(1-Taxrate)*(Facility_tpFunding*Facility_tpEC-(Facility_tpEL)))/(Facility_tpPrincipalLimit*(1-Taxrate))))</f>
        <v>1.5283999999999997E-2</v>
      </c>
      <c r="H10" s="81">
        <f>(Facility_tpECRatio*Facility_tpEC)/Facility_tpPrincipalLimit</f>
        <v>2.1056000000000002E-2</v>
      </c>
      <c r="AM10" t="s">
        <v>53</v>
      </c>
      <c r="AN10" s="77">
        <v>8</v>
      </c>
      <c r="AO10" s="78">
        <v>8.9999999999999998E-4</v>
      </c>
    </row>
    <row r="11" spans="1:42" x14ac:dyDescent="0.25">
      <c r="A11" t="s">
        <v>22</v>
      </c>
      <c r="B11" s="17">
        <v>25</v>
      </c>
      <c r="E11" t="s">
        <v>6</v>
      </c>
      <c r="F11" s="15" t="s">
        <v>30</v>
      </c>
      <c r="G11" s="5">
        <f>IFERROR(Facility_tpUsedRate-Facility_tpRiskPremium-Facility_tpReturnPercentage-Facility_tpFunding,NA)</f>
        <v>7.381600000000009E-3</v>
      </c>
      <c r="H11" s="5">
        <f>H13-H12-H10-H9</f>
        <v>1.6095999999999958E-3</v>
      </c>
      <c r="AM11" t="s">
        <v>40</v>
      </c>
      <c r="AN11" s="77">
        <v>9</v>
      </c>
      <c r="AO11" s="78">
        <v>1.6999999999999999E-3</v>
      </c>
    </row>
    <row r="12" spans="1:42" x14ac:dyDescent="0.25">
      <c r="A12" t="s">
        <v>23</v>
      </c>
      <c r="B12" s="17">
        <v>0</v>
      </c>
      <c r="E12" t="s">
        <v>12</v>
      </c>
      <c r="F12" s="15" t="s">
        <v>30</v>
      </c>
      <c r="G12" s="14">
        <f>IFERROR((Facility_tpReturnAbsolute)/(Facility_tpPrincipalLimit*(1-Taxrate)),NA)</f>
        <v>1.8684399999999986E-2</v>
      </c>
      <c r="H12" s="14">
        <f>IFERROR((H32)/(Facility_tpPrincipalLimit*(1-Taxrate)),NA)</f>
        <v>2.632E-2</v>
      </c>
      <c r="AM12" t="s">
        <v>54</v>
      </c>
      <c r="AN12" s="77">
        <v>10</v>
      </c>
      <c r="AO12" s="78">
        <v>4.1999999999999997E-3</v>
      </c>
    </row>
    <row r="13" spans="1:42" x14ac:dyDescent="0.25">
      <c r="A13" t="s">
        <v>24</v>
      </c>
      <c r="B13" s="17">
        <v>0</v>
      </c>
      <c r="E13" t="s">
        <v>13</v>
      </c>
      <c r="G13" s="5">
        <f>IF(Facility_tpProductSelected=1,IFERROR(((RendementseisBank*Facility_tpEC)-(1-Taxrate)*(Facility_tpFunding*Facility_tpEC-(Facility_tpEL+Facility_tpProcessCostsAbsolute)))/(Facility_tpPrincipalLimit*(1-Taxrate))+Facility_tpFunding,NA),NA)</f>
        <v>8.3352800000000005E-2</v>
      </c>
      <c r="H13" s="5">
        <f>H25/Facility_tpPrincipalLimit</f>
        <v>9.09856E-2</v>
      </c>
      <c r="AM13" t="s">
        <v>59</v>
      </c>
      <c r="AN13" s="77">
        <v>11</v>
      </c>
      <c r="AO13" s="78">
        <v>8.6999999999999994E-3</v>
      </c>
    </row>
    <row r="14" spans="1:42" x14ac:dyDescent="0.25">
      <c r="A14" t="s">
        <v>25</v>
      </c>
      <c r="B14" s="17">
        <v>0</v>
      </c>
      <c r="E14" t="s">
        <v>14</v>
      </c>
      <c r="G14" s="7">
        <v>8.3349999999999994E-2</v>
      </c>
      <c r="H14" s="4">
        <f>H13</f>
        <v>9.09856E-2</v>
      </c>
      <c r="J14" t="s">
        <v>115</v>
      </c>
      <c r="AM14" t="s">
        <v>41</v>
      </c>
      <c r="AN14" s="77">
        <v>12</v>
      </c>
      <c r="AO14" s="78">
        <v>1.5599999999999999E-2</v>
      </c>
    </row>
    <row r="15" spans="1:42" x14ac:dyDescent="0.25">
      <c r="E15" t="s">
        <v>15</v>
      </c>
      <c r="G15" s="5">
        <f xml:space="preserve"> Facility_tpUsedRate - Facility_tpFunding</f>
        <v>4.1349999999999991E-2</v>
      </c>
      <c r="H15" s="5">
        <f>H13-H9</f>
        <v>4.8985599999999997E-2</v>
      </c>
      <c r="J15" t="s">
        <v>65</v>
      </c>
      <c r="K15" t="s">
        <v>112</v>
      </c>
      <c r="N15" t="s">
        <v>113</v>
      </c>
      <c r="AM15" t="s">
        <v>60</v>
      </c>
      <c r="AN15" s="77">
        <v>13</v>
      </c>
      <c r="AO15" s="78">
        <v>2.81E-2</v>
      </c>
    </row>
    <row r="16" spans="1:42" ht="15.75" thickBot="1" x14ac:dyDescent="0.3">
      <c r="A16" t="s">
        <v>103</v>
      </c>
      <c r="G16" s="5"/>
      <c r="H16" s="11"/>
      <c r="J16" t="s">
        <v>114</v>
      </c>
      <c r="K16" t="s">
        <v>129</v>
      </c>
      <c r="L16" s="37" t="s">
        <v>128</v>
      </c>
      <c r="M16" t="s">
        <v>127</v>
      </c>
      <c r="N16" t="s">
        <v>132</v>
      </c>
      <c r="O16" s="37" t="s">
        <v>131</v>
      </c>
      <c r="P16" t="s">
        <v>130</v>
      </c>
      <c r="AM16" t="s">
        <v>61</v>
      </c>
      <c r="AN16" s="77">
        <v>14</v>
      </c>
      <c r="AO16" s="78">
        <v>4.6800000000000001E-2</v>
      </c>
    </row>
    <row r="17" spans="1:41" x14ac:dyDescent="0.25">
      <c r="A17" t="s">
        <v>120</v>
      </c>
      <c r="B17" s="2">
        <v>0</v>
      </c>
      <c r="G17" s="5"/>
      <c r="H17" s="11"/>
      <c r="J17" s="41" t="s">
        <v>122</v>
      </c>
      <c r="K17" s="42" t="s">
        <v>134</v>
      </c>
      <c r="L17" s="42"/>
      <c r="M17" s="42"/>
      <c r="N17" s="42"/>
      <c r="O17" s="42"/>
      <c r="P17" s="43"/>
      <c r="AM17" t="s">
        <v>42</v>
      </c>
      <c r="AN17" s="77">
        <v>15</v>
      </c>
      <c r="AO17" s="78">
        <v>7.1599999999999997E-2</v>
      </c>
    </row>
    <row r="18" spans="1:41" x14ac:dyDescent="0.25">
      <c r="A18" t="s">
        <v>136</v>
      </c>
      <c r="B18">
        <v>12</v>
      </c>
      <c r="G18" s="5"/>
      <c r="H18" s="11"/>
      <c r="J18" s="44" t="s">
        <v>123</v>
      </c>
      <c r="K18" s="45" t="s">
        <v>124</v>
      </c>
      <c r="L18" s="45"/>
      <c r="M18" s="45"/>
      <c r="N18" s="45"/>
      <c r="O18" s="45"/>
      <c r="P18" s="46"/>
      <c r="AM18" t="s">
        <v>62</v>
      </c>
      <c r="AN18" s="77">
        <v>16</v>
      </c>
      <c r="AO18" s="78">
        <v>0.1162</v>
      </c>
    </row>
    <row r="19" spans="1:41" x14ac:dyDescent="0.25">
      <c r="A19" t="s">
        <v>65</v>
      </c>
      <c r="B19" s="24" t="s">
        <v>38</v>
      </c>
      <c r="G19" s="5"/>
      <c r="H19" s="11"/>
      <c r="J19" s="44" t="s">
        <v>125</v>
      </c>
      <c r="K19" s="45">
        <v>1</v>
      </c>
      <c r="L19" s="45">
        <v>2</v>
      </c>
      <c r="M19" s="45">
        <v>3</v>
      </c>
      <c r="N19" s="45">
        <v>4</v>
      </c>
      <c r="O19" s="45">
        <v>5</v>
      </c>
      <c r="P19" s="46">
        <v>6</v>
      </c>
      <c r="AM19" t="s">
        <v>141</v>
      </c>
      <c r="AN19" s="77">
        <v>17</v>
      </c>
      <c r="AO19" s="78">
        <v>0.154</v>
      </c>
    </row>
    <row r="20" spans="1:41" x14ac:dyDescent="0.25">
      <c r="A20" t="s">
        <v>0</v>
      </c>
      <c r="B20" s="80">
        <f>VLOOKUP(B19,$AM$3:$AO$23,3,FALSE)</f>
        <v>4.0000000000000003E-5</v>
      </c>
      <c r="G20" s="5"/>
      <c r="H20" s="11"/>
      <c r="J20" s="44" t="s">
        <v>126</v>
      </c>
      <c r="K20" s="45">
        <v>0.15</v>
      </c>
      <c r="L20" s="45">
        <v>0.15</v>
      </c>
      <c r="M20" s="45">
        <v>0.15</v>
      </c>
      <c r="N20" s="45">
        <v>0.15</v>
      </c>
      <c r="O20" s="45">
        <v>0.15</v>
      </c>
      <c r="P20" s="46">
        <v>0.15</v>
      </c>
      <c r="AM20" t="s">
        <v>142</v>
      </c>
      <c r="AN20" s="77">
        <v>18</v>
      </c>
      <c r="AO20" s="78">
        <v>0.17380000000000001</v>
      </c>
    </row>
    <row r="21" spans="1:41" x14ac:dyDescent="0.25">
      <c r="A21" t="s">
        <v>64</v>
      </c>
      <c r="B21" s="39">
        <f>HLOOKUP($B$19,J47:AC58,B18,FALSE)</f>
        <v>0.2</v>
      </c>
      <c r="J21" s="44" t="s">
        <v>68</v>
      </c>
      <c r="K21" s="45">
        <v>0.15</v>
      </c>
      <c r="L21" s="45">
        <v>0.15</v>
      </c>
      <c r="M21" s="45">
        <v>0.15</v>
      </c>
      <c r="N21" s="45">
        <v>0.15</v>
      </c>
      <c r="O21" s="45">
        <v>0.15</v>
      </c>
      <c r="P21" s="46">
        <v>0.15</v>
      </c>
      <c r="AM21" t="s">
        <v>143</v>
      </c>
      <c r="AN21" s="77">
        <v>19</v>
      </c>
      <c r="AO21" s="78">
        <v>0.215</v>
      </c>
    </row>
    <row r="22" spans="1:41" x14ac:dyDescent="0.25">
      <c r="J22" s="44" t="s">
        <v>37</v>
      </c>
      <c r="K22" s="45">
        <v>5.0000000000000001E-3</v>
      </c>
      <c r="L22" s="45">
        <v>0.02</v>
      </c>
      <c r="M22" s="45">
        <v>0.04</v>
      </c>
      <c r="N22" s="45">
        <v>0.01</v>
      </c>
      <c r="O22" s="45">
        <v>0.04</v>
      </c>
      <c r="P22" s="46">
        <v>0.08</v>
      </c>
      <c r="AM22" t="s">
        <v>144</v>
      </c>
      <c r="AN22" s="77">
        <v>20</v>
      </c>
      <c r="AO22" s="78">
        <v>0.26</v>
      </c>
    </row>
    <row r="23" spans="1:41" x14ac:dyDescent="0.25">
      <c r="J23" s="44" t="s">
        <v>49</v>
      </c>
      <c r="K23" s="45">
        <v>5.0000000000000001E-3</v>
      </c>
      <c r="L23" s="45">
        <v>0.02</v>
      </c>
      <c r="M23" s="45">
        <v>0.04</v>
      </c>
      <c r="N23" s="45">
        <v>0.01</v>
      </c>
      <c r="O23" s="45">
        <v>0.04</v>
      </c>
      <c r="P23" s="46">
        <v>0.08</v>
      </c>
      <c r="AM23" t="s">
        <v>145</v>
      </c>
      <c r="AN23" s="77">
        <v>21</v>
      </c>
      <c r="AO23" s="75">
        <v>1</v>
      </c>
    </row>
    <row r="24" spans="1:41" x14ac:dyDescent="0.25">
      <c r="E24" s="9" t="s">
        <v>20</v>
      </c>
      <c r="F24" s="9"/>
      <c r="G24" s="10"/>
      <c r="J24" s="44" t="s">
        <v>38</v>
      </c>
      <c r="K24" s="45">
        <v>5.0000000000000001E-3</v>
      </c>
      <c r="L24" s="45">
        <v>0.02</v>
      </c>
      <c r="M24" s="45">
        <v>0.04</v>
      </c>
      <c r="N24" s="45">
        <v>0.01</v>
      </c>
      <c r="O24" s="45">
        <v>0.04</v>
      </c>
      <c r="P24" s="46">
        <v>0.08</v>
      </c>
    </row>
    <row r="25" spans="1:41" x14ac:dyDescent="0.25">
      <c r="A25" t="s">
        <v>94</v>
      </c>
      <c r="B25" s="18">
        <f>IF(B1="STD",B28+B30,B26+B30)</f>
        <v>2632</v>
      </c>
      <c r="E25" t="s">
        <v>140</v>
      </c>
      <c r="F25" s="15" t="s">
        <v>30</v>
      </c>
      <c r="G25" s="72">
        <f>IFERROR((Facility_tpUsedRate)*Facility_tpPrincipalLimit,NA)</f>
        <v>833.49999999999989</v>
      </c>
      <c r="H25">
        <f>H32-H31+H28+H27+H26</f>
        <v>909.85599999999999</v>
      </c>
      <c r="J25" s="44" t="s">
        <v>50</v>
      </c>
      <c r="K25" s="45">
        <v>5.0000000000000001E-3</v>
      </c>
      <c r="L25" s="45">
        <v>0.02</v>
      </c>
      <c r="M25" s="45">
        <v>0.04</v>
      </c>
      <c r="N25" s="45">
        <v>0.01</v>
      </c>
      <c r="O25" s="45">
        <v>0.04</v>
      </c>
      <c r="P25" s="46">
        <v>0.08</v>
      </c>
    </row>
    <row r="26" spans="1:41" x14ac:dyDescent="0.25">
      <c r="A26" t="s">
        <v>36</v>
      </c>
      <c r="B26" s="18">
        <f>MAX(0,IFERROR(Facility_tpAverageDurationEL*(Facility_tpEAD*Facility_tpLGD*NORMSDIST((NORMSINV(Facility_tpPD)+(Correlation^0.5)*NORMSINV(ConfidenceLevel))/((1-Correlation)^0.5))-Facility_tpEL) * 1.06,NA))</f>
        <v>12.718650970938254</v>
      </c>
      <c r="E26" t="s">
        <v>101</v>
      </c>
      <c r="F26" s="13" t="s">
        <v>29</v>
      </c>
      <c r="G26" s="72">
        <f>MAX(IFERROR(Facility_tpPrincipalLimit*Facility_tpFunding,NA),0)</f>
        <v>420</v>
      </c>
      <c r="H26">
        <f>Facility_tpInterestExpenses</f>
        <v>420</v>
      </c>
      <c r="J26" s="44" t="s">
        <v>51</v>
      </c>
      <c r="K26" s="45">
        <v>0.01</v>
      </c>
      <c r="L26" s="45">
        <v>0.03</v>
      </c>
      <c r="M26" s="45">
        <v>0.06</v>
      </c>
      <c r="N26" s="45">
        <v>0.02</v>
      </c>
      <c r="O26" s="45">
        <v>0.06</v>
      </c>
      <c r="P26" s="46">
        <v>0.12</v>
      </c>
    </row>
    <row r="27" spans="1:41" x14ac:dyDescent="0.25">
      <c r="A27" s="25" t="s">
        <v>105</v>
      </c>
      <c r="B27" s="26">
        <f>Facility_tpECRatio*(RiskWeight*(Facility_tpPrincipalLimit-CollateralValue)+RiskWeightGuarantor*CollateralValue)</f>
        <v>160</v>
      </c>
      <c r="E27" t="s">
        <v>7</v>
      </c>
      <c r="F27" s="13" t="s">
        <v>29</v>
      </c>
      <c r="G27" s="72">
        <f xml:space="preserve"> MAX(0,IFERROR(ProcessCostsModelPercentage*Facility_tpPrincipalLimit - Facility_tpArrangementFee - Facility_tpManagingFeeFacility - Facility_tpFacilityFee - Facility_tpUpfrontFee,NA))</f>
        <v>237</v>
      </c>
      <c r="H27">
        <f>Facility_tpProcessCostsAbsolute</f>
        <v>237</v>
      </c>
      <c r="J27" s="44" t="s">
        <v>39</v>
      </c>
      <c r="K27" s="45">
        <v>0.01</v>
      </c>
      <c r="L27" s="45">
        <v>0.03</v>
      </c>
      <c r="M27" s="45">
        <v>0.06</v>
      </c>
      <c r="N27" s="45">
        <v>0.02</v>
      </c>
      <c r="O27" s="45">
        <v>0.06</v>
      </c>
      <c r="P27" s="46">
        <v>0.12</v>
      </c>
    </row>
    <row r="28" spans="1:41" x14ac:dyDescent="0.25">
      <c r="A28" s="25" t="s">
        <v>106</v>
      </c>
      <c r="B28" s="26">
        <f>Facility_tpECRatio*(Facility_tpPrincipalLimit*(1+H)-CollateralValue*(1-Hc-Hfx))</f>
        <v>832</v>
      </c>
      <c r="E28" t="s">
        <v>100</v>
      </c>
      <c r="F28" s="13" t="s">
        <v>29</v>
      </c>
      <c r="G28" s="72">
        <f>MAX(IFERROR(Facility_tpAverageDurationEL*Facility_tpEAD*Facility_tpLGD*Facility_tpPD,NA),0)</f>
        <v>0.18400000000000002</v>
      </c>
      <c r="H28">
        <f>Facility_tpEL</f>
        <v>0.18400000000000002</v>
      </c>
      <c r="J28" s="44" t="s">
        <v>52</v>
      </c>
      <c r="K28" s="45">
        <v>0.01</v>
      </c>
      <c r="L28" s="45">
        <v>0.03</v>
      </c>
      <c r="M28" s="45">
        <v>0.06</v>
      </c>
      <c r="N28" s="45">
        <v>0.02</v>
      </c>
      <c r="O28" s="45">
        <v>0.06</v>
      </c>
      <c r="P28" s="46">
        <v>0.12</v>
      </c>
    </row>
    <row r="29" spans="1:41" x14ac:dyDescent="0.25">
      <c r="A29" s="25" t="s">
        <v>92</v>
      </c>
      <c r="B29" s="26">
        <f>Facility_tpPrincipalLimit*Alpha</f>
        <v>1500</v>
      </c>
      <c r="F29" s="13"/>
      <c r="G29" s="72"/>
      <c r="J29" s="44" t="s">
        <v>53</v>
      </c>
      <c r="K29" s="45">
        <v>0.01</v>
      </c>
      <c r="L29" s="45">
        <v>0.03</v>
      </c>
      <c r="M29" s="45">
        <v>0.06</v>
      </c>
      <c r="N29" s="45">
        <v>0.02</v>
      </c>
      <c r="O29" s="45">
        <v>0.06</v>
      </c>
      <c r="P29" s="46">
        <v>0.12</v>
      </c>
    </row>
    <row r="30" spans="1:41" x14ac:dyDescent="0.25">
      <c r="A30" s="25" t="s">
        <v>93</v>
      </c>
      <c r="B30" s="26">
        <f>VLOOKUP($B$4,H72:L76,5,FALSE)*Facility_tpPrincipalLimit</f>
        <v>1800</v>
      </c>
      <c r="E30" t="s">
        <v>8</v>
      </c>
      <c r="F30" s="13" t="s">
        <v>29</v>
      </c>
      <c r="G30" s="72">
        <f>MAX(0,(Facility_tpInterestIncome-Facility_tpProcessCostsAbsolute-Facility_tpEL)*Taxrate)</f>
        <v>0</v>
      </c>
      <c r="J30" s="44" t="s">
        <v>40</v>
      </c>
      <c r="K30" s="45">
        <v>0.01</v>
      </c>
      <c r="L30" s="45">
        <v>0.03</v>
      </c>
      <c r="M30" s="45">
        <v>0.06</v>
      </c>
      <c r="N30" s="45">
        <v>0.02</v>
      </c>
      <c r="O30" s="45">
        <v>0.06</v>
      </c>
      <c r="P30" s="46">
        <v>0.12</v>
      </c>
    </row>
    <row r="31" spans="1:41" x14ac:dyDescent="0.25">
      <c r="A31" t="s">
        <v>26</v>
      </c>
      <c r="B31" s="74">
        <v>0.46</v>
      </c>
      <c r="E31" s="10" t="s">
        <v>121</v>
      </c>
      <c r="F31" s="40" t="s">
        <v>30</v>
      </c>
      <c r="G31" s="73">
        <f>Facility_tpEC*B47</f>
        <v>10.528</v>
      </c>
      <c r="H31">
        <f>Facility_tpReturnOnCapital</f>
        <v>10.528</v>
      </c>
      <c r="J31" s="44" t="s">
        <v>54</v>
      </c>
      <c r="K31" s="45">
        <v>0.01</v>
      </c>
      <c r="L31" s="45">
        <v>0.03</v>
      </c>
      <c r="M31" s="45">
        <v>0.06</v>
      </c>
      <c r="N31" s="45">
        <v>0.02</v>
      </c>
      <c r="O31" s="45">
        <v>0.06</v>
      </c>
      <c r="P31" s="46">
        <v>0.12</v>
      </c>
    </row>
    <row r="32" spans="1:41" x14ac:dyDescent="0.25">
      <c r="A32" t="s">
        <v>27</v>
      </c>
      <c r="B32" s="18">
        <f xml:space="preserve"> Facility_tpPrincipalLimit</f>
        <v>10000</v>
      </c>
      <c r="E32" t="s">
        <v>9</v>
      </c>
      <c r="G32" s="71">
        <f>IFERROR(Facility_tpInterestIncome-Facility_tpInterestExpenses-Facility_tpProcessCostsAbsolute-Facility_tpEL-Facility_tpTax+Facility_tpReturnOnCapital,NA)</f>
        <v>186.84399999999988</v>
      </c>
      <c r="H32">
        <f>Facility_tpEC*HurdleRate</f>
        <v>263.2</v>
      </c>
      <c r="J32" s="44" t="s">
        <v>59</v>
      </c>
      <c r="K32" s="45">
        <v>0.15</v>
      </c>
      <c r="L32" s="45">
        <v>0.15</v>
      </c>
      <c r="M32" s="45">
        <v>0.15</v>
      </c>
      <c r="N32" s="45">
        <v>0.15</v>
      </c>
      <c r="O32" s="45">
        <v>0.15</v>
      </c>
      <c r="P32" s="46">
        <v>0.15</v>
      </c>
    </row>
    <row r="33" spans="1:28" x14ac:dyDescent="0.25">
      <c r="A33" t="s">
        <v>28</v>
      </c>
      <c r="B33" s="19">
        <v>1</v>
      </c>
      <c r="E33" t="s">
        <v>10</v>
      </c>
      <c r="G33" s="16">
        <f xml:space="preserve"> IF(Facility_tpProductSelected=1,IFERROR(Facility_tpReturnAbsolute/Facility_tpEC,NA),NA)</f>
        <v>7.0989361702127621E-2</v>
      </c>
      <c r="H33" s="21">
        <f>H32/Facility_tpEC</f>
        <v>9.9999999999999992E-2</v>
      </c>
      <c r="J33" s="44" t="s">
        <v>41</v>
      </c>
      <c r="K33" s="45">
        <v>0.15</v>
      </c>
      <c r="L33" s="45">
        <v>0.15</v>
      </c>
      <c r="M33" s="45">
        <v>0.15</v>
      </c>
      <c r="N33" s="45">
        <v>0.15</v>
      </c>
      <c r="O33" s="45">
        <v>0.15</v>
      </c>
      <c r="P33" s="46">
        <v>0.15</v>
      </c>
    </row>
    <row r="34" spans="1:28" x14ac:dyDescent="0.25">
      <c r="B34">
        <f>Facility_tpAverageDurationEL*Facility_tpEAD*Facility_tpLGD*Facility_tpPD</f>
        <v>0.18400000000000002</v>
      </c>
      <c r="E34" t="s">
        <v>99</v>
      </c>
      <c r="G34" s="16">
        <f xml:space="preserve"> IF(Facility_tpProductSelected=1,IFERROR(Facility_tpReturnAbsolute/Facility_tpEC,NA),NA)</f>
        <v>7.0989361702127621E-2</v>
      </c>
      <c r="J34" s="44" t="s">
        <v>60</v>
      </c>
      <c r="K34" s="45">
        <v>0.15</v>
      </c>
      <c r="L34" s="45">
        <v>0.15</v>
      </c>
      <c r="M34" s="45">
        <v>0.15</v>
      </c>
      <c r="N34" s="45">
        <v>0.15</v>
      </c>
      <c r="O34" s="45">
        <v>0.15</v>
      </c>
      <c r="P34" s="46">
        <v>0.15</v>
      </c>
    </row>
    <row r="35" spans="1:28" x14ac:dyDescent="0.25">
      <c r="J35" s="44" t="s">
        <v>61</v>
      </c>
      <c r="K35" s="45">
        <v>0.15</v>
      </c>
      <c r="L35" s="45">
        <v>0.15</v>
      </c>
      <c r="M35" s="45">
        <v>0.15</v>
      </c>
      <c r="N35" s="45">
        <v>0.15</v>
      </c>
      <c r="O35" s="45">
        <v>0.15</v>
      </c>
      <c r="P35" s="46">
        <v>0.15</v>
      </c>
    </row>
    <row r="36" spans="1:28" x14ac:dyDescent="0.25">
      <c r="A36" t="s">
        <v>102</v>
      </c>
      <c r="B36" s="1">
        <v>0.08</v>
      </c>
      <c r="E36" t="s">
        <v>148</v>
      </c>
      <c r="G36" s="82">
        <f>(Facility_tpRAROC-HurdleRate)*Facility_tpEC</f>
        <v>-76.356000000000122</v>
      </c>
      <c r="H36" s="82">
        <f>(H33-HurdleRate)*Facility_tpEC</f>
        <v>-3.652633751016765E-14</v>
      </c>
      <c r="J36" s="44" t="s">
        <v>42</v>
      </c>
      <c r="K36" s="45">
        <v>0.15</v>
      </c>
      <c r="L36" s="45">
        <v>0.15</v>
      </c>
      <c r="M36" s="45">
        <v>0.15</v>
      </c>
      <c r="N36" s="45">
        <v>0.15</v>
      </c>
      <c r="O36" s="45">
        <v>0.15</v>
      </c>
      <c r="P36" s="46">
        <v>0.15</v>
      </c>
    </row>
    <row r="37" spans="1:28" ht="15.75" thickBot="1" x14ac:dyDescent="0.3">
      <c r="A37" t="s">
        <v>2</v>
      </c>
      <c r="B37" s="1">
        <v>0</v>
      </c>
      <c r="J37" s="47" t="s">
        <v>62</v>
      </c>
      <c r="K37" s="48">
        <v>0.15</v>
      </c>
      <c r="L37" s="48">
        <v>0.15</v>
      </c>
      <c r="M37" s="48">
        <v>0.15</v>
      </c>
      <c r="N37" s="48">
        <v>0.15</v>
      </c>
      <c r="O37" s="48">
        <v>0.15</v>
      </c>
      <c r="P37" s="49">
        <v>0.15</v>
      </c>
    </row>
    <row r="38" spans="1:28" x14ac:dyDescent="0.25">
      <c r="A38" t="s">
        <v>4</v>
      </c>
      <c r="B38" s="1">
        <v>0.1</v>
      </c>
    </row>
    <row r="39" spans="1:28" x14ac:dyDescent="0.25">
      <c r="A39" t="s">
        <v>149</v>
      </c>
      <c r="B39" s="20">
        <v>0.109</v>
      </c>
      <c r="J39" t="s">
        <v>116</v>
      </c>
      <c r="L39">
        <v>0.15</v>
      </c>
    </row>
    <row r="40" spans="1:28" x14ac:dyDescent="0.25">
      <c r="A40" t="s">
        <v>31</v>
      </c>
      <c r="B40" s="69">
        <v>0.999</v>
      </c>
      <c r="J40" t="s">
        <v>117</v>
      </c>
      <c r="L40">
        <v>0.25</v>
      </c>
    </row>
    <row r="41" spans="1:28" x14ac:dyDescent="0.25">
      <c r="A41" t="s">
        <v>32</v>
      </c>
      <c r="B41" s="19">
        <f>0.12*(1-EXP(-50*Facility_tpPD))/(1-EXP(-50))+0.24*((1-(1-EXP(-50*Facility_tpPD))/(1-EXP(-50))))</f>
        <v>0.23976023984007996</v>
      </c>
      <c r="J41" t="s">
        <v>119</v>
      </c>
      <c r="L41">
        <v>0.25</v>
      </c>
    </row>
    <row r="42" spans="1:28" x14ac:dyDescent="0.25">
      <c r="A42" t="s">
        <v>21</v>
      </c>
      <c r="B42" s="20">
        <v>2.6200000000000001E-2</v>
      </c>
      <c r="J42" t="s">
        <v>118</v>
      </c>
      <c r="L42">
        <v>0</v>
      </c>
    </row>
    <row r="43" spans="1:28" x14ac:dyDescent="0.25">
      <c r="A43" t="s">
        <v>33</v>
      </c>
      <c r="B43" s="8">
        <v>1</v>
      </c>
    </row>
    <row r="44" spans="1:28" ht="23.25" x14ac:dyDescent="0.35">
      <c r="A44" t="s">
        <v>34</v>
      </c>
      <c r="B44" s="8">
        <v>0.33</v>
      </c>
      <c r="G44" s="27" t="s">
        <v>69</v>
      </c>
    </row>
    <row r="45" spans="1:28" x14ac:dyDescent="0.25">
      <c r="A45" t="s">
        <v>35</v>
      </c>
      <c r="B45" s="83">
        <v>24</v>
      </c>
      <c r="I45" t="s">
        <v>64</v>
      </c>
      <c r="J45" t="s">
        <v>57</v>
      </c>
      <c r="T45" s="22"/>
      <c r="V45" t="s">
        <v>58</v>
      </c>
    </row>
    <row r="46" spans="1:28" x14ac:dyDescent="0.25">
      <c r="A46" t="s">
        <v>138</v>
      </c>
      <c r="B46" s="38">
        <v>5.8000000000000003E-2</v>
      </c>
    </row>
    <row r="47" spans="1:28" ht="15.75" thickBot="1" x14ac:dyDescent="0.3">
      <c r="A47" t="s">
        <v>139</v>
      </c>
      <c r="B47" s="70">
        <v>4.0000000000000001E-3</v>
      </c>
      <c r="I47">
        <v>1</v>
      </c>
      <c r="J47" s="51" t="s">
        <v>37</v>
      </c>
      <c r="K47" s="52" t="s">
        <v>48</v>
      </c>
      <c r="L47" s="52" t="s">
        <v>49</v>
      </c>
      <c r="M47" s="52" t="s">
        <v>38</v>
      </c>
      <c r="N47" s="53" t="s">
        <v>50</v>
      </c>
      <c r="O47" s="51" t="s">
        <v>51</v>
      </c>
      <c r="P47" s="52" t="s">
        <v>39</v>
      </c>
      <c r="Q47" s="53" t="s">
        <v>52</v>
      </c>
      <c r="R47" s="51" t="s">
        <v>53</v>
      </c>
      <c r="S47" s="52" t="s">
        <v>40</v>
      </c>
      <c r="T47" s="54" t="s">
        <v>54</v>
      </c>
      <c r="U47" s="51" t="s">
        <v>59</v>
      </c>
      <c r="V47" s="52" t="s">
        <v>41</v>
      </c>
      <c r="W47" s="52" t="s">
        <v>60</v>
      </c>
      <c r="X47" s="55" t="s">
        <v>61</v>
      </c>
      <c r="Y47" s="56" t="s">
        <v>42</v>
      </c>
      <c r="Z47" s="56" t="s">
        <v>62</v>
      </c>
      <c r="AA47" s="57" t="s">
        <v>63</v>
      </c>
      <c r="AB47" s="23" t="s">
        <v>68</v>
      </c>
    </row>
    <row r="48" spans="1:28" x14ac:dyDescent="0.25">
      <c r="I48" s="41" t="s">
        <v>122</v>
      </c>
      <c r="J48" s="42" t="s">
        <v>133</v>
      </c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1"/>
      <c r="V48" s="42"/>
      <c r="W48" s="42"/>
      <c r="X48" s="42"/>
      <c r="Y48" s="42"/>
      <c r="Z48" s="42"/>
      <c r="AA48" s="42"/>
      <c r="AB48" s="43"/>
    </row>
    <row r="49" spans="2:28" x14ac:dyDescent="0.25">
      <c r="I49" s="44" t="s">
        <v>123</v>
      </c>
      <c r="J49" s="45" t="s">
        <v>124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4"/>
      <c r="V49" s="45"/>
      <c r="W49" s="45"/>
      <c r="X49" s="45"/>
      <c r="Y49" s="45"/>
      <c r="Z49" s="45"/>
      <c r="AA49" s="45"/>
      <c r="AB49" s="46"/>
    </row>
    <row r="50" spans="2:28" x14ac:dyDescent="0.25">
      <c r="I50" s="44" t="s">
        <v>125</v>
      </c>
      <c r="J50" s="45">
        <v>1</v>
      </c>
      <c r="K50" s="45">
        <v>2</v>
      </c>
      <c r="L50" s="45">
        <v>3</v>
      </c>
      <c r="M50" s="45">
        <v>4</v>
      </c>
      <c r="N50" s="45">
        <v>5</v>
      </c>
      <c r="O50" s="45">
        <v>6</v>
      </c>
      <c r="P50" s="45">
        <v>7</v>
      </c>
      <c r="Q50" s="45">
        <v>8</v>
      </c>
      <c r="R50" s="45">
        <v>9</v>
      </c>
      <c r="S50" s="45">
        <v>10</v>
      </c>
      <c r="T50" s="45">
        <v>11</v>
      </c>
      <c r="U50" s="44">
        <v>12</v>
      </c>
      <c r="V50" s="45">
        <v>13</v>
      </c>
      <c r="W50" s="45">
        <v>14</v>
      </c>
      <c r="X50" s="45">
        <v>15</v>
      </c>
      <c r="Y50" s="45">
        <v>16</v>
      </c>
      <c r="Z50" s="45">
        <v>17</v>
      </c>
      <c r="AA50" s="45">
        <v>18</v>
      </c>
      <c r="AB50" s="46">
        <v>19</v>
      </c>
    </row>
    <row r="51" spans="2:28" x14ac:dyDescent="0.25">
      <c r="I51" s="44" t="s">
        <v>126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4"/>
      <c r="V51" s="45"/>
      <c r="W51" s="45"/>
      <c r="X51" s="45"/>
      <c r="Y51" s="45"/>
      <c r="Z51" s="45"/>
      <c r="AA51" s="45"/>
      <c r="AB51" s="46"/>
    </row>
    <row r="52" spans="2:28" x14ac:dyDescent="0.25">
      <c r="B52">
        <f>153/Facility_tpEC</f>
        <v>5.8130699088145894E-2</v>
      </c>
      <c r="I52" s="44" t="s">
        <v>68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4"/>
      <c r="V52" s="45"/>
      <c r="W52" s="45"/>
      <c r="X52" s="45"/>
      <c r="Y52" s="45"/>
      <c r="Z52" s="45"/>
      <c r="AA52" s="45"/>
      <c r="AB52" s="46"/>
    </row>
    <row r="53" spans="2:28" x14ac:dyDescent="0.25">
      <c r="H53" t="s">
        <v>43</v>
      </c>
      <c r="I53" s="44">
        <v>7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0.2</v>
      </c>
      <c r="P53" s="50">
        <v>0.2</v>
      </c>
      <c r="Q53" s="50">
        <v>0.2</v>
      </c>
      <c r="R53" s="50">
        <v>0.5</v>
      </c>
      <c r="S53" s="50">
        <v>0.5</v>
      </c>
      <c r="T53" s="50">
        <v>0.5</v>
      </c>
      <c r="U53" s="61">
        <v>1</v>
      </c>
      <c r="V53" s="50">
        <v>1</v>
      </c>
      <c r="W53" s="50">
        <v>1</v>
      </c>
      <c r="X53" s="50">
        <v>1</v>
      </c>
      <c r="Y53" s="50">
        <v>1</v>
      </c>
      <c r="Z53" s="50">
        <v>1</v>
      </c>
      <c r="AA53" s="50">
        <v>1.5</v>
      </c>
      <c r="AB53" s="58">
        <v>1</v>
      </c>
    </row>
    <row r="54" spans="2:28" x14ac:dyDescent="0.25">
      <c r="H54" t="s">
        <v>44</v>
      </c>
      <c r="I54" s="44">
        <v>8</v>
      </c>
      <c r="J54" s="50">
        <v>0.2</v>
      </c>
      <c r="K54" s="50">
        <v>0.2</v>
      </c>
      <c r="L54" s="50">
        <v>0.2</v>
      </c>
      <c r="M54" s="50">
        <v>0.2</v>
      </c>
      <c r="N54" s="50">
        <v>0.2</v>
      </c>
      <c r="O54" s="50">
        <v>0.5</v>
      </c>
      <c r="P54" s="50">
        <v>0.5</v>
      </c>
      <c r="Q54" s="50">
        <v>0.5</v>
      </c>
      <c r="R54" s="50">
        <v>0.5</v>
      </c>
      <c r="S54" s="50">
        <v>0.5</v>
      </c>
      <c r="T54" s="50">
        <v>0.5</v>
      </c>
      <c r="U54" s="61">
        <v>1</v>
      </c>
      <c r="V54" s="50">
        <v>1</v>
      </c>
      <c r="W54" s="50">
        <v>1</v>
      </c>
      <c r="X54" s="50">
        <v>1</v>
      </c>
      <c r="Y54" s="50">
        <v>1</v>
      </c>
      <c r="Z54" s="50">
        <v>1</v>
      </c>
      <c r="AA54" s="50">
        <v>1.5</v>
      </c>
      <c r="AB54" s="58">
        <v>1</v>
      </c>
    </row>
    <row r="55" spans="2:28" x14ac:dyDescent="0.25">
      <c r="G55" t="s">
        <v>46</v>
      </c>
      <c r="H55" t="s">
        <v>45</v>
      </c>
      <c r="I55" s="44">
        <v>9</v>
      </c>
      <c r="J55" s="50">
        <v>0.2</v>
      </c>
      <c r="K55" s="50">
        <v>0.2</v>
      </c>
      <c r="L55" s="50">
        <v>0.2</v>
      </c>
      <c r="M55" s="50">
        <v>0.2</v>
      </c>
      <c r="N55" s="50">
        <v>0.2</v>
      </c>
      <c r="O55" s="50">
        <v>0.5</v>
      </c>
      <c r="P55" s="50">
        <v>0.5</v>
      </c>
      <c r="Q55" s="50">
        <v>0.5</v>
      </c>
      <c r="R55" s="50">
        <v>1</v>
      </c>
      <c r="S55" s="50">
        <v>1</v>
      </c>
      <c r="T55" s="50">
        <v>1</v>
      </c>
      <c r="U55" s="61">
        <v>1</v>
      </c>
      <c r="V55" s="50">
        <v>1</v>
      </c>
      <c r="W55" s="50">
        <v>1</v>
      </c>
      <c r="X55" s="50">
        <v>1</v>
      </c>
      <c r="Y55" s="50">
        <v>1</v>
      </c>
      <c r="Z55" s="50">
        <v>1</v>
      </c>
      <c r="AA55" s="50">
        <v>1.5</v>
      </c>
      <c r="AB55" s="58">
        <v>1</v>
      </c>
    </row>
    <row r="56" spans="2:28" x14ac:dyDescent="0.25">
      <c r="H56" t="s">
        <v>74</v>
      </c>
      <c r="I56" s="44">
        <v>10</v>
      </c>
      <c r="J56" s="50">
        <v>0.75</v>
      </c>
      <c r="K56" s="50">
        <v>0.75</v>
      </c>
      <c r="L56" s="50">
        <v>0.75</v>
      </c>
      <c r="M56" s="50">
        <v>0.75</v>
      </c>
      <c r="N56" s="50">
        <v>0.75</v>
      </c>
      <c r="O56" s="50">
        <v>0.75</v>
      </c>
      <c r="P56" s="50">
        <v>0.75</v>
      </c>
      <c r="Q56" s="50">
        <v>0.75</v>
      </c>
      <c r="R56" s="50">
        <v>0.75</v>
      </c>
      <c r="S56" s="50">
        <v>0.75</v>
      </c>
      <c r="T56" s="50">
        <v>0.75</v>
      </c>
      <c r="U56" s="61">
        <v>0.75</v>
      </c>
      <c r="V56" s="50">
        <v>0.75</v>
      </c>
      <c r="W56" s="50">
        <v>0.75</v>
      </c>
      <c r="X56" s="50">
        <v>0.75</v>
      </c>
      <c r="Y56" s="50">
        <v>0.75</v>
      </c>
      <c r="Z56" s="50">
        <v>0.75</v>
      </c>
      <c r="AA56" s="50">
        <v>0.75</v>
      </c>
      <c r="AB56" s="58">
        <v>0.75</v>
      </c>
    </row>
    <row r="57" spans="2:28" x14ac:dyDescent="0.25">
      <c r="H57" t="s">
        <v>47</v>
      </c>
      <c r="I57" s="44">
        <v>11</v>
      </c>
      <c r="J57" s="50">
        <v>0.35</v>
      </c>
      <c r="K57" s="50">
        <v>0.35</v>
      </c>
      <c r="L57" s="50">
        <v>0.35</v>
      </c>
      <c r="M57" s="50">
        <v>0.35</v>
      </c>
      <c r="N57" s="50">
        <v>0.35</v>
      </c>
      <c r="O57" s="50">
        <v>0.35</v>
      </c>
      <c r="P57" s="50">
        <v>0.35</v>
      </c>
      <c r="Q57" s="50">
        <v>0.35</v>
      </c>
      <c r="R57" s="50">
        <v>0.35</v>
      </c>
      <c r="S57" s="50">
        <v>0.35</v>
      </c>
      <c r="T57" s="50">
        <v>0.35</v>
      </c>
      <c r="U57" s="61">
        <v>0.35</v>
      </c>
      <c r="V57" s="50">
        <v>0.35</v>
      </c>
      <c r="W57" s="50">
        <v>0.35</v>
      </c>
      <c r="X57" s="50">
        <v>0.35</v>
      </c>
      <c r="Y57" s="50">
        <v>0.35</v>
      </c>
      <c r="Z57" s="50">
        <v>0.35</v>
      </c>
      <c r="AA57" s="50">
        <v>0.35</v>
      </c>
      <c r="AB57" s="58">
        <v>0.35</v>
      </c>
    </row>
    <row r="58" spans="2:28" ht="15.75" thickBot="1" x14ac:dyDescent="0.3">
      <c r="H58" t="s">
        <v>56</v>
      </c>
      <c r="I58" s="47">
        <v>12</v>
      </c>
      <c r="J58" s="59">
        <v>0.2</v>
      </c>
      <c r="K58" s="59">
        <v>0.2</v>
      </c>
      <c r="L58" s="59">
        <v>0.2</v>
      </c>
      <c r="M58" s="59">
        <v>0.2</v>
      </c>
      <c r="N58" s="59">
        <v>0.2</v>
      </c>
      <c r="O58" s="59">
        <v>0.5</v>
      </c>
      <c r="P58" s="59">
        <v>0.5</v>
      </c>
      <c r="Q58" s="59">
        <v>0.5</v>
      </c>
      <c r="R58" s="59">
        <v>1</v>
      </c>
      <c r="S58" s="59">
        <v>1</v>
      </c>
      <c r="T58" s="59">
        <v>1</v>
      </c>
      <c r="U58" s="62">
        <v>1</v>
      </c>
      <c r="V58" s="59">
        <v>1</v>
      </c>
      <c r="W58" s="59">
        <v>1</v>
      </c>
      <c r="X58" s="59">
        <v>1.5</v>
      </c>
      <c r="Y58" s="59">
        <v>1.5</v>
      </c>
      <c r="Z58" s="59">
        <v>1.5</v>
      </c>
      <c r="AA58" s="59">
        <v>1.5</v>
      </c>
      <c r="AB58" s="60">
        <v>1</v>
      </c>
    </row>
    <row r="59" spans="2:28" x14ac:dyDescent="0.25">
      <c r="J59" s="21"/>
      <c r="T59" s="22"/>
    </row>
    <row r="60" spans="2:28" x14ac:dyDescent="0.25">
      <c r="J60" s="21"/>
      <c r="K60" s="13" t="s">
        <v>55</v>
      </c>
      <c r="T60" s="22"/>
    </row>
    <row r="61" spans="2:28" x14ac:dyDescent="0.25">
      <c r="T61" s="22"/>
    </row>
    <row r="62" spans="2:28" ht="23.25" x14ac:dyDescent="0.35">
      <c r="G62" s="27" t="s">
        <v>70</v>
      </c>
    </row>
    <row r="64" spans="2:28" x14ac:dyDescent="0.25">
      <c r="G64" s="34" t="s">
        <v>71</v>
      </c>
      <c r="H64" s="34"/>
      <c r="I64" s="34"/>
      <c r="J64" s="34"/>
      <c r="K64" s="34"/>
      <c r="L64" s="34"/>
      <c r="M64" s="34" t="s">
        <v>72</v>
      </c>
      <c r="N64" s="34"/>
    </row>
    <row r="65" spans="7:15" x14ac:dyDescent="0.25">
      <c r="I65" t="s">
        <v>81</v>
      </c>
      <c r="M65" t="s">
        <v>82</v>
      </c>
    </row>
    <row r="66" spans="7:15" ht="15.75" thickBot="1" x14ac:dyDescent="0.3">
      <c r="G66" t="s">
        <v>83</v>
      </c>
      <c r="I66" t="s">
        <v>77</v>
      </c>
      <c r="J66" t="s">
        <v>78</v>
      </c>
      <c r="K66" t="s">
        <v>79</v>
      </c>
      <c r="L66" t="s">
        <v>80</v>
      </c>
      <c r="M66" t="s">
        <v>77</v>
      </c>
      <c r="N66" t="s">
        <v>78</v>
      </c>
      <c r="O66" t="s">
        <v>79</v>
      </c>
    </row>
    <row r="67" spans="7:15" x14ac:dyDescent="0.25">
      <c r="H67" s="41" t="s">
        <v>122</v>
      </c>
      <c r="I67" s="42" t="s">
        <v>135</v>
      </c>
      <c r="J67" s="42"/>
      <c r="K67" s="42"/>
      <c r="L67" s="42"/>
      <c r="M67" s="42"/>
      <c r="N67" s="42"/>
      <c r="O67" s="43"/>
    </row>
    <row r="68" spans="7:15" x14ac:dyDescent="0.25">
      <c r="H68" s="44" t="s">
        <v>123</v>
      </c>
      <c r="I68" s="45" t="s">
        <v>124</v>
      </c>
      <c r="J68" s="45"/>
      <c r="K68" s="45"/>
      <c r="L68" s="45"/>
      <c r="M68" s="45"/>
      <c r="N68" s="45"/>
      <c r="O68" s="46"/>
    </row>
    <row r="69" spans="7:15" x14ac:dyDescent="0.25">
      <c r="H69" s="44" t="s">
        <v>125</v>
      </c>
      <c r="I69" s="45">
        <v>1</v>
      </c>
      <c r="J69" s="45">
        <v>2</v>
      </c>
      <c r="K69" s="45">
        <v>3</v>
      </c>
      <c r="L69" s="45">
        <v>4</v>
      </c>
      <c r="M69" s="45">
        <v>5</v>
      </c>
      <c r="N69" s="45">
        <v>6</v>
      </c>
      <c r="O69" s="46">
        <v>7</v>
      </c>
    </row>
    <row r="70" spans="7:15" x14ac:dyDescent="0.25">
      <c r="H70" s="44" t="s">
        <v>126</v>
      </c>
      <c r="I70" s="45"/>
      <c r="J70" s="45"/>
      <c r="K70" s="45"/>
      <c r="L70" s="45"/>
      <c r="M70" s="45"/>
      <c r="N70" s="45"/>
      <c r="O70" s="46"/>
    </row>
    <row r="71" spans="7:15" x14ac:dyDescent="0.25">
      <c r="H71" s="44" t="s">
        <v>68</v>
      </c>
      <c r="I71" s="45"/>
      <c r="J71" s="45"/>
      <c r="K71" s="45"/>
      <c r="L71" s="45"/>
      <c r="M71" s="45"/>
      <c r="N71" s="45"/>
      <c r="O71" s="46"/>
    </row>
    <row r="72" spans="7:15" x14ac:dyDescent="0.25">
      <c r="H72" s="44" t="s">
        <v>91</v>
      </c>
      <c r="I72" s="63">
        <v>10</v>
      </c>
      <c r="J72" s="63">
        <v>12.5</v>
      </c>
      <c r="K72" s="63">
        <v>25</v>
      </c>
      <c r="L72" s="64">
        <v>0.18</v>
      </c>
      <c r="M72" s="63">
        <f>I72*$L72</f>
        <v>1.7999999999999998</v>
      </c>
      <c r="N72" s="63">
        <f t="shared" ref="N72:O76" si="0">J72*$L72</f>
        <v>2.25</v>
      </c>
      <c r="O72" s="65">
        <f t="shared" si="0"/>
        <v>4.5</v>
      </c>
    </row>
    <row r="73" spans="7:15" x14ac:dyDescent="0.25">
      <c r="H73" s="44" t="s">
        <v>74</v>
      </c>
      <c r="I73" s="63">
        <v>10</v>
      </c>
      <c r="J73" s="63">
        <v>12.5</v>
      </c>
      <c r="K73" s="63">
        <v>25</v>
      </c>
      <c r="L73" s="64">
        <v>0.15</v>
      </c>
      <c r="M73" s="63">
        <f>I73*$L73</f>
        <v>1.5</v>
      </c>
      <c r="N73" s="63">
        <f t="shared" si="0"/>
        <v>1.875</v>
      </c>
      <c r="O73" s="65">
        <f t="shared" si="0"/>
        <v>3.75</v>
      </c>
    </row>
    <row r="74" spans="7:15" x14ac:dyDescent="0.25">
      <c r="H74" s="44" t="s">
        <v>73</v>
      </c>
      <c r="I74" s="63">
        <v>10</v>
      </c>
      <c r="J74" s="63">
        <v>12.5</v>
      </c>
      <c r="K74" s="63">
        <v>25</v>
      </c>
      <c r="L74" s="64">
        <v>0.12</v>
      </c>
      <c r="M74" s="63">
        <f>I74*$L74</f>
        <v>1.2</v>
      </c>
      <c r="N74" s="63">
        <f t="shared" si="0"/>
        <v>1.5</v>
      </c>
      <c r="O74" s="65">
        <f t="shared" si="0"/>
        <v>3</v>
      </c>
    </row>
    <row r="75" spans="7:15" x14ac:dyDescent="0.25">
      <c r="H75" s="44" t="s">
        <v>75</v>
      </c>
      <c r="I75" s="63">
        <v>10</v>
      </c>
      <c r="J75" s="63">
        <v>12.5</v>
      </c>
      <c r="K75" s="63">
        <v>25</v>
      </c>
      <c r="L75" s="64">
        <v>0.15</v>
      </c>
      <c r="M75" s="63">
        <f>I75*$L75</f>
        <v>1.5</v>
      </c>
      <c r="N75" s="63">
        <f t="shared" si="0"/>
        <v>1.875</v>
      </c>
      <c r="O75" s="65">
        <f t="shared" si="0"/>
        <v>3.75</v>
      </c>
    </row>
    <row r="76" spans="7:15" ht="15.75" thickBot="1" x14ac:dyDescent="0.3">
      <c r="H76" s="47" t="s">
        <v>76</v>
      </c>
      <c r="I76" s="66">
        <v>10</v>
      </c>
      <c r="J76" s="66">
        <v>12.5</v>
      </c>
      <c r="K76" s="66">
        <v>25</v>
      </c>
      <c r="L76" s="67">
        <v>0.15</v>
      </c>
      <c r="M76" s="66">
        <f>I76*$L76</f>
        <v>1.5</v>
      </c>
      <c r="N76" s="66">
        <f t="shared" si="0"/>
        <v>1.875</v>
      </c>
      <c r="O76" s="68">
        <f t="shared" si="0"/>
        <v>3.75</v>
      </c>
    </row>
    <row r="77" spans="7:15" x14ac:dyDescent="0.25">
      <c r="H77" s="30" t="s">
        <v>84</v>
      </c>
      <c r="I77" s="32">
        <f>SUM(I72:I76)</f>
        <v>50</v>
      </c>
      <c r="J77" s="32">
        <f t="shared" ref="J77:O77" si="1">SUM(J72:J76)</f>
        <v>62.5</v>
      </c>
      <c r="K77" s="32">
        <f t="shared" si="1"/>
        <v>125</v>
      </c>
      <c r="L77" s="28"/>
      <c r="M77" s="32">
        <f t="shared" si="1"/>
        <v>7.5</v>
      </c>
      <c r="N77" s="32">
        <f t="shared" si="1"/>
        <v>9.375</v>
      </c>
      <c r="O77" s="32">
        <f t="shared" si="1"/>
        <v>18.75</v>
      </c>
    </row>
    <row r="78" spans="7:15" x14ac:dyDescent="0.25">
      <c r="H78" s="30" t="s">
        <v>85</v>
      </c>
      <c r="I78" s="31">
        <f>SUM(I72:I76)</f>
        <v>50</v>
      </c>
      <c r="J78" s="31">
        <f>IF(J77&lt;0,"",J77)</f>
        <v>62.5</v>
      </c>
      <c r="K78" s="31">
        <f t="shared" ref="K78" si="2">SUM(K72:K76)</f>
        <v>125</v>
      </c>
      <c r="M78" s="31">
        <f>SUM(M72:M76)</f>
        <v>7.5</v>
      </c>
      <c r="N78" s="31">
        <f>MAX(0,N77)</f>
        <v>9.375</v>
      </c>
      <c r="O78" s="31">
        <f t="shared" ref="O78" si="3">SUM(O72:O76)</f>
        <v>18.75</v>
      </c>
    </row>
    <row r="79" spans="7:15" x14ac:dyDescent="0.25">
      <c r="H79" s="30" t="s">
        <v>86</v>
      </c>
      <c r="J79" t="s">
        <v>87</v>
      </c>
      <c r="K79" s="32">
        <f>AVERAGE(I78:K78)</f>
        <v>79.166666666666671</v>
      </c>
      <c r="L79" s="29"/>
      <c r="M79" s="29"/>
      <c r="N79" s="29" t="s">
        <v>89</v>
      </c>
      <c r="O79" s="33">
        <f>AVERAGE(M78:O78)</f>
        <v>11.875</v>
      </c>
    </row>
    <row r="80" spans="7:15" x14ac:dyDescent="0.25">
      <c r="J80" t="s">
        <v>88</v>
      </c>
      <c r="K80" s="21">
        <v>0.15</v>
      </c>
      <c r="L80" s="29"/>
      <c r="M80" s="29"/>
      <c r="N80" s="29"/>
      <c r="O80" s="29"/>
    </row>
    <row r="81" spans="10:15" x14ac:dyDescent="0.25">
      <c r="J81" t="s">
        <v>89</v>
      </c>
      <c r="K81" s="33">
        <f>K79*K80</f>
        <v>11.875</v>
      </c>
      <c r="L81" s="29"/>
      <c r="M81" s="29"/>
      <c r="N81" s="29"/>
      <c r="O81" s="29"/>
    </row>
  </sheetData>
  <protectedRanges>
    <protectedRange password="DBBD" sqref="AN23 AN3:AN15" name="Parameters voor RiskCube"/>
  </protectedRanges>
  <dataValidations count="3">
    <dataValidation type="list" allowBlank="1" showInputMessage="1" showErrorMessage="1" sqref="B6 B19">
      <formula1>$AM$3:$AM$20</formula1>
    </dataValidation>
    <dataValidation type="list" showInputMessage="1" showErrorMessage="1" sqref="B1">
      <formula1>$AJ$3:$AJ$4</formula1>
    </dataValidation>
    <dataValidation type="list" allowBlank="1" showInputMessage="1" showErrorMessage="1" sqref="B4">
      <formula1>$AP$3:$AP$9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1"/>
  <sheetViews>
    <sheetView zoomScale="70" zoomScaleNormal="70" workbookViewId="0">
      <selection activeCell="G14" sqref="G14:H14"/>
    </sheetView>
  </sheetViews>
  <sheetFormatPr defaultRowHeight="15" x14ac:dyDescent="0.25"/>
  <cols>
    <col min="1" max="1" width="45.7109375" customWidth="1"/>
    <col min="2" max="2" width="14.140625" bestFit="1" customWidth="1"/>
    <col min="5" max="5" width="23.85546875" bestFit="1" customWidth="1"/>
    <col min="6" max="6" width="3.140625" customWidth="1"/>
    <col min="7" max="8" width="17.85546875" customWidth="1"/>
    <col min="9" max="9" width="12.28515625" customWidth="1"/>
    <col min="10" max="10" width="9.85546875" customWidth="1"/>
    <col min="11" max="16" width="12" customWidth="1"/>
    <col min="17" max="21" width="9" customWidth="1"/>
    <col min="28" max="28" width="9.140625" customWidth="1"/>
    <col min="30" max="40" width="9.140625" customWidth="1"/>
    <col min="41" max="41" width="10.5703125" customWidth="1"/>
    <col min="42" max="48" width="9.140625" customWidth="1"/>
  </cols>
  <sheetData>
    <row r="1" spans="1:42" ht="15.75" thickBot="1" x14ac:dyDescent="0.3">
      <c r="A1" s="35" t="s">
        <v>95</v>
      </c>
      <c r="B1" s="36" t="s">
        <v>98</v>
      </c>
    </row>
    <row r="2" spans="1:42" x14ac:dyDescent="0.25">
      <c r="J2" t="s">
        <v>104</v>
      </c>
      <c r="AJ2" t="s">
        <v>96</v>
      </c>
      <c r="AM2" t="s">
        <v>65</v>
      </c>
      <c r="AP2" t="s">
        <v>83</v>
      </c>
    </row>
    <row r="3" spans="1:42" x14ac:dyDescent="0.25">
      <c r="A3" t="s">
        <v>66</v>
      </c>
      <c r="B3" t="s">
        <v>67</v>
      </c>
      <c r="AD3" s="1" t="s">
        <v>16</v>
      </c>
      <c r="AJ3" t="s">
        <v>98</v>
      </c>
      <c r="AM3" t="s">
        <v>37</v>
      </c>
      <c r="AN3" s="75">
        <v>1</v>
      </c>
      <c r="AO3" s="76">
        <v>1.0000000000000001E-5</v>
      </c>
      <c r="AP3" t="s">
        <v>91</v>
      </c>
    </row>
    <row r="4" spans="1:42" x14ac:dyDescent="0.25">
      <c r="A4" t="s">
        <v>90</v>
      </c>
      <c r="B4" t="s">
        <v>91</v>
      </c>
      <c r="J4" t="s">
        <v>107</v>
      </c>
      <c r="AD4" s="1"/>
      <c r="AJ4" t="s">
        <v>97</v>
      </c>
      <c r="AM4" t="s">
        <v>49</v>
      </c>
      <c r="AN4" s="75">
        <v>2</v>
      </c>
      <c r="AO4" s="76">
        <v>2.0000000000000002E-5</v>
      </c>
      <c r="AP4" t="s">
        <v>74</v>
      </c>
    </row>
    <row r="5" spans="1:42" x14ac:dyDescent="0.25">
      <c r="A5" t="s">
        <v>137</v>
      </c>
      <c r="B5">
        <v>12</v>
      </c>
      <c r="J5" t="s">
        <v>108</v>
      </c>
      <c r="L5" s="3">
        <f>VLOOKUP("NA",$J$16:$P$39,6,FALSE)</f>
        <v>0.15</v>
      </c>
      <c r="AD5" s="1"/>
      <c r="AM5" t="s">
        <v>38</v>
      </c>
      <c r="AN5" s="75">
        <v>3</v>
      </c>
      <c r="AO5" s="76">
        <v>4.0000000000000003E-5</v>
      </c>
      <c r="AP5" t="s">
        <v>73</v>
      </c>
    </row>
    <row r="6" spans="1:42" x14ac:dyDescent="0.25">
      <c r="A6" t="s">
        <v>65</v>
      </c>
      <c r="B6" s="24" t="s">
        <v>144</v>
      </c>
      <c r="AD6" s="5" t="s">
        <v>17</v>
      </c>
      <c r="AM6" t="s">
        <v>50</v>
      </c>
      <c r="AN6" s="75">
        <v>4</v>
      </c>
      <c r="AO6" s="76">
        <v>8.0000000000000007E-5</v>
      </c>
      <c r="AP6" t="s">
        <v>75</v>
      </c>
    </row>
    <row r="7" spans="1:42" x14ac:dyDescent="0.25">
      <c r="A7" t="s">
        <v>0</v>
      </c>
      <c r="B7" s="79">
        <f>VLOOKUP(B6,$AM$3:$AO$23,3,FALSE)</f>
        <v>0.26</v>
      </c>
      <c r="E7" s="9" t="s">
        <v>19</v>
      </c>
      <c r="F7" s="12"/>
      <c r="G7" t="s">
        <v>146</v>
      </c>
      <c r="H7" t="s">
        <v>147</v>
      </c>
      <c r="J7" t="s">
        <v>109</v>
      </c>
      <c r="AD7" s="6" t="s">
        <v>18</v>
      </c>
      <c r="AM7" t="s">
        <v>51</v>
      </c>
      <c r="AN7" s="75">
        <v>5</v>
      </c>
      <c r="AO7" s="76">
        <v>1E-4</v>
      </c>
      <c r="AP7" t="s">
        <v>76</v>
      </c>
    </row>
    <row r="8" spans="1:42" x14ac:dyDescent="0.25">
      <c r="A8" t="s">
        <v>64</v>
      </c>
      <c r="B8" s="39">
        <f>HLOOKUP("NA",I47:AB58,B5,FALSE)</f>
        <v>1</v>
      </c>
      <c r="E8" s="12"/>
      <c r="F8" s="12"/>
      <c r="J8" t="s">
        <v>110</v>
      </c>
      <c r="L8" s="3">
        <f>VLOOKUP("NA",$J$16:$P$39,6,FALSE)</f>
        <v>0.15</v>
      </c>
      <c r="AD8" s="6"/>
      <c r="AM8" t="s">
        <v>39</v>
      </c>
      <c r="AN8" s="75">
        <v>6</v>
      </c>
      <c r="AO8" s="76">
        <v>2.0000000000000001E-4</v>
      </c>
      <c r="AP8" t="s">
        <v>84</v>
      </c>
    </row>
    <row r="9" spans="1:42" x14ac:dyDescent="0.25">
      <c r="A9" t="s">
        <v>5</v>
      </c>
      <c r="B9" s="6">
        <v>1</v>
      </c>
      <c r="E9" t="s">
        <v>11</v>
      </c>
      <c r="F9" s="15" t="s">
        <v>30</v>
      </c>
      <c r="G9" s="4">
        <v>4.2000000000000003E-2</v>
      </c>
      <c r="H9" s="4">
        <f>Facility_tpFunding</f>
        <v>4.2000000000000003E-2</v>
      </c>
      <c r="J9" t="s">
        <v>111</v>
      </c>
      <c r="L9">
        <v>0</v>
      </c>
      <c r="AM9" t="s">
        <v>52</v>
      </c>
      <c r="AN9" s="75">
        <v>7</v>
      </c>
      <c r="AO9" s="76">
        <v>4.0000000000000002E-4</v>
      </c>
      <c r="AP9" t="s">
        <v>85</v>
      </c>
    </row>
    <row r="10" spans="1:42" x14ac:dyDescent="0.25">
      <c r="A10" t="s">
        <v>3</v>
      </c>
      <c r="B10" s="2">
        <v>10000</v>
      </c>
      <c r="E10" t="s">
        <v>1</v>
      </c>
      <c r="F10" s="15" t="s">
        <v>30</v>
      </c>
      <c r="G10" s="5">
        <f>IF((Facility_tpProductSelected=1),(((HurdleRate*Facility_tpEC)-(1-Taxrate)*(Facility_tpFunding*Facility_tpEC-(Facility_tpEL)))/(Facility_tpPrincipalLimit*(1-Taxrate))))</f>
        <v>0.135376</v>
      </c>
      <c r="H10" s="81">
        <f>(Facility_tpECRatio*Facility_tpEC)/Facility_tpPrincipalLimit</f>
        <v>2.1759999999999998E-2</v>
      </c>
      <c r="AM10" t="s">
        <v>53</v>
      </c>
      <c r="AN10" s="77">
        <v>8</v>
      </c>
      <c r="AO10" s="78">
        <v>8.9999999999999998E-4</v>
      </c>
    </row>
    <row r="11" spans="1:42" x14ac:dyDescent="0.25">
      <c r="A11" t="s">
        <v>22</v>
      </c>
      <c r="B11" s="17">
        <v>25</v>
      </c>
      <c r="E11" t="s">
        <v>6</v>
      </c>
      <c r="F11" s="15" t="s">
        <v>30</v>
      </c>
      <c r="G11" s="5">
        <f>IFERROR(Facility_tpUsedRate-Facility_tpRiskPremium-Facility_tpReturnPercentage-Facility_tpFunding,NA)</f>
        <v>6.8360000000000018E-3</v>
      </c>
      <c r="H11" s="5">
        <f>H13-H12-H10-H9</f>
        <v>0.12045199999999998</v>
      </c>
      <c r="AM11" t="s">
        <v>40</v>
      </c>
      <c r="AN11" s="77">
        <v>9</v>
      </c>
      <c r="AO11" s="78">
        <v>1.6999999999999999E-3</v>
      </c>
    </row>
    <row r="12" spans="1:42" x14ac:dyDescent="0.25">
      <c r="A12" t="s">
        <v>23</v>
      </c>
      <c r="B12" s="17">
        <v>0</v>
      </c>
      <c r="E12" t="s">
        <v>12</v>
      </c>
      <c r="F12" s="15" t="s">
        <v>30</v>
      </c>
      <c r="G12" s="14">
        <f>IFERROR((Facility_tpReturnAbsolute)/(Facility_tpPrincipalLimit*(1-Taxrate)),NA)</f>
        <v>1.9308000000000006E-2</v>
      </c>
      <c r="H12" s="14">
        <f>IFERROR((H32)/(Facility_tpPrincipalLimit*(1-Taxrate)),NA)</f>
        <v>2.7199999999999998E-2</v>
      </c>
      <c r="AM12" t="s">
        <v>54</v>
      </c>
      <c r="AN12" s="77">
        <v>10</v>
      </c>
      <c r="AO12" s="78">
        <v>4.1999999999999997E-3</v>
      </c>
    </row>
    <row r="13" spans="1:42" x14ac:dyDescent="0.25">
      <c r="A13" t="s">
        <v>24</v>
      </c>
      <c r="B13" s="17">
        <v>0</v>
      </c>
      <c r="E13" t="s">
        <v>13</v>
      </c>
      <c r="G13" s="5">
        <f>IF(Facility_tpProductSelected=1,IFERROR(((RendementseisBank*Facility_tpEC)-(1-Taxrate)*(Facility_tpFunding*Facility_tpEC-(Facility_tpEL+Facility_tpProcessCostsAbsolute)))/(Facility_tpPrincipalLimit*(1-Taxrate))+Facility_tpFunding,NA),NA)</f>
        <v>0.20352400000000001</v>
      </c>
      <c r="H13" s="5">
        <f>H25/Facility_tpPrincipalLimit</f>
        <v>0.21141199999999999</v>
      </c>
      <c r="AM13" t="s">
        <v>59</v>
      </c>
      <c r="AN13" s="77">
        <v>11</v>
      </c>
      <c r="AO13" s="78">
        <v>8.6999999999999994E-3</v>
      </c>
    </row>
    <row r="14" spans="1:42" x14ac:dyDescent="0.25">
      <c r="A14" t="s">
        <v>25</v>
      </c>
      <c r="B14" s="17">
        <v>0</v>
      </c>
      <c r="E14" t="s">
        <v>14</v>
      </c>
      <c r="G14" s="7">
        <v>0.20352000000000001</v>
      </c>
      <c r="H14" s="4">
        <f>H13</f>
        <v>0.21141199999999999</v>
      </c>
      <c r="J14" t="s">
        <v>115</v>
      </c>
      <c r="AM14" t="s">
        <v>41</v>
      </c>
      <c r="AN14" s="77">
        <v>12</v>
      </c>
      <c r="AO14" s="78">
        <v>1.5599999999999999E-2</v>
      </c>
    </row>
    <row r="15" spans="1:42" x14ac:dyDescent="0.25">
      <c r="E15" t="s">
        <v>15</v>
      </c>
      <c r="G15" s="5">
        <f xml:space="preserve"> Facility_tpUsedRate - Facility_tpFunding</f>
        <v>0.16152</v>
      </c>
      <c r="H15" s="5">
        <f>H13-H9</f>
        <v>0.16941199999999998</v>
      </c>
      <c r="J15" t="s">
        <v>65</v>
      </c>
      <c r="K15" t="s">
        <v>112</v>
      </c>
      <c r="N15" t="s">
        <v>113</v>
      </c>
      <c r="AM15" t="s">
        <v>60</v>
      </c>
      <c r="AN15" s="77">
        <v>13</v>
      </c>
      <c r="AO15" s="78">
        <v>2.81E-2</v>
      </c>
    </row>
    <row r="16" spans="1:42" ht="15.75" thickBot="1" x14ac:dyDescent="0.3">
      <c r="A16" t="s">
        <v>103</v>
      </c>
      <c r="G16" s="5"/>
      <c r="H16" s="11"/>
      <c r="J16" t="s">
        <v>114</v>
      </c>
      <c r="K16" t="s">
        <v>129</v>
      </c>
      <c r="L16" s="37" t="s">
        <v>128</v>
      </c>
      <c r="M16" t="s">
        <v>127</v>
      </c>
      <c r="N16" t="s">
        <v>132</v>
      </c>
      <c r="O16" s="37" t="s">
        <v>131</v>
      </c>
      <c r="P16" t="s">
        <v>130</v>
      </c>
      <c r="AM16" t="s">
        <v>61</v>
      </c>
      <c r="AN16" s="77">
        <v>14</v>
      </c>
      <c r="AO16" s="78">
        <v>4.6800000000000001E-2</v>
      </c>
    </row>
    <row r="17" spans="1:41" x14ac:dyDescent="0.25">
      <c r="A17" t="s">
        <v>120</v>
      </c>
      <c r="B17" s="2">
        <v>0</v>
      </c>
      <c r="G17" s="5"/>
      <c r="H17" s="11"/>
      <c r="J17" s="41" t="s">
        <v>122</v>
      </c>
      <c r="K17" s="42" t="s">
        <v>134</v>
      </c>
      <c r="L17" s="42"/>
      <c r="M17" s="42"/>
      <c r="N17" s="42"/>
      <c r="O17" s="42"/>
      <c r="P17" s="43"/>
      <c r="AM17" t="s">
        <v>42</v>
      </c>
      <c r="AN17" s="77">
        <v>15</v>
      </c>
      <c r="AO17" s="78">
        <v>7.1599999999999997E-2</v>
      </c>
    </row>
    <row r="18" spans="1:41" x14ac:dyDescent="0.25">
      <c r="A18" t="s">
        <v>136</v>
      </c>
      <c r="B18">
        <v>12</v>
      </c>
      <c r="G18" s="5"/>
      <c r="H18" s="11"/>
      <c r="J18" s="44" t="s">
        <v>123</v>
      </c>
      <c r="K18" s="45" t="s">
        <v>124</v>
      </c>
      <c r="L18" s="45"/>
      <c r="M18" s="45"/>
      <c r="N18" s="45"/>
      <c r="O18" s="45"/>
      <c r="P18" s="46"/>
      <c r="AM18" t="s">
        <v>62</v>
      </c>
      <c r="AN18" s="77">
        <v>16</v>
      </c>
      <c r="AO18" s="78">
        <v>0.1162</v>
      </c>
    </row>
    <row r="19" spans="1:41" x14ac:dyDescent="0.25">
      <c r="A19" t="s">
        <v>65</v>
      </c>
      <c r="B19" s="24" t="s">
        <v>144</v>
      </c>
      <c r="G19" s="5"/>
      <c r="H19" s="11"/>
      <c r="J19" s="44" t="s">
        <v>125</v>
      </c>
      <c r="K19" s="45">
        <v>1</v>
      </c>
      <c r="L19" s="45">
        <v>2</v>
      </c>
      <c r="M19" s="45">
        <v>3</v>
      </c>
      <c r="N19" s="45">
        <v>4</v>
      </c>
      <c r="O19" s="45">
        <v>5</v>
      </c>
      <c r="P19" s="46">
        <v>6</v>
      </c>
      <c r="AM19" t="s">
        <v>141</v>
      </c>
      <c r="AN19" s="77">
        <v>17</v>
      </c>
      <c r="AO19" s="78">
        <v>0.154</v>
      </c>
    </row>
    <row r="20" spans="1:41" x14ac:dyDescent="0.25">
      <c r="A20" t="s">
        <v>0</v>
      </c>
      <c r="B20" s="80">
        <f>VLOOKUP(B19,$AM$3:$AO$23,3,FALSE)</f>
        <v>0.26</v>
      </c>
      <c r="G20" s="5"/>
      <c r="H20" s="11"/>
      <c r="J20" s="44" t="s">
        <v>126</v>
      </c>
      <c r="K20" s="45">
        <v>0.15</v>
      </c>
      <c r="L20" s="45">
        <v>0.15</v>
      </c>
      <c r="M20" s="45">
        <v>0.15</v>
      </c>
      <c r="N20" s="45">
        <v>0.15</v>
      </c>
      <c r="O20" s="45">
        <v>0.15</v>
      </c>
      <c r="P20" s="46">
        <v>0.15</v>
      </c>
      <c r="AM20" t="s">
        <v>142</v>
      </c>
      <c r="AN20" s="77">
        <v>18</v>
      </c>
      <c r="AO20" s="78">
        <v>0.17380000000000001</v>
      </c>
    </row>
    <row r="21" spans="1:41" x14ac:dyDescent="0.25">
      <c r="A21" t="s">
        <v>64</v>
      </c>
      <c r="B21" s="39">
        <f>HLOOKUP("NA",J47:AC58,B18,FALSE)</f>
        <v>1</v>
      </c>
      <c r="J21" s="44" t="s">
        <v>68</v>
      </c>
      <c r="K21" s="45">
        <v>0.15</v>
      </c>
      <c r="L21" s="45">
        <v>0.15</v>
      </c>
      <c r="M21" s="45">
        <v>0.15</v>
      </c>
      <c r="N21" s="45">
        <v>0.15</v>
      </c>
      <c r="O21" s="45">
        <v>0.15</v>
      </c>
      <c r="P21" s="46">
        <v>0.15</v>
      </c>
      <c r="AM21" t="s">
        <v>143</v>
      </c>
      <c r="AN21" s="77">
        <v>19</v>
      </c>
      <c r="AO21" s="78">
        <v>0.215</v>
      </c>
    </row>
    <row r="22" spans="1:41" x14ac:dyDescent="0.25">
      <c r="J22" s="44" t="s">
        <v>37</v>
      </c>
      <c r="K22" s="45">
        <v>5.0000000000000001E-3</v>
      </c>
      <c r="L22" s="45">
        <v>0.02</v>
      </c>
      <c r="M22" s="45">
        <v>0.04</v>
      </c>
      <c r="N22" s="45">
        <v>0.01</v>
      </c>
      <c r="O22" s="45">
        <v>0.04</v>
      </c>
      <c r="P22" s="46">
        <v>0.08</v>
      </c>
      <c r="AM22" t="s">
        <v>144</v>
      </c>
      <c r="AN22" s="77">
        <v>20</v>
      </c>
      <c r="AO22" s="78">
        <v>0.26</v>
      </c>
    </row>
    <row r="23" spans="1:41" x14ac:dyDescent="0.25">
      <c r="J23" s="44" t="s">
        <v>49</v>
      </c>
      <c r="K23" s="45">
        <v>5.0000000000000001E-3</v>
      </c>
      <c r="L23" s="45">
        <v>0.02</v>
      </c>
      <c r="M23" s="45">
        <v>0.04</v>
      </c>
      <c r="N23" s="45">
        <v>0.01</v>
      </c>
      <c r="O23" s="45">
        <v>0.04</v>
      </c>
      <c r="P23" s="46">
        <v>0.08</v>
      </c>
      <c r="AM23" t="s">
        <v>145</v>
      </c>
      <c r="AN23" s="77">
        <v>21</v>
      </c>
      <c r="AO23" s="75">
        <v>1</v>
      </c>
    </row>
    <row r="24" spans="1:41" x14ac:dyDescent="0.25">
      <c r="E24" s="9" t="s">
        <v>20</v>
      </c>
      <c r="F24" s="9"/>
      <c r="G24" s="10"/>
      <c r="J24" s="44" t="s">
        <v>38</v>
      </c>
      <c r="K24" s="45">
        <v>5.0000000000000001E-3</v>
      </c>
      <c r="L24" s="45">
        <v>0.02</v>
      </c>
      <c r="M24" s="45">
        <v>0.04</v>
      </c>
      <c r="N24" s="45">
        <v>0.01</v>
      </c>
      <c r="O24" s="45">
        <v>0.04</v>
      </c>
      <c r="P24" s="46">
        <v>0.08</v>
      </c>
    </row>
    <row r="25" spans="1:41" x14ac:dyDescent="0.25">
      <c r="A25" t="s">
        <v>94</v>
      </c>
      <c r="B25" s="18">
        <f>IF(B1="STD",B28+B30,B26+B30)</f>
        <v>2720</v>
      </c>
      <c r="E25" t="s">
        <v>140</v>
      </c>
      <c r="F25" s="15" t="s">
        <v>30</v>
      </c>
      <c r="G25" s="72">
        <f>IFERROR((Facility_tpUsedRate)*Facility_tpPrincipalLimit,NA)</f>
        <v>2035.2</v>
      </c>
      <c r="H25">
        <f>H32-H31+H28+H27+H26</f>
        <v>2114.12</v>
      </c>
      <c r="J25" s="44" t="s">
        <v>50</v>
      </c>
      <c r="K25" s="45">
        <v>5.0000000000000001E-3</v>
      </c>
      <c r="L25" s="45">
        <v>0.02</v>
      </c>
      <c r="M25" s="45">
        <v>0.04</v>
      </c>
      <c r="N25" s="45">
        <v>0.01</v>
      </c>
      <c r="O25" s="45">
        <v>0.04</v>
      </c>
      <c r="P25" s="46">
        <v>0.08</v>
      </c>
    </row>
    <row r="26" spans="1:41" x14ac:dyDescent="0.25">
      <c r="A26" t="s">
        <v>36</v>
      </c>
      <c r="B26" s="18">
        <f>MAX(0,IFERROR(Facility_tpAverageDurationEL*(Facility_tpEAD*Facility_tpLGD*NORMSDIST((NORMSINV(Facility_tpPD)+(Correlation^0.5)*NORMSINV(ConfidenceLevel))/((1-Correlation)^0.5))-Facility_tpEL) * 1.06,NA))</f>
        <v>2026.3022920215251</v>
      </c>
      <c r="E26" t="s">
        <v>101</v>
      </c>
      <c r="F26" s="13" t="s">
        <v>29</v>
      </c>
      <c r="G26" s="72">
        <f>MAX(IFERROR(Facility_tpPrincipalLimit*Facility_tpFunding,NA),0)</f>
        <v>420</v>
      </c>
      <c r="H26">
        <f>Facility_tpInterestExpenses</f>
        <v>420</v>
      </c>
      <c r="J26" s="44" t="s">
        <v>51</v>
      </c>
      <c r="K26" s="45">
        <v>0.01</v>
      </c>
      <c r="L26" s="45">
        <v>0.03</v>
      </c>
      <c r="M26" s="45">
        <v>0.06</v>
      </c>
      <c r="N26" s="45">
        <v>0.02</v>
      </c>
      <c r="O26" s="45">
        <v>0.06</v>
      </c>
      <c r="P26" s="46">
        <v>0.12</v>
      </c>
    </row>
    <row r="27" spans="1:41" x14ac:dyDescent="0.25">
      <c r="A27" s="25" t="s">
        <v>105</v>
      </c>
      <c r="B27" s="26">
        <f>Facility_tpECRatio*(RiskWeight*(Facility_tpPrincipalLimit-CollateralValue)+RiskWeightGuarantor*CollateralValue)</f>
        <v>800</v>
      </c>
      <c r="E27" t="s">
        <v>7</v>
      </c>
      <c r="F27" s="13" t="s">
        <v>29</v>
      </c>
      <c r="G27" s="72">
        <f xml:space="preserve"> MAX(0,IFERROR(ProcessCostsModelPercentage*Facility_tpPrincipalLimit - Facility_tpArrangementFee - Facility_tpManagingFeeFacility - Facility_tpFacilityFee - Facility_tpUpfrontFee,NA))</f>
        <v>237</v>
      </c>
      <c r="H27">
        <f>Facility_tpProcessCostsAbsolute</f>
        <v>237</v>
      </c>
      <c r="J27" s="44" t="s">
        <v>39</v>
      </c>
      <c r="K27" s="45">
        <v>0.01</v>
      </c>
      <c r="L27" s="45">
        <v>0.03</v>
      </c>
      <c r="M27" s="45">
        <v>0.06</v>
      </c>
      <c r="N27" s="45">
        <v>0.02</v>
      </c>
      <c r="O27" s="45">
        <v>0.06</v>
      </c>
      <c r="P27" s="46">
        <v>0.12</v>
      </c>
    </row>
    <row r="28" spans="1:41" x14ac:dyDescent="0.25">
      <c r="A28" s="25" t="s">
        <v>106</v>
      </c>
      <c r="B28" s="26">
        <f>Facility_tpECRatio*(Facility_tpPrincipalLimit*(1+H)-CollateralValue*(1-Hc-Hfx))</f>
        <v>920</v>
      </c>
      <c r="E28" t="s">
        <v>100</v>
      </c>
      <c r="F28" s="13" t="s">
        <v>29</v>
      </c>
      <c r="G28" s="72">
        <f>MAX(IFERROR(Facility_tpAverageDurationEL*Facility_tpEAD*Facility_tpLGD*Facility_tpPD,NA),0)</f>
        <v>1196</v>
      </c>
      <c r="H28">
        <f>Facility_tpEL</f>
        <v>1196</v>
      </c>
      <c r="J28" s="44" t="s">
        <v>52</v>
      </c>
      <c r="K28" s="45">
        <v>0.01</v>
      </c>
      <c r="L28" s="45">
        <v>0.03</v>
      </c>
      <c r="M28" s="45">
        <v>0.06</v>
      </c>
      <c r="N28" s="45">
        <v>0.02</v>
      </c>
      <c r="O28" s="45">
        <v>0.06</v>
      </c>
      <c r="P28" s="46">
        <v>0.12</v>
      </c>
    </row>
    <row r="29" spans="1:41" x14ac:dyDescent="0.25">
      <c r="A29" s="25" t="s">
        <v>92</v>
      </c>
      <c r="B29" s="26">
        <f>Facility_tpPrincipalLimit*Alpha</f>
        <v>1500</v>
      </c>
      <c r="F29" s="13"/>
      <c r="G29" s="72"/>
      <c r="J29" s="44" t="s">
        <v>53</v>
      </c>
      <c r="K29" s="45">
        <v>0.01</v>
      </c>
      <c r="L29" s="45">
        <v>0.03</v>
      </c>
      <c r="M29" s="45">
        <v>0.06</v>
      </c>
      <c r="N29" s="45">
        <v>0.02</v>
      </c>
      <c r="O29" s="45">
        <v>0.06</v>
      </c>
      <c r="P29" s="46">
        <v>0.12</v>
      </c>
    </row>
    <row r="30" spans="1:41" x14ac:dyDescent="0.25">
      <c r="A30" s="25" t="s">
        <v>93</v>
      </c>
      <c r="B30" s="26">
        <f>VLOOKUP($B$4,H72:L76,5,FALSE)*Facility_tpPrincipalLimit</f>
        <v>1800</v>
      </c>
      <c r="E30" t="s">
        <v>8</v>
      </c>
      <c r="F30" s="13" t="s">
        <v>29</v>
      </c>
      <c r="G30" s="72">
        <f>MAX(0,(Facility_tpInterestIncome-Facility_tpProcessCostsAbsolute-Facility_tpEL)*Taxrate)</f>
        <v>0</v>
      </c>
      <c r="J30" s="44" t="s">
        <v>40</v>
      </c>
      <c r="K30" s="45">
        <v>0.01</v>
      </c>
      <c r="L30" s="45">
        <v>0.03</v>
      </c>
      <c r="M30" s="45">
        <v>0.06</v>
      </c>
      <c r="N30" s="45">
        <v>0.02</v>
      </c>
      <c r="O30" s="45">
        <v>0.06</v>
      </c>
      <c r="P30" s="46">
        <v>0.12</v>
      </c>
    </row>
    <row r="31" spans="1:41" x14ac:dyDescent="0.25">
      <c r="A31" t="s">
        <v>26</v>
      </c>
      <c r="B31" s="74">
        <v>0.46</v>
      </c>
      <c r="E31" s="10" t="s">
        <v>121</v>
      </c>
      <c r="F31" s="40" t="s">
        <v>30</v>
      </c>
      <c r="G31" s="73">
        <f>Facility_tpEC*B47</f>
        <v>10.88</v>
      </c>
      <c r="H31">
        <f>Facility_tpReturnOnCapital</f>
        <v>10.88</v>
      </c>
      <c r="J31" s="44" t="s">
        <v>54</v>
      </c>
      <c r="K31" s="45">
        <v>0.01</v>
      </c>
      <c r="L31" s="45">
        <v>0.03</v>
      </c>
      <c r="M31" s="45">
        <v>0.06</v>
      </c>
      <c r="N31" s="45">
        <v>0.02</v>
      </c>
      <c r="O31" s="45">
        <v>0.06</v>
      </c>
      <c r="P31" s="46">
        <v>0.12</v>
      </c>
    </row>
    <row r="32" spans="1:41" x14ac:dyDescent="0.25">
      <c r="A32" t="s">
        <v>27</v>
      </c>
      <c r="B32" s="18">
        <f xml:space="preserve"> Facility_tpPrincipalLimit</f>
        <v>10000</v>
      </c>
      <c r="E32" t="s">
        <v>9</v>
      </c>
      <c r="G32" s="71">
        <f>IFERROR(Facility_tpInterestIncome-Facility_tpInterestExpenses-Facility_tpProcessCostsAbsolute-Facility_tpEL-Facility_tpTax+Facility_tpReturnOnCapital,NA)</f>
        <v>193.08000000000004</v>
      </c>
      <c r="H32">
        <f>Facility_tpEC*HurdleRate</f>
        <v>272</v>
      </c>
      <c r="J32" s="44" t="s">
        <v>59</v>
      </c>
      <c r="K32" s="45">
        <v>0.15</v>
      </c>
      <c r="L32" s="45">
        <v>0.15</v>
      </c>
      <c r="M32" s="45">
        <v>0.15</v>
      </c>
      <c r="N32" s="45">
        <v>0.15</v>
      </c>
      <c r="O32" s="45">
        <v>0.15</v>
      </c>
      <c r="P32" s="46">
        <v>0.15</v>
      </c>
    </row>
    <row r="33" spans="1:28" x14ac:dyDescent="0.25">
      <c r="A33" t="s">
        <v>28</v>
      </c>
      <c r="B33" s="19">
        <v>1</v>
      </c>
      <c r="E33" t="s">
        <v>10</v>
      </c>
      <c r="G33" s="16">
        <f xml:space="preserve"> IF(Facility_tpProductSelected=1,IFERROR(Facility_tpReturnAbsolute/Facility_tpEC,NA),NA)</f>
        <v>7.0985294117647077E-2</v>
      </c>
      <c r="H33" s="21">
        <f>H32/Facility_tpEC</f>
        <v>0.1</v>
      </c>
      <c r="J33" s="44" t="s">
        <v>41</v>
      </c>
      <c r="K33" s="45">
        <v>0.15</v>
      </c>
      <c r="L33" s="45">
        <v>0.15</v>
      </c>
      <c r="M33" s="45">
        <v>0.15</v>
      </c>
      <c r="N33" s="45">
        <v>0.15</v>
      </c>
      <c r="O33" s="45">
        <v>0.15</v>
      </c>
      <c r="P33" s="46">
        <v>0.15</v>
      </c>
    </row>
    <row r="34" spans="1:28" x14ac:dyDescent="0.25">
      <c r="B34">
        <f>Facility_tpAverageDurationEL*Facility_tpEAD*Facility_tpLGD*Facility_tpPD</f>
        <v>1196</v>
      </c>
      <c r="E34" t="s">
        <v>99</v>
      </c>
      <c r="G34" s="16">
        <f xml:space="preserve"> IF(Facility_tpProductSelected=1,IFERROR(Facility_tpReturnAbsolute/Facility_tpEC,NA),NA)</f>
        <v>7.0985294117647077E-2</v>
      </c>
      <c r="J34" s="44" t="s">
        <v>60</v>
      </c>
      <c r="K34" s="45">
        <v>0.15</v>
      </c>
      <c r="L34" s="45">
        <v>0.15</v>
      </c>
      <c r="M34" s="45">
        <v>0.15</v>
      </c>
      <c r="N34" s="45">
        <v>0.15</v>
      </c>
      <c r="O34" s="45">
        <v>0.15</v>
      </c>
      <c r="P34" s="46">
        <v>0.15</v>
      </c>
    </row>
    <row r="35" spans="1:28" x14ac:dyDescent="0.25">
      <c r="J35" s="44" t="s">
        <v>61</v>
      </c>
      <c r="K35" s="45">
        <v>0.15</v>
      </c>
      <c r="L35" s="45">
        <v>0.15</v>
      </c>
      <c r="M35" s="45">
        <v>0.15</v>
      </c>
      <c r="N35" s="45">
        <v>0.15</v>
      </c>
      <c r="O35" s="45">
        <v>0.15</v>
      </c>
      <c r="P35" s="46">
        <v>0.15</v>
      </c>
    </row>
    <row r="36" spans="1:28" x14ac:dyDescent="0.25">
      <c r="A36" t="s">
        <v>102</v>
      </c>
      <c r="B36" s="1">
        <v>0.08</v>
      </c>
      <c r="E36" t="s">
        <v>148</v>
      </c>
      <c r="G36" s="82">
        <f>(Facility_tpRAROC-HurdleRate)*Facility_tpEC</f>
        <v>-78.919999999999959</v>
      </c>
      <c r="H36" s="82">
        <f>(H33-HurdleRate)*Facility_tpEC</f>
        <v>0</v>
      </c>
      <c r="J36" s="44" t="s">
        <v>42</v>
      </c>
      <c r="K36" s="45">
        <v>0.15</v>
      </c>
      <c r="L36" s="45">
        <v>0.15</v>
      </c>
      <c r="M36" s="45">
        <v>0.15</v>
      </c>
      <c r="N36" s="45">
        <v>0.15</v>
      </c>
      <c r="O36" s="45">
        <v>0.15</v>
      </c>
      <c r="P36" s="46">
        <v>0.15</v>
      </c>
    </row>
    <row r="37" spans="1:28" ht="15.75" thickBot="1" x14ac:dyDescent="0.3">
      <c r="A37" t="s">
        <v>2</v>
      </c>
      <c r="B37" s="1">
        <v>0</v>
      </c>
      <c r="J37" s="47" t="s">
        <v>62</v>
      </c>
      <c r="K37" s="48">
        <v>0.15</v>
      </c>
      <c r="L37" s="48">
        <v>0.15</v>
      </c>
      <c r="M37" s="48">
        <v>0.15</v>
      </c>
      <c r="N37" s="48">
        <v>0.15</v>
      </c>
      <c r="O37" s="48">
        <v>0.15</v>
      </c>
      <c r="P37" s="49">
        <v>0.15</v>
      </c>
    </row>
    <row r="38" spans="1:28" x14ac:dyDescent="0.25">
      <c r="A38" t="s">
        <v>4</v>
      </c>
      <c r="B38" s="1">
        <v>0.1</v>
      </c>
    </row>
    <row r="39" spans="1:28" x14ac:dyDescent="0.25">
      <c r="A39" t="s">
        <v>149</v>
      </c>
      <c r="B39" s="20">
        <v>0.109</v>
      </c>
    </row>
    <row r="40" spans="1:28" x14ac:dyDescent="0.25">
      <c r="A40" t="s">
        <v>31</v>
      </c>
      <c r="B40" s="69">
        <v>0.999</v>
      </c>
    </row>
    <row r="41" spans="1:28" x14ac:dyDescent="0.25">
      <c r="A41" t="s">
        <v>32</v>
      </c>
      <c r="B41" s="19">
        <f>0.12*(1-EXP(-50*Facility_tpPD))/(1-EXP(-50))+0.24*((1-(1-EXP(-50*Facility_tpPD))/(1-EXP(-50))))</f>
        <v>0.12000027123952883</v>
      </c>
    </row>
    <row r="42" spans="1:28" x14ac:dyDescent="0.25">
      <c r="A42" t="s">
        <v>21</v>
      </c>
      <c r="B42" s="20">
        <v>2.6200000000000001E-2</v>
      </c>
    </row>
    <row r="43" spans="1:28" x14ac:dyDescent="0.25">
      <c r="A43" t="s">
        <v>33</v>
      </c>
      <c r="B43" s="8">
        <v>1</v>
      </c>
    </row>
    <row r="44" spans="1:28" ht="23.25" x14ac:dyDescent="0.35">
      <c r="A44" t="s">
        <v>34</v>
      </c>
      <c r="B44" s="8">
        <v>0.33</v>
      </c>
      <c r="G44" s="27" t="s">
        <v>69</v>
      </c>
    </row>
    <row r="45" spans="1:28" x14ac:dyDescent="0.25">
      <c r="A45" t="s">
        <v>35</v>
      </c>
      <c r="B45">
        <v>24</v>
      </c>
      <c r="I45" t="s">
        <v>64</v>
      </c>
      <c r="J45" t="s">
        <v>57</v>
      </c>
      <c r="T45" s="22"/>
      <c r="V45" t="s">
        <v>58</v>
      </c>
    </row>
    <row r="46" spans="1:28" x14ac:dyDescent="0.25">
      <c r="A46" t="s">
        <v>138</v>
      </c>
      <c r="B46" s="38">
        <v>5.8000000000000003E-2</v>
      </c>
    </row>
    <row r="47" spans="1:28" ht="15.75" thickBot="1" x14ac:dyDescent="0.3">
      <c r="A47" t="s">
        <v>139</v>
      </c>
      <c r="B47" s="70">
        <v>4.0000000000000001E-3</v>
      </c>
      <c r="I47">
        <v>1</v>
      </c>
      <c r="J47" s="51" t="s">
        <v>37</v>
      </c>
      <c r="K47" s="52" t="s">
        <v>48</v>
      </c>
      <c r="L47" s="52" t="s">
        <v>49</v>
      </c>
      <c r="M47" s="52" t="s">
        <v>38</v>
      </c>
      <c r="N47" s="53" t="s">
        <v>50</v>
      </c>
      <c r="O47" s="51" t="s">
        <v>51</v>
      </c>
      <c r="P47" s="52" t="s">
        <v>39</v>
      </c>
      <c r="Q47" s="53" t="s">
        <v>52</v>
      </c>
      <c r="R47" s="51" t="s">
        <v>53</v>
      </c>
      <c r="S47" s="52" t="s">
        <v>40</v>
      </c>
      <c r="T47" s="54" t="s">
        <v>54</v>
      </c>
      <c r="U47" s="51" t="s">
        <v>59</v>
      </c>
      <c r="V47" s="52" t="s">
        <v>41</v>
      </c>
      <c r="W47" s="52" t="s">
        <v>60</v>
      </c>
      <c r="X47" s="55" t="s">
        <v>61</v>
      </c>
      <c r="Y47" s="56" t="s">
        <v>42</v>
      </c>
      <c r="Z47" s="56" t="s">
        <v>62</v>
      </c>
      <c r="AA47" s="57" t="s">
        <v>63</v>
      </c>
      <c r="AB47" s="23" t="s">
        <v>68</v>
      </c>
    </row>
    <row r="48" spans="1:28" x14ac:dyDescent="0.25">
      <c r="I48" s="41" t="s">
        <v>122</v>
      </c>
      <c r="J48" s="42" t="s">
        <v>133</v>
      </c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1"/>
      <c r="V48" s="42"/>
      <c r="W48" s="42"/>
      <c r="X48" s="42"/>
      <c r="Y48" s="42"/>
      <c r="Z48" s="42"/>
      <c r="AA48" s="42"/>
      <c r="AB48" s="43"/>
    </row>
    <row r="49" spans="2:28" x14ac:dyDescent="0.25">
      <c r="I49" s="44" t="s">
        <v>123</v>
      </c>
      <c r="J49" s="45" t="s">
        <v>124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4"/>
      <c r="V49" s="45"/>
      <c r="W49" s="45"/>
      <c r="X49" s="45"/>
      <c r="Y49" s="45"/>
      <c r="Z49" s="45"/>
      <c r="AA49" s="45"/>
      <c r="AB49" s="46"/>
    </row>
    <row r="50" spans="2:28" x14ac:dyDescent="0.25">
      <c r="I50" s="44" t="s">
        <v>125</v>
      </c>
      <c r="J50" s="45">
        <v>1</v>
      </c>
      <c r="K50" s="45">
        <v>2</v>
      </c>
      <c r="L50" s="45">
        <v>3</v>
      </c>
      <c r="M50" s="45">
        <v>4</v>
      </c>
      <c r="N50" s="45">
        <v>5</v>
      </c>
      <c r="O50" s="45">
        <v>6</v>
      </c>
      <c r="P50" s="45">
        <v>7</v>
      </c>
      <c r="Q50" s="45">
        <v>8</v>
      </c>
      <c r="R50" s="45">
        <v>9</v>
      </c>
      <c r="S50" s="45">
        <v>10</v>
      </c>
      <c r="T50" s="45">
        <v>11</v>
      </c>
      <c r="U50" s="44">
        <v>12</v>
      </c>
      <c r="V50" s="45">
        <v>13</v>
      </c>
      <c r="W50" s="45">
        <v>14</v>
      </c>
      <c r="X50" s="45">
        <v>15</v>
      </c>
      <c r="Y50" s="45">
        <v>16</v>
      </c>
      <c r="Z50" s="45">
        <v>17</v>
      </c>
      <c r="AA50" s="45">
        <v>18</v>
      </c>
      <c r="AB50" s="46">
        <v>19</v>
      </c>
    </row>
    <row r="51" spans="2:28" x14ac:dyDescent="0.25">
      <c r="I51" s="44" t="s">
        <v>126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4"/>
      <c r="V51" s="45"/>
      <c r="W51" s="45"/>
      <c r="X51" s="45"/>
      <c r="Y51" s="45"/>
      <c r="Z51" s="45"/>
      <c r="AA51" s="45"/>
      <c r="AB51" s="46"/>
    </row>
    <row r="52" spans="2:28" x14ac:dyDescent="0.25">
      <c r="B52">
        <f>153/Facility_tpEC</f>
        <v>5.6250000000000001E-2</v>
      </c>
      <c r="I52" s="44" t="s">
        <v>68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4"/>
      <c r="V52" s="45"/>
      <c r="W52" s="45"/>
      <c r="X52" s="45"/>
      <c r="Y52" s="45"/>
      <c r="Z52" s="45"/>
      <c r="AA52" s="45"/>
      <c r="AB52" s="46"/>
    </row>
    <row r="53" spans="2:28" x14ac:dyDescent="0.25">
      <c r="H53" t="s">
        <v>43</v>
      </c>
      <c r="I53" s="44">
        <v>7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0.2</v>
      </c>
      <c r="P53" s="50">
        <v>0.2</v>
      </c>
      <c r="Q53" s="50">
        <v>0.2</v>
      </c>
      <c r="R53" s="50">
        <v>0.5</v>
      </c>
      <c r="S53" s="50">
        <v>0.5</v>
      </c>
      <c r="T53" s="50">
        <v>0.5</v>
      </c>
      <c r="U53" s="61">
        <v>1</v>
      </c>
      <c r="V53" s="50">
        <v>1</v>
      </c>
      <c r="W53" s="50">
        <v>1</v>
      </c>
      <c r="X53" s="50">
        <v>1</v>
      </c>
      <c r="Y53" s="50">
        <v>1</v>
      </c>
      <c r="Z53" s="50">
        <v>1</v>
      </c>
      <c r="AA53" s="50">
        <v>1.5</v>
      </c>
      <c r="AB53" s="58">
        <v>1</v>
      </c>
    </row>
    <row r="54" spans="2:28" x14ac:dyDescent="0.25">
      <c r="H54" t="s">
        <v>44</v>
      </c>
      <c r="I54" s="44">
        <v>8</v>
      </c>
      <c r="J54" s="50">
        <v>0.2</v>
      </c>
      <c r="K54" s="50">
        <v>0.2</v>
      </c>
      <c r="L54" s="50">
        <v>0.2</v>
      </c>
      <c r="M54" s="50">
        <v>0.2</v>
      </c>
      <c r="N54" s="50">
        <v>0.2</v>
      </c>
      <c r="O54" s="50">
        <v>0.5</v>
      </c>
      <c r="P54" s="50">
        <v>0.5</v>
      </c>
      <c r="Q54" s="50">
        <v>0.5</v>
      </c>
      <c r="R54" s="50">
        <v>0.5</v>
      </c>
      <c r="S54" s="50">
        <v>0.5</v>
      </c>
      <c r="T54" s="50">
        <v>0.5</v>
      </c>
      <c r="U54" s="61">
        <v>1</v>
      </c>
      <c r="V54" s="50">
        <v>1</v>
      </c>
      <c r="W54" s="50">
        <v>1</v>
      </c>
      <c r="X54" s="50">
        <v>1</v>
      </c>
      <c r="Y54" s="50">
        <v>1</v>
      </c>
      <c r="Z54" s="50">
        <v>1</v>
      </c>
      <c r="AA54" s="50">
        <v>1.5</v>
      </c>
      <c r="AB54" s="58">
        <v>1</v>
      </c>
    </row>
    <row r="55" spans="2:28" x14ac:dyDescent="0.25">
      <c r="G55" t="s">
        <v>46</v>
      </c>
      <c r="H55" t="s">
        <v>45</v>
      </c>
      <c r="I55" s="44">
        <v>9</v>
      </c>
      <c r="J55" s="50">
        <v>0.2</v>
      </c>
      <c r="K55" s="50">
        <v>0.2</v>
      </c>
      <c r="L55" s="50">
        <v>0.2</v>
      </c>
      <c r="M55" s="50">
        <v>0.2</v>
      </c>
      <c r="N55" s="50">
        <v>0.2</v>
      </c>
      <c r="O55" s="50">
        <v>0.5</v>
      </c>
      <c r="P55" s="50">
        <v>0.5</v>
      </c>
      <c r="Q55" s="50">
        <v>0.5</v>
      </c>
      <c r="R55" s="50">
        <v>1</v>
      </c>
      <c r="S55" s="50">
        <v>1</v>
      </c>
      <c r="T55" s="50">
        <v>1</v>
      </c>
      <c r="U55" s="61">
        <v>1</v>
      </c>
      <c r="V55" s="50">
        <v>1</v>
      </c>
      <c r="W55" s="50">
        <v>1</v>
      </c>
      <c r="X55" s="50">
        <v>1</v>
      </c>
      <c r="Y55" s="50">
        <v>1</v>
      </c>
      <c r="Z55" s="50">
        <v>1</v>
      </c>
      <c r="AA55" s="50">
        <v>1.5</v>
      </c>
      <c r="AB55" s="58">
        <v>1</v>
      </c>
    </row>
    <row r="56" spans="2:28" x14ac:dyDescent="0.25">
      <c r="H56" t="s">
        <v>74</v>
      </c>
      <c r="I56" s="44">
        <v>10</v>
      </c>
      <c r="J56" s="50">
        <v>0.75</v>
      </c>
      <c r="K56" s="50">
        <v>0.75</v>
      </c>
      <c r="L56" s="50">
        <v>0.75</v>
      </c>
      <c r="M56" s="50">
        <v>0.75</v>
      </c>
      <c r="N56" s="50">
        <v>0.75</v>
      </c>
      <c r="O56" s="50">
        <v>0.75</v>
      </c>
      <c r="P56" s="50">
        <v>0.75</v>
      </c>
      <c r="Q56" s="50">
        <v>0.75</v>
      </c>
      <c r="R56" s="50">
        <v>0.75</v>
      </c>
      <c r="S56" s="50">
        <v>0.75</v>
      </c>
      <c r="T56" s="50">
        <v>0.75</v>
      </c>
      <c r="U56" s="61">
        <v>0.75</v>
      </c>
      <c r="V56" s="50">
        <v>0.75</v>
      </c>
      <c r="W56" s="50">
        <v>0.75</v>
      </c>
      <c r="X56" s="50">
        <v>0.75</v>
      </c>
      <c r="Y56" s="50">
        <v>0.75</v>
      </c>
      <c r="Z56" s="50">
        <v>0.75</v>
      </c>
      <c r="AA56" s="50">
        <v>0.75</v>
      </c>
      <c r="AB56" s="58">
        <v>0.75</v>
      </c>
    </row>
    <row r="57" spans="2:28" x14ac:dyDescent="0.25">
      <c r="H57" t="s">
        <v>47</v>
      </c>
      <c r="I57" s="44">
        <v>11</v>
      </c>
      <c r="J57" s="50">
        <v>0.35</v>
      </c>
      <c r="K57" s="50">
        <v>0.35</v>
      </c>
      <c r="L57" s="50">
        <v>0.35</v>
      </c>
      <c r="M57" s="50">
        <v>0.35</v>
      </c>
      <c r="N57" s="50">
        <v>0.35</v>
      </c>
      <c r="O57" s="50">
        <v>0.35</v>
      </c>
      <c r="P57" s="50">
        <v>0.35</v>
      </c>
      <c r="Q57" s="50">
        <v>0.35</v>
      </c>
      <c r="R57" s="50">
        <v>0.35</v>
      </c>
      <c r="S57" s="50">
        <v>0.35</v>
      </c>
      <c r="T57" s="50">
        <v>0.35</v>
      </c>
      <c r="U57" s="61">
        <v>0.35</v>
      </c>
      <c r="V57" s="50">
        <v>0.35</v>
      </c>
      <c r="W57" s="50">
        <v>0.35</v>
      </c>
      <c r="X57" s="50">
        <v>0.35</v>
      </c>
      <c r="Y57" s="50">
        <v>0.35</v>
      </c>
      <c r="Z57" s="50">
        <v>0.35</v>
      </c>
      <c r="AA57" s="50">
        <v>0.35</v>
      </c>
      <c r="AB57" s="58">
        <v>0.35</v>
      </c>
    </row>
    <row r="58" spans="2:28" ht="15.75" thickBot="1" x14ac:dyDescent="0.3">
      <c r="H58" t="s">
        <v>56</v>
      </c>
      <c r="I58" s="47">
        <v>12</v>
      </c>
      <c r="J58" s="59">
        <v>0.2</v>
      </c>
      <c r="K58" s="59">
        <v>0.2</v>
      </c>
      <c r="L58" s="59">
        <v>0.2</v>
      </c>
      <c r="M58" s="59">
        <v>0.2</v>
      </c>
      <c r="N58" s="59">
        <v>0.2</v>
      </c>
      <c r="O58" s="59">
        <v>0.5</v>
      </c>
      <c r="P58" s="59">
        <v>0.5</v>
      </c>
      <c r="Q58" s="59">
        <v>0.5</v>
      </c>
      <c r="R58" s="59">
        <v>1</v>
      </c>
      <c r="S58" s="59">
        <v>1</v>
      </c>
      <c r="T58" s="59">
        <v>1</v>
      </c>
      <c r="U58" s="62">
        <v>1</v>
      </c>
      <c r="V58" s="59">
        <v>1</v>
      </c>
      <c r="W58" s="59">
        <v>1</v>
      </c>
      <c r="X58" s="59">
        <v>1.5</v>
      </c>
      <c r="Y58" s="59">
        <v>1.5</v>
      </c>
      <c r="Z58" s="59">
        <v>1.5</v>
      </c>
      <c r="AA58" s="59">
        <v>1.5</v>
      </c>
      <c r="AB58" s="60">
        <v>1</v>
      </c>
    </row>
    <row r="59" spans="2:28" x14ac:dyDescent="0.25">
      <c r="J59" s="21"/>
      <c r="T59" s="22"/>
    </row>
    <row r="60" spans="2:28" x14ac:dyDescent="0.25">
      <c r="J60" s="21"/>
      <c r="K60" s="13" t="s">
        <v>55</v>
      </c>
      <c r="T60" s="22"/>
    </row>
    <row r="61" spans="2:28" x14ac:dyDescent="0.25">
      <c r="T61" s="22"/>
    </row>
    <row r="62" spans="2:28" ht="23.25" x14ac:dyDescent="0.35">
      <c r="G62" s="27" t="s">
        <v>70</v>
      </c>
    </row>
    <row r="64" spans="2:28" x14ac:dyDescent="0.25">
      <c r="G64" s="34" t="s">
        <v>71</v>
      </c>
      <c r="H64" s="34"/>
      <c r="I64" s="34"/>
      <c r="J64" s="34"/>
      <c r="K64" s="34"/>
      <c r="L64" s="34"/>
      <c r="M64" s="34" t="s">
        <v>72</v>
      </c>
      <c r="N64" s="34"/>
    </row>
    <row r="65" spans="7:15" x14ac:dyDescent="0.25">
      <c r="I65" t="s">
        <v>81</v>
      </c>
      <c r="M65" t="s">
        <v>82</v>
      </c>
    </row>
    <row r="66" spans="7:15" ht="15.75" thickBot="1" x14ac:dyDescent="0.3">
      <c r="G66" t="s">
        <v>83</v>
      </c>
      <c r="I66" t="s">
        <v>77</v>
      </c>
      <c r="J66" t="s">
        <v>78</v>
      </c>
      <c r="K66" t="s">
        <v>79</v>
      </c>
      <c r="L66" t="s">
        <v>80</v>
      </c>
      <c r="M66" t="s">
        <v>77</v>
      </c>
      <c r="N66" t="s">
        <v>78</v>
      </c>
      <c r="O66" t="s">
        <v>79</v>
      </c>
    </row>
    <row r="67" spans="7:15" x14ac:dyDescent="0.25">
      <c r="H67" s="41" t="s">
        <v>122</v>
      </c>
      <c r="I67" s="42" t="s">
        <v>135</v>
      </c>
      <c r="J67" s="42"/>
      <c r="K67" s="42"/>
      <c r="L67" s="42"/>
      <c r="M67" s="42"/>
      <c r="N67" s="42"/>
      <c r="O67" s="43"/>
    </row>
    <row r="68" spans="7:15" x14ac:dyDescent="0.25">
      <c r="H68" s="44" t="s">
        <v>123</v>
      </c>
      <c r="I68" s="45" t="s">
        <v>124</v>
      </c>
      <c r="J68" s="45"/>
      <c r="K68" s="45"/>
      <c r="L68" s="45"/>
      <c r="M68" s="45"/>
      <c r="N68" s="45"/>
      <c r="O68" s="46"/>
    </row>
    <row r="69" spans="7:15" x14ac:dyDescent="0.25">
      <c r="H69" s="44" t="s">
        <v>125</v>
      </c>
      <c r="I69" s="45">
        <v>1</v>
      </c>
      <c r="J69" s="45">
        <v>2</v>
      </c>
      <c r="K69" s="45">
        <v>3</v>
      </c>
      <c r="L69" s="45">
        <v>4</v>
      </c>
      <c r="M69" s="45">
        <v>5</v>
      </c>
      <c r="N69" s="45">
        <v>6</v>
      </c>
      <c r="O69" s="46">
        <v>7</v>
      </c>
    </row>
    <row r="70" spans="7:15" x14ac:dyDescent="0.25">
      <c r="H70" s="44" t="s">
        <v>126</v>
      </c>
      <c r="I70" s="45"/>
      <c r="J70" s="45"/>
      <c r="K70" s="45"/>
      <c r="L70" s="45"/>
      <c r="M70" s="45"/>
      <c r="N70" s="45"/>
      <c r="O70" s="46"/>
    </row>
    <row r="71" spans="7:15" x14ac:dyDescent="0.25">
      <c r="H71" s="44" t="s">
        <v>68</v>
      </c>
      <c r="I71" s="45"/>
      <c r="J71" s="45"/>
      <c r="K71" s="45"/>
      <c r="L71" s="45"/>
      <c r="M71" s="45"/>
      <c r="N71" s="45"/>
      <c r="O71" s="46"/>
    </row>
    <row r="72" spans="7:15" x14ac:dyDescent="0.25">
      <c r="H72" s="44" t="s">
        <v>91</v>
      </c>
      <c r="I72" s="63">
        <v>10</v>
      </c>
      <c r="J72" s="63">
        <v>12.5</v>
      </c>
      <c r="K72" s="63">
        <v>25</v>
      </c>
      <c r="L72" s="64">
        <v>0.18</v>
      </c>
      <c r="M72" s="63">
        <f>I72*$L72</f>
        <v>1.7999999999999998</v>
      </c>
      <c r="N72" s="63">
        <f t="shared" ref="N72:O76" si="0">J72*$L72</f>
        <v>2.25</v>
      </c>
      <c r="O72" s="65">
        <f t="shared" si="0"/>
        <v>4.5</v>
      </c>
    </row>
    <row r="73" spans="7:15" x14ac:dyDescent="0.25">
      <c r="H73" s="44" t="s">
        <v>74</v>
      </c>
      <c r="I73" s="63">
        <v>10</v>
      </c>
      <c r="J73" s="63">
        <v>12.5</v>
      </c>
      <c r="K73" s="63">
        <v>25</v>
      </c>
      <c r="L73" s="64">
        <v>0.15</v>
      </c>
      <c r="M73" s="63">
        <f>I73*$L73</f>
        <v>1.5</v>
      </c>
      <c r="N73" s="63">
        <f t="shared" si="0"/>
        <v>1.875</v>
      </c>
      <c r="O73" s="65">
        <f t="shared" si="0"/>
        <v>3.75</v>
      </c>
    </row>
    <row r="74" spans="7:15" x14ac:dyDescent="0.25">
      <c r="H74" s="44" t="s">
        <v>73</v>
      </c>
      <c r="I74" s="63">
        <v>10</v>
      </c>
      <c r="J74" s="63">
        <v>12.5</v>
      </c>
      <c r="K74" s="63">
        <v>25</v>
      </c>
      <c r="L74" s="64">
        <v>0.12</v>
      </c>
      <c r="M74" s="63">
        <f>I74*$L74</f>
        <v>1.2</v>
      </c>
      <c r="N74" s="63">
        <f t="shared" si="0"/>
        <v>1.5</v>
      </c>
      <c r="O74" s="65">
        <f t="shared" si="0"/>
        <v>3</v>
      </c>
    </row>
    <row r="75" spans="7:15" x14ac:dyDescent="0.25">
      <c r="H75" s="44" t="s">
        <v>75</v>
      </c>
      <c r="I75" s="63">
        <v>10</v>
      </c>
      <c r="J75" s="63">
        <v>12.5</v>
      </c>
      <c r="K75" s="63">
        <v>25</v>
      </c>
      <c r="L75" s="64">
        <v>0.15</v>
      </c>
      <c r="M75" s="63">
        <f>I75*$L75</f>
        <v>1.5</v>
      </c>
      <c r="N75" s="63">
        <f t="shared" si="0"/>
        <v>1.875</v>
      </c>
      <c r="O75" s="65">
        <f t="shared" si="0"/>
        <v>3.75</v>
      </c>
    </row>
    <row r="76" spans="7:15" ht="15.75" thickBot="1" x14ac:dyDescent="0.3">
      <c r="H76" s="47" t="s">
        <v>76</v>
      </c>
      <c r="I76" s="66">
        <v>10</v>
      </c>
      <c r="J76" s="66">
        <v>12.5</v>
      </c>
      <c r="K76" s="66">
        <v>25</v>
      </c>
      <c r="L76" s="67">
        <v>0.15</v>
      </c>
      <c r="M76" s="66">
        <f>I76*$L76</f>
        <v>1.5</v>
      </c>
      <c r="N76" s="66">
        <f t="shared" si="0"/>
        <v>1.875</v>
      </c>
      <c r="O76" s="68">
        <f t="shared" si="0"/>
        <v>3.75</v>
      </c>
    </row>
    <row r="77" spans="7:15" x14ac:dyDescent="0.25">
      <c r="H77" s="30" t="s">
        <v>84</v>
      </c>
      <c r="I77" s="32">
        <f>SUM(I72:I76)</f>
        <v>50</v>
      </c>
      <c r="J77" s="32">
        <f t="shared" ref="J77:O77" si="1">SUM(J72:J76)</f>
        <v>62.5</v>
      </c>
      <c r="K77" s="32">
        <f t="shared" si="1"/>
        <v>125</v>
      </c>
      <c r="L77" s="28"/>
      <c r="M77" s="32">
        <f t="shared" si="1"/>
        <v>7.5</v>
      </c>
      <c r="N77" s="32">
        <f t="shared" si="1"/>
        <v>9.375</v>
      </c>
      <c r="O77" s="32">
        <f t="shared" si="1"/>
        <v>18.75</v>
      </c>
    </row>
    <row r="78" spans="7:15" x14ac:dyDescent="0.25">
      <c r="H78" s="30" t="s">
        <v>85</v>
      </c>
      <c r="I78" s="31">
        <f>SUM(I72:I76)</f>
        <v>50</v>
      </c>
      <c r="J78" s="31">
        <f>IF(J77&lt;0,"",J77)</f>
        <v>62.5</v>
      </c>
      <c r="K78" s="31">
        <f t="shared" ref="K78" si="2">SUM(K72:K76)</f>
        <v>125</v>
      </c>
      <c r="M78" s="31">
        <f>SUM(M72:M76)</f>
        <v>7.5</v>
      </c>
      <c r="N78" s="31">
        <f>MAX(0,N77)</f>
        <v>9.375</v>
      </c>
      <c r="O78" s="31">
        <f t="shared" ref="O78" si="3">SUM(O72:O76)</f>
        <v>18.75</v>
      </c>
    </row>
    <row r="79" spans="7:15" x14ac:dyDescent="0.25">
      <c r="H79" s="30" t="s">
        <v>86</v>
      </c>
      <c r="J79" t="s">
        <v>87</v>
      </c>
      <c r="K79" s="32">
        <f>AVERAGE(I78:K78)</f>
        <v>79.166666666666671</v>
      </c>
      <c r="L79" s="29"/>
      <c r="M79" s="29"/>
      <c r="N79" s="29" t="s">
        <v>89</v>
      </c>
      <c r="O79" s="33">
        <f>AVERAGE(M78:O78)</f>
        <v>11.875</v>
      </c>
    </row>
    <row r="80" spans="7:15" x14ac:dyDescent="0.25">
      <c r="J80" t="s">
        <v>88</v>
      </c>
      <c r="K80" s="21">
        <v>0.15</v>
      </c>
      <c r="L80" s="29"/>
      <c r="M80" s="29"/>
      <c r="N80" s="29"/>
      <c r="O80" s="29"/>
    </row>
    <row r="81" spans="10:15" x14ac:dyDescent="0.25">
      <c r="J81" t="s">
        <v>89</v>
      </c>
      <c r="K81" s="33">
        <f>K79*K80</f>
        <v>11.875</v>
      </c>
      <c r="L81" s="29"/>
      <c r="M81" s="29"/>
      <c r="N81" s="29"/>
      <c r="O81" s="29"/>
    </row>
  </sheetData>
  <protectedRanges>
    <protectedRange password="DBBD" sqref="AN23 AN3:AN15" name="Parameters voor RiskCube"/>
  </protectedRanges>
  <dataValidations count="4">
    <dataValidation type="list" allowBlank="1" showInputMessage="1" showErrorMessage="1" sqref="B19">
      <formula1>$AM$3:$AM$23</formula1>
    </dataValidation>
    <dataValidation type="list" showInputMessage="1" showErrorMessage="1" sqref="B1">
      <formula1>$AJ$3:$AJ$4</formula1>
    </dataValidation>
    <dataValidation type="list" allowBlank="1" showInputMessage="1" showErrorMessage="1" sqref="B4">
      <formula1>$AP$3:$AP$9</formula1>
    </dataValidation>
    <dataValidation type="list" allowBlank="1" showInputMessage="1" showErrorMessage="1" sqref="B6">
      <formula1>$AM$3:$AM$23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188</vt:i4>
      </vt:variant>
    </vt:vector>
  </HeadingPairs>
  <TitlesOfParts>
    <vt:vector size="192" baseType="lpstr">
      <vt:lpstr>Matrices</vt:lpstr>
      <vt:lpstr>Rating AA - Limit Fee</vt:lpstr>
      <vt:lpstr>Rating AA - No Fees</vt:lpstr>
      <vt:lpstr>Rating CC - No Fees</vt:lpstr>
      <vt:lpstr>Matrices!Alpha</vt:lpstr>
      <vt:lpstr>'Rating AA - Limit Fee'!Alpha</vt:lpstr>
      <vt:lpstr>'Rating AA - No Fees'!Alpha</vt:lpstr>
      <vt:lpstr>'Rating CC - No Fees'!Alpha</vt:lpstr>
      <vt:lpstr>'Rating AA - Limit Fee'!AlphasOperationalRisks</vt:lpstr>
      <vt:lpstr>'Rating AA - No Fees'!AlphasOperationalRisks</vt:lpstr>
      <vt:lpstr>'Rating CC - No Fees'!AlphasOperationalRisks</vt:lpstr>
      <vt:lpstr>AlphasOperationalRisks</vt:lpstr>
      <vt:lpstr>Matrices!CollateralValue</vt:lpstr>
      <vt:lpstr>'Rating AA - Limit Fee'!CollateralValue</vt:lpstr>
      <vt:lpstr>'Rating AA - No Fees'!CollateralValue</vt:lpstr>
      <vt:lpstr>'Rating CC - No Fees'!CollateralValue</vt:lpstr>
      <vt:lpstr>Matrices!ConfidenceLevel</vt:lpstr>
      <vt:lpstr>'Rating AA - Limit Fee'!ConfidenceLevel</vt:lpstr>
      <vt:lpstr>'Rating AA - No Fees'!ConfidenceLevel</vt:lpstr>
      <vt:lpstr>'Rating CC - No Fees'!ConfidenceLevel</vt:lpstr>
      <vt:lpstr>Matrices!Correlation</vt:lpstr>
      <vt:lpstr>'Rating AA - Limit Fee'!Correlation</vt:lpstr>
      <vt:lpstr>'Rating AA - No Fees'!Correlation</vt:lpstr>
      <vt:lpstr>'Rating CC - No Fees'!Correlation</vt:lpstr>
      <vt:lpstr>Matrices!DurationMaximumAverage</vt:lpstr>
      <vt:lpstr>'Rating AA - Limit Fee'!DurationMaximumAverage</vt:lpstr>
      <vt:lpstr>'Rating AA - No Fees'!DurationMaximumAverage</vt:lpstr>
      <vt:lpstr>'Rating CC - No Fees'!DurationMaximumAverage</vt:lpstr>
      <vt:lpstr>Matrices!Facility_tpArrangementFee</vt:lpstr>
      <vt:lpstr>'Rating AA - Limit Fee'!Facility_tpArrangementFee</vt:lpstr>
      <vt:lpstr>'Rating AA - No Fees'!Facility_tpArrangementFee</vt:lpstr>
      <vt:lpstr>'Rating CC - No Fees'!Facility_tpArrangementFee</vt:lpstr>
      <vt:lpstr>Matrices!Facility_tpAverageDurationEL</vt:lpstr>
      <vt:lpstr>'Rating AA - Limit Fee'!Facility_tpAverageDurationEL</vt:lpstr>
      <vt:lpstr>'Rating AA - No Fees'!Facility_tpAverageDurationEL</vt:lpstr>
      <vt:lpstr>'Rating CC - No Fees'!Facility_tpAverageDurationEL</vt:lpstr>
      <vt:lpstr>Matrices!Facility_tpCalculatedRate</vt:lpstr>
      <vt:lpstr>'Rating AA - Limit Fee'!Facility_tpCalculatedRate</vt:lpstr>
      <vt:lpstr>'Rating AA - No Fees'!Facility_tpCalculatedRate</vt:lpstr>
      <vt:lpstr>'Rating CC - No Fees'!Facility_tpCalculatedRate</vt:lpstr>
      <vt:lpstr>Matrices!Facility_tpEAD</vt:lpstr>
      <vt:lpstr>'Rating AA - Limit Fee'!Facility_tpEAD</vt:lpstr>
      <vt:lpstr>'Rating AA - No Fees'!Facility_tpEAD</vt:lpstr>
      <vt:lpstr>'Rating CC - No Fees'!Facility_tpEAD</vt:lpstr>
      <vt:lpstr>Matrices!Facility_tpEC</vt:lpstr>
      <vt:lpstr>'Rating AA - Limit Fee'!Facility_tpEC</vt:lpstr>
      <vt:lpstr>'Rating AA - No Fees'!Facility_tpEC</vt:lpstr>
      <vt:lpstr>'Rating CC - No Fees'!Facility_tpEC</vt:lpstr>
      <vt:lpstr>Matrices!Facility_tpECRatio</vt:lpstr>
      <vt:lpstr>'Rating AA - Limit Fee'!Facility_tpECRatio</vt:lpstr>
      <vt:lpstr>'Rating AA - No Fees'!Facility_tpECRatio</vt:lpstr>
      <vt:lpstr>'Rating CC - No Fees'!Facility_tpECRatio</vt:lpstr>
      <vt:lpstr>Matrices!Facility_tpEL</vt:lpstr>
      <vt:lpstr>'Rating AA - Limit Fee'!Facility_tpEL</vt:lpstr>
      <vt:lpstr>'Rating AA - No Fees'!Facility_tpEL</vt:lpstr>
      <vt:lpstr>'Rating CC - No Fees'!Facility_tpEL</vt:lpstr>
      <vt:lpstr>Matrices!Facility_tpFacilityFee</vt:lpstr>
      <vt:lpstr>'Rating AA - Limit Fee'!Facility_tpFacilityFee</vt:lpstr>
      <vt:lpstr>'Rating AA - No Fees'!Facility_tpFacilityFee</vt:lpstr>
      <vt:lpstr>'Rating CC - No Fees'!Facility_tpFacilityFee</vt:lpstr>
      <vt:lpstr>Matrices!Facility_tpFunding</vt:lpstr>
      <vt:lpstr>'Rating AA - Limit Fee'!Facility_tpFunding</vt:lpstr>
      <vt:lpstr>'Rating AA - No Fees'!Facility_tpFunding</vt:lpstr>
      <vt:lpstr>'Rating CC - No Fees'!Facility_tpFunding</vt:lpstr>
      <vt:lpstr>Matrices!Facility_tpInterestExpenses</vt:lpstr>
      <vt:lpstr>'Rating AA - Limit Fee'!Facility_tpInterestExpenses</vt:lpstr>
      <vt:lpstr>'Rating AA - No Fees'!Facility_tpInterestExpenses</vt:lpstr>
      <vt:lpstr>'Rating CC - No Fees'!Facility_tpInterestExpenses</vt:lpstr>
      <vt:lpstr>Matrices!Facility_tpInterestIncome</vt:lpstr>
      <vt:lpstr>'Rating AA - Limit Fee'!Facility_tpInterestIncome</vt:lpstr>
      <vt:lpstr>'Rating AA - No Fees'!Facility_tpInterestIncome</vt:lpstr>
      <vt:lpstr>'Rating CC - No Fees'!Facility_tpInterestIncome</vt:lpstr>
      <vt:lpstr>Matrices!Facility_tpLGD</vt:lpstr>
      <vt:lpstr>'Rating AA - Limit Fee'!Facility_tpLGD</vt:lpstr>
      <vt:lpstr>'Rating AA - No Fees'!Facility_tpLGD</vt:lpstr>
      <vt:lpstr>'Rating CC - No Fees'!Facility_tpLGD</vt:lpstr>
      <vt:lpstr>Matrices!Facility_tpManagingFeeFacility</vt:lpstr>
      <vt:lpstr>'Rating AA - Limit Fee'!Facility_tpManagingFeeFacility</vt:lpstr>
      <vt:lpstr>'Rating AA - No Fees'!Facility_tpManagingFeeFacility</vt:lpstr>
      <vt:lpstr>'Rating CC - No Fees'!Facility_tpManagingFeeFacility</vt:lpstr>
      <vt:lpstr>Matrices!Facility_tpPD</vt:lpstr>
      <vt:lpstr>'Rating AA - Limit Fee'!Facility_tpPD</vt:lpstr>
      <vt:lpstr>'Rating AA - No Fees'!Facility_tpPD</vt:lpstr>
      <vt:lpstr>'Rating CC - No Fees'!Facility_tpPD</vt:lpstr>
      <vt:lpstr>Matrices!Facility_tpPremium</vt:lpstr>
      <vt:lpstr>'Rating AA - Limit Fee'!Facility_tpPremium</vt:lpstr>
      <vt:lpstr>'Rating AA - No Fees'!Facility_tpPremium</vt:lpstr>
      <vt:lpstr>'Rating CC - No Fees'!Facility_tpPremium</vt:lpstr>
      <vt:lpstr>Matrices!Facility_tpPrincipalLimit</vt:lpstr>
      <vt:lpstr>'Rating AA - Limit Fee'!Facility_tpPrincipalLimit</vt:lpstr>
      <vt:lpstr>'Rating AA - No Fees'!Facility_tpPrincipalLimit</vt:lpstr>
      <vt:lpstr>'Rating CC - No Fees'!Facility_tpPrincipalLimit</vt:lpstr>
      <vt:lpstr>Matrices!Facility_tpProcessCostsAbsolute</vt:lpstr>
      <vt:lpstr>'Rating AA - Limit Fee'!Facility_tpProcessCostsAbsolute</vt:lpstr>
      <vt:lpstr>'Rating AA - No Fees'!Facility_tpProcessCostsAbsolute</vt:lpstr>
      <vt:lpstr>'Rating CC - No Fees'!Facility_tpProcessCostsAbsolute</vt:lpstr>
      <vt:lpstr>Matrices!Facility_tpProcessCostsPercentage</vt:lpstr>
      <vt:lpstr>'Rating AA - Limit Fee'!Facility_tpProcessCostsPercentage</vt:lpstr>
      <vt:lpstr>'Rating AA - No Fees'!Facility_tpProcessCostsPercentage</vt:lpstr>
      <vt:lpstr>'Rating CC - No Fees'!Facility_tpProcessCostsPercentage</vt:lpstr>
      <vt:lpstr>Matrices!Facility_tpProductSelected</vt:lpstr>
      <vt:lpstr>'Rating AA - Limit Fee'!Facility_tpProductSelected</vt:lpstr>
      <vt:lpstr>'Rating AA - No Fees'!Facility_tpProductSelected</vt:lpstr>
      <vt:lpstr>'Rating CC - No Fees'!Facility_tpProductSelected</vt:lpstr>
      <vt:lpstr>Matrices!Facility_tpRAROC</vt:lpstr>
      <vt:lpstr>'Rating AA - Limit Fee'!Facility_tpRAROC</vt:lpstr>
      <vt:lpstr>'Rating AA - No Fees'!Facility_tpRAROC</vt:lpstr>
      <vt:lpstr>'Rating CC - No Fees'!Facility_tpRAROC</vt:lpstr>
      <vt:lpstr>Matrices!Facility_tpReturnAbsolute</vt:lpstr>
      <vt:lpstr>'Rating AA - Limit Fee'!Facility_tpReturnAbsolute</vt:lpstr>
      <vt:lpstr>'Rating AA - No Fees'!Facility_tpReturnAbsolute</vt:lpstr>
      <vt:lpstr>'Rating CC - No Fees'!Facility_tpReturnAbsolute</vt:lpstr>
      <vt:lpstr>'Rating AA - Limit Fee'!Facility_tpReturnOnCapital</vt:lpstr>
      <vt:lpstr>'Rating AA - No Fees'!Facility_tpReturnOnCapital</vt:lpstr>
      <vt:lpstr>'Rating CC - No Fees'!Facility_tpReturnOnCapital</vt:lpstr>
      <vt:lpstr>Facility_tpReturnOnCapital</vt:lpstr>
      <vt:lpstr>Matrices!Facility_tpReturnPercentage</vt:lpstr>
      <vt:lpstr>'Rating AA - Limit Fee'!Facility_tpReturnPercentage</vt:lpstr>
      <vt:lpstr>'Rating AA - No Fees'!Facility_tpReturnPercentage</vt:lpstr>
      <vt:lpstr>'Rating CC - No Fees'!Facility_tpReturnPercentage</vt:lpstr>
      <vt:lpstr>Matrices!Facility_tpRiskPremium</vt:lpstr>
      <vt:lpstr>'Rating AA - Limit Fee'!Facility_tpRiskPremium</vt:lpstr>
      <vt:lpstr>'Rating AA - No Fees'!Facility_tpRiskPremium</vt:lpstr>
      <vt:lpstr>'Rating CC - No Fees'!Facility_tpRiskPremium</vt:lpstr>
      <vt:lpstr>Matrices!Facility_tpROC</vt:lpstr>
      <vt:lpstr>'Rating AA - Limit Fee'!Facility_tpROC</vt:lpstr>
      <vt:lpstr>'Rating AA - No Fees'!Facility_tpROC</vt:lpstr>
      <vt:lpstr>'Rating CC - No Fees'!Facility_tpROC</vt:lpstr>
      <vt:lpstr>Matrices!Facility_tpTax</vt:lpstr>
      <vt:lpstr>'Rating AA - Limit Fee'!Facility_tpTax</vt:lpstr>
      <vt:lpstr>'Rating AA - No Fees'!Facility_tpTax</vt:lpstr>
      <vt:lpstr>'Rating CC - No Fees'!Facility_tpTax</vt:lpstr>
      <vt:lpstr>Matrices!Facility_tpUpfrontFee</vt:lpstr>
      <vt:lpstr>'Rating AA - Limit Fee'!Facility_tpUpfrontFee</vt:lpstr>
      <vt:lpstr>'Rating AA - No Fees'!Facility_tpUpfrontFee</vt:lpstr>
      <vt:lpstr>'Rating CC - No Fees'!Facility_tpUpfrontFee</vt:lpstr>
      <vt:lpstr>Matrices!Facility_tpUsedRate</vt:lpstr>
      <vt:lpstr>'Rating AA - Limit Fee'!Facility_tpUsedRate</vt:lpstr>
      <vt:lpstr>'Rating AA - No Fees'!Facility_tpUsedRate</vt:lpstr>
      <vt:lpstr>'Rating CC - No Fees'!Facility_tpUsedRate</vt:lpstr>
      <vt:lpstr>Matrices!H</vt:lpstr>
      <vt:lpstr>'Rating AA - Limit Fee'!H</vt:lpstr>
      <vt:lpstr>'Rating AA - No Fees'!H</vt:lpstr>
      <vt:lpstr>'Rating CC - No Fees'!H</vt:lpstr>
      <vt:lpstr>'Rating AA - Limit Fee'!HairCuts</vt:lpstr>
      <vt:lpstr>'Rating AA - No Fees'!HairCuts</vt:lpstr>
      <vt:lpstr>'Rating CC - No Fees'!HairCuts</vt:lpstr>
      <vt:lpstr>HairCuts</vt:lpstr>
      <vt:lpstr>Matrices!Hc</vt:lpstr>
      <vt:lpstr>'Rating AA - Limit Fee'!Hc</vt:lpstr>
      <vt:lpstr>'Rating AA - No Fees'!Hc</vt:lpstr>
      <vt:lpstr>'Rating CC - No Fees'!Hc</vt:lpstr>
      <vt:lpstr>Matrices!Hfx</vt:lpstr>
      <vt:lpstr>'Rating AA - Limit Fee'!Hfx</vt:lpstr>
      <vt:lpstr>'Rating AA - No Fees'!Hfx</vt:lpstr>
      <vt:lpstr>'Rating CC - No Fees'!Hfx</vt:lpstr>
      <vt:lpstr>Matrices!HurdleRate</vt:lpstr>
      <vt:lpstr>'Rating AA - Limit Fee'!HurdleRate</vt:lpstr>
      <vt:lpstr>'Rating AA - No Fees'!HurdleRate</vt:lpstr>
      <vt:lpstr>'Rating CC - No Fees'!HurdleRate</vt:lpstr>
      <vt:lpstr>Matrices!LGDMaximum</vt:lpstr>
      <vt:lpstr>'Rating AA - Limit Fee'!LGDMaximum</vt:lpstr>
      <vt:lpstr>'Rating AA - No Fees'!LGDMaximum</vt:lpstr>
      <vt:lpstr>'Rating CC - No Fees'!LGDMaximum</vt:lpstr>
      <vt:lpstr>Matrices!LGDMinimum</vt:lpstr>
      <vt:lpstr>'Rating AA - Limit Fee'!LGDMinimum</vt:lpstr>
      <vt:lpstr>'Rating AA - No Fees'!LGDMinimum</vt:lpstr>
      <vt:lpstr>'Rating CC - No Fees'!LGDMinimum</vt:lpstr>
      <vt:lpstr>Matrices!ProcessCostsModelPercentage</vt:lpstr>
      <vt:lpstr>'Rating AA - Limit Fee'!ProcessCostsModelPercentage</vt:lpstr>
      <vt:lpstr>'Rating AA - No Fees'!ProcessCostsModelPercentage</vt:lpstr>
      <vt:lpstr>'Rating CC - No Fees'!ProcessCostsModelPercentage</vt:lpstr>
      <vt:lpstr>Matrices!RendementseisBank</vt:lpstr>
      <vt:lpstr>'Rating AA - Limit Fee'!RendementseisBank</vt:lpstr>
      <vt:lpstr>'Rating AA - No Fees'!RendementseisBank</vt:lpstr>
      <vt:lpstr>'Rating CC - No Fees'!RendementseisBank</vt:lpstr>
      <vt:lpstr>Matrices!RiskWeight</vt:lpstr>
      <vt:lpstr>'Rating AA - Limit Fee'!RiskWeight</vt:lpstr>
      <vt:lpstr>'Rating AA - No Fees'!RiskWeight</vt:lpstr>
      <vt:lpstr>'Rating CC - No Fees'!RiskWeight</vt:lpstr>
      <vt:lpstr>Matrices!RiskWeightGuarantor</vt:lpstr>
      <vt:lpstr>'Rating AA - Limit Fee'!RiskWeightGuarantor</vt:lpstr>
      <vt:lpstr>'Rating AA - No Fees'!RiskWeightGuarantor</vt:lpstr>
      <vt:lpstr>'Rating CC - No Fees'!RiskWeightGuarantor</vt:lpstr>
      <vt:lpstr>'Rating AA - Limit Fee'!RiskWeightsSimpleApproach</vt:lpstr>
      <vt:lpstr>'Rating AA - No Fees'!RiskWeightsSimpleApproach</vt:lpstr>
      <vt:lpstr>'Rating CC - No Fees'!RiskWeightsSimpleApproach</vt:lpstr>
      <vt:lpstr>RiskWeightsSimpleApproach</vt:lpstr>
      <vt:lpstr>Matrices!Taxrate</vt:lpstr>
      <vt:lpstr>'Rating AA - Limit Fee'!Taxrate</vt:lpstr>
      <vt:lpstr>'Rating AA - No Fees'!Taxrate</vt:lpstr>
      <vt:lpstr>'Rating CC - No Fees'!Taxrate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Aalderen</dc:creator>
  <cp:lastModifiedBy>Ruben Bos</cp:lastModifiedBy>
  <dcterms:created xsi:type="dcterms:W3CDTF">2016-07-26T18:59:11Z</dcterms:created>
  <dcterms:modified xsi:type="dcterms:W3CDTF">2016-12-27T13:41:11Z</dcterms:modified>
</cp:coreProperties>
</file>