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-Zero\"/>
    </mc:Choice>
  </mc:AlternateContent>
  <xr:revisionPtr revIDLastSave="0" documentId="13_ncr:1_{BA063084-5E1B-4B65-868F-9FE24336D1F3}" xr6:coauthVersionLast="36" xr6:coauthVersionMax="36" xr10:uidLastSave="{00000000-0000-0000-0000-000000000000}"/>
  <bookViews>
    <workbookView xWindow="0" yWindow="0" windowWidth="21570" windowHeight="7380" xr2:uid="{17F889C0-CA9C-47EC-910B-A6AFDFC874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9" i="1" l="1"/>
  <c r="H5" i="1" l="1"/>
  <c r="H6" i="1" s="1"/>
  <c r="H4" i="1"/>
  <c r="H23" i="1" s="1"/>
  <c r="H28" i="1" l="1"/>
  <c r="H15" i="1"/>
  <c r="H7" i="1" s="1"/>
  <c r="H22" i="1"/>
  <c r="H16" i="1" l="1"/>
  <c r="H21" i="1" l="1"/>
  <c r="H24" i="1" s="1"/>
  <c r="H30" i="1" s="1"/>
  <c r="H9" i="1"/>
  <c r="H27" i="1" l="1"/>
  <c r="H31" i="1" s="1"/>
  <c r="H29" i="1"/>
  <c r="H13" i="1"/>
  <c r="H12" i="1"/>
  <c r="H17" i="1" s="1"/>
  <c r="H25" i="1" l="1"/>
  <c r="H26" i="1" s="1"/>
</calcChain>
</file>

<file path=xl/sharedStrings.xml><?xml version="1.0" encoding="utf-8"?>
<sst xmlns="http://schemas.openxmlformats.org/spreadsheetml/2006/main" count="47" uniqueCount="33">
  <si>
    <t>Longitude</t>
  </si>
  <si>
    <t>Date</t>
  </si>
  <si>
    <t>Time</t>
  </si>
  <si>
    <t>COS Hour Angle</t>
  </si>
  <si>
    <t>possible φ 1</t>
  </si>
  <si>
    <t>possible φ 2</t>
  </si>
  <si>
    <t>tan δ/tan L</t>
  </si>
  <si>
    <t>sin φ</t>
  </si>
  <si>
    <r>
      <t>W/m</t>
    </r>
    <r>
      <rPr>
        <vertAlign val="superscript"/>
        <sz val="11"/>
        <color theme="1"/>
        <rFont val="Calibri"/>
        <family val="2"/>
        <scheme val="minor"/>
      </rPr>
      <t>2</t>
    </r>
  </si>
  <si>
    <t>⁰</t>
  </si>
  <si>
    <t>cos θ</t>
  </si>
  <si>
    <t>INPUT</t>
  </si>
  <si>
    <t>OUTPUT</t>
  </si>
  <si>
    <r>
      <rPr>
        <b/>
        <sz val="11"/>
        <color theme="1"/>
        <rFont val="Calibri"/>
        <family val="2"/>
        <scheme val="minor"/>
      </rPr>
      <t xml:space="preserve"> δ</t>
    </r>
    <r>
      <rPr>
        <sz val="11"/>
        <color theme="1"/>
        <rFont val="Calibri"/>
        <family val="2"/>
        <scheme val="minor"/>
      </rPr>
      <t xml:space="preserve"> Declination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</si>
  <si>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 xml:space="preserve"> Solar Altitude</t>
    </r>
  </si>
  <si>
    <r>
      <rPr>
        <b/>
        <sz val="11"/>
        <color theme="1"/>
        <rFont val="Calibri"/>
        <family val="2"/>
        <scheme val="minor"/>
      </rPr>
      <t>φ</t>
    </r>
    <r>
      <rPr>
        <sz val="11"/>
        <color theme="1"/>
        <rFont val="Calibri"/>
        <family val="2"/>
        <scheme val="minor"/>
      </rPr>
      <t xml:space="preserve"> Solar Azimuth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</si>
  <si>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Air Mass Ratio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</si>
  <si>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ASHRAE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</si>
  <si>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ASHRAE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</si>
  <si>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Clear Sky Direct Beam</t>
    </r>
  </si>
  <si>
    <r>
      <rPr>
        <b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Angle of Incidence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</si>
  <si>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Direct Beam on Collector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</si>
  <si>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BH</t>
    </r>
    <r>
      <rPr>
        <sz val="11"/>
        <color theme="1"/>
        <rFont val="Calibri"/>
        <family val="2"/>
        <scheme val="minor"/>
      </rPr>
      <t xml:space="preserve"> Beam on Horiz. Collector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</si>
  <si>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Diffuse on Collector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</si>
  <si>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DH</t>
    </r>
    <r>
      <rPr>
        <sz val="11"/>
        <color theme="1"/>
        <rFont val="Calibri"/>
        <family val="2"/>
        <scheme val="minor"/>
      </rPr>
      <t xml:space="preserve"> Diffuse on Horiz. Collector</t>
    </r>
  </si>
  <si>
    <r>
      <rPr>
        <b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Reflected on Collector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</si>
  <si>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Sky Diffuse Factor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</si>
  <si>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Day of Year</t>
    </r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</si>
  <si>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Hour Angle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</si>
  <si>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Latitude</t>
    </r>
  </si>
  <si>
    <r>
      <rPr>
        <b/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 PV Tilt</t>
    </r>
  </si>
  <si>
    <t>Ground Reflectance</t>
  </si>
  <si>
    <t>PV 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</si>
</sst>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.0000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9" xfId="0" applyFill="1" applyBorder="1"/>
    <xf numFmtId="1" fontId="0" fillId="3" borderId="9" xfId="0" applyNumberFormat="1" applyFill="1" applyBorder="1"/>
    <xf numFmtId="165" fontId="0" fillId="3" borderId="9" xfId="0" applyNumberFormat="1" applyFill="1" applyBorder="1"/>
    <xf numFmtId="0" fontId="1" fillId="0" borderId="3" xfId="0" applyFont="1" applyBorder="1"/>
    <xf numFmtId="0" fontId="0" fillId="4" borderId="6" xfId="0" applyFill="1" applyBorder="1"/>
    <xf numFmtId="0" fontId="0" fillId="4" borderId="1" xfId="0" applyFill="1" applyBorder="1"/>
    <xf numFmtId="0" fontId="0" fillId="4" borderId="10" xfId="0" applyFont="1" applyFill="1" applyBorder="1"/>
    <xf numFmtId="0" fontId="0" fillId="4" borderId="11" xfId="0" applyFont="1" applyFill="1" applyBorder="1"/>
    <xf numFmtId="14" fontId="0" fillId="4" borderId="11" xfId="0" applyNumberFormat="1" applyFont="1" applyFill="1" applyBorder="1"/>
    <xf numFmtId="0" fontId="0" fillId="4" borderId="12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2" borderId="9" xfId="0" applyFill="1" applyBorder="1" applyProtection="1">
      <protection locked="0"/>
    </xf>
    <xf numFmtId="166" fontId="0" fillId="2" borderId="9" xfId="0" applyNumberFormat="1" applyFill="1" applyBorder="1" applyProtection="1">
      <protection locked="0"/>
    </xf>
    <xf numFmtId="164" fontId="0" fillId="2" borderId="9" xfId="0" applyNumberFormat="1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7F60-4ABF-4452-8F56-289EEB06205C}">
  <sheetPr>
    <pageSetUpPr fitToPage="1"/>
  </sheetPr>
  <dimension ref="B1:J34"/>
  <sheetViews>
    <sheetView tabSelected="1" workbookViewId="0">
      <selection activeCell="M22" sqref="M22"/>
    </sheetView>
  </sheetViews>
  <sheetFormatPr defaultRowHeight="15" x14ac:dyDescent="0.25"/>
  <cols>
    <col min="1" max="1" width="2" customWidth="1"/>
    <col min="2" max="2" width="18.7109375" bestFit="1" customWidth="1"/>
    <col min="3" max="3" width="14.28515625" bestFit="1" customWidth="1"/>
    <col min="4" max="4" width="1.85546875" bestFit="1" customWidth="1"/>
    <col min="5" max="5" width="1.42578125" customWidth="1"/>
    <col min="6" max="6" width="3" customWidth="1"/>
    <col min="7" max="7" width="27.42578125" bestFit="1" customWidth="1"/>
    <col min="8" max="8" width="12.7109375" bestFit="1" customWidth="1"/>
    <col min="9" max="9" width="6.140625" bestFit="1" customWidth="1"/>
    <col min="10" max="10" width="1.28515625" customWidth="1"/>
    <col min="11" max="11" width="10.42578125" bestFit="1" customWidth="1"/>
    <col min="13" max="13" width="28.28515625" customWidth="1"/>
  </cols>
  <sheetData>
    <row r="1" spans="2:10" ht="15.75" thickBot="1" x14ac:dyDescent="0.3"/>
    <row r="2" spans="2:10" ht="15.75" thickTop="1" x14ac:dyDescent="0.25">
      <c r="B2" s="17" t="s">
        <v>11</v>
      </c>
      <c r="C2" s="6"/>
      <c r="D2" s="7"/>
      <c r="E2" s="2"/>
      <c r="F2" s="4"/>
      <c r="G2" s="5" t="s">
        <v>12</v>
      </c>
      <c r="H2" s="6"/>
      <c r="I2" s="6"/>
      <c r="J2" s="7"/>
    </row>
    <row r="3" spans="2:10" x14ac:dyDescent="0.25">
      <c r="B3" s="18"/>
      <c r="C3" s="10"/>
      <c r="D3" s="19"/>
      <c r="E3" s="2"/>
      <c r="F3" s="11"/>
      <c r="G3" s="9"/>
      <c r="H3" s="9"/>
      <c r="I3" s="9"/>
      <c r="J3" s="1"/>
    </row>
    <row r="4" spans="2:10" x14ac:dyDescent="0.25">
      <c r="B4" s="20" t="s">
        <v>29</v>
      </c>
      <c r="C4" s="26">
        <v>40</v>
      </c>
      <c r="D4" s="21" t="s">
        <v>9</v>
      </c>
      <c r="E4" s="2"/>
      <c r="F4" s="11"/>
      <c r="G4" s="14" t="s">
        <v>27</v>
      </c>
      <c r="H4" s="15">
        <f>C6-DATE(YEAR(C6),1,0)</f>
        <v>1</v>
      </c>
      <c r="I4" s="14"/>
      <c r="J4" s="1"/>
    </row>
    <row r="5" spans="2:10" x14ac:dyDescent="0.25">
      <c r="B5" s="20" t="s">
        <v>0</v>
      </c>
      <c r="C5" s="26">
        <v>52.582999999999998</v>
      </c>
      <c r="D5" s="21" t="s">
        <v>9</v>
      </c>
      <c r="E5" s="2"/>
      <c r="F5" s="11"/>
      <c r="G5" s="14" t="s">
        <v>28</v>
      </c>
      <c r="H5" s="15">
        <f>(15*(1200-(C7)))/100</f>
        <v>0</v>
      </c>
      <c r="I5" s="14" t="s">
        <v>9</v>
      </c>
      <c r="J5" s="1"/>
    </row>
    <row r="6" spans="2:10" x14ac:dyDescent="0.25">
      <c r="B6" s="20" t="s">
        <v>1</v>
      </c>
      <c r="C6" s="27">
        <v>43466</v>
      </c>
      <c r="D6" s="22"/>
      <c r="E6" s="3"/>
      <c r="F6" s="11"/>
      <c r="G6" s="14" t="s">
        <v>3</v>
      </c>
      <c r="H6" s="14">
        <f>COS(RADIANS(H5))</f>
        <v>1</v>
      </c>
      <c r="I6" s="14"/>
      <c r="J6" s="1"/>
    </row>
    <row r="7" spans="2:10" x14ac:dyDescent="0.25">
      <c r="B7" s="20" t="s">
        <v>2</v>
      </c>
      <c r="C7" s="28">
        <v>1200</v>
      </c>
      <c r="D7" s="21"/>
      <c r="E7" s="2"/>
      <c r="F7" s="11"/>
      <c r="G7" s="14" t="s">
        <v>6</v>
      </c>
      <c r="H7" s="14">
        <f>TAN(RADIANS(H15))/TAN(RADIANS(C4))</f>
        <v>-0.50615506728971182</v>
      </c>
      <c r="I7" s="14"/>
      <c r="J7" s="1"/>
    </row>
    <row r="8" spans="2:10" x14ac:dyDescent="0.25">
      <c r="B8" s="20"/>
      <c r="C8" s="29"/>
      <c r="D8" s="21"/>
      <c r="E8" s="2"/>
      <c r="F8" s="11"/>
      <c r="G8" s="14"/>
      <c r="H8" s="14"/>
      <c r="I8" s="14"/>
      <c r="J8" s="1"/>
    </row>
    <row r="9" spans="2:10" x14ac:dyDescent="0.25">
      <c r="B9" s="20" t="s">
        <v>30</v>
      </c>
      <c r="C9" s="26">
        <v>40</v>
      </c>
      <c r="D9" s="21" t="s">
        <v>9</v>
      </c>
      <c r="E9" s="2"/>
      <c r="F9" s="11"/>
      <c r="G9" s="14" t="s">
        <v>7</v>
      </c>
      <c r="H9" s="14">
        <f>COS(RADIANS(H15))*SIN(RADIANS(H5))/COS(RADIANS(H16))</f>
        <v>0</v>
      </c>
      <c r="I9" s="14"/>
      <c r="J9" s="1"/>
    </row>
    <row r="10" spans="2:10" x14ac:dyDescent="0.25">
      <c r="B10" s="25" t="s">
        <v>32</v>
      </c>
      <c r="C10" s="30">
        <v>0</v>
      </c>
      <c r="D10" s="21" t="s">
        <v>9</v>
      </c>
      <c r="E10" s="2"/>
      <c r="F10" s="11"/>
      <c r="G10" s="14"/>
      <c r="H10" s="14"/>
      <c r="I10" s="14"/>
      <c r="J10" s="1"/>
    </row>
    <row r="11" spans="2:10" ht="15.75" thickBot="1" x14ac:dyDescent="0.3">
      <c r="B11" s="23" t="s">
        <v>31</v>
      </c>
      <c r="C11" s="31">
        <v>0.1</v>
      </c>
      <c r="D11" s="24"/>
      <c r="E11" s="2"/>
      <c r="F11" s="11"/>
      <c r="G11" s="14"/>
      <c r="H11" s="14"/>
      <c r="I11" s="14"/>
      <c r="J11" s="1"/>
    </row>
    <row r="12" spans="2:10" ht="15.75" thickTop="1" x14ac:dyDescent="0.25">
      <c r="F12" s="11"/>
      <c r="G12" s="14" t="s">
        <v>4</v>
      </c>
      <c r="H12" s="14">
        <f>DEGREES(ASIN(H9))</f>
        <v>0</v>
      </c>
      <c r="I12" s="14"/>
      <c r="J12" s="1"/>
    </row>
    <row r="13" spans="2:10" x14ac:dyDescent="0.25">
      <c r="F13" s="11"/>
      <c r="G13" s="14" t="s">
        <v>5</v>
      </c>
      <c r="H13" s="16">
        <f>DEGREES(RADIANS(180-H9))</f>
        <v>180</v>
      </c>
      <c r="I13" s="14"/>
      <c r="J13" s="1"/>
    </row>
    <row r="14" spans="2:10" x14ac:dyDescent="0.25">
      <c r="F14" s="11"/>
      <c r="G14" s="14"/>
      <c r="H14" s="14"/>
      <c r="I14" s="14"/>
      <c r="J14" s="1"/>
    </row>
    <row r="15" spans="2:10" x14ac:dyDescent="0.25">
      <c r="F15" s="11"/>
      <c r="G15" s="14" t="s">
        <v>13</v>
      </c>
      <c r="H15" s="14">
        <f>23.45*SIN(RADIANS(360/365*(H4-81)))</f>
        <v>-23.011636727869238</v>
      </c>
      <c r="I15" s="14" t="s">
        <v>9</v>
      </c>
      <c r="J15" s="1"/>
    </row>
    <row r="16" spans="2:10" x14ac:dyDescent="0.25">
      <c r="F16" s="11"/>
      <c r="G16" s="14" t="s">
        <v>14</v>
      </c>
      <c r="H16" s="14">
        <f>DEGREES(ASIN((COS(RADIANS(C4))*COS(RADIANS(H15))*ROUND(COS(RADIANS(H5)),3))+SIN(RADIANS(C4))*SIN(RADIANS(H15))))</f>
        <v>26.988363272130762</v>
      </c>
      <c r="I16" s="14" t="s">
        <v>9</v>
      </c>
      <c r="J16" s="1"/>
    </row>
    <row r="17" spans="6:10" x14ac:dyDescent="0.25">
      <c r="F17" s="11"/>
      <c r="G17" s="14" t="s">
        <v>15</v>
      </c>
      <c r="H17" s="16">
        <f>IF(H6&gt;=H7,IF(H12&lt;=90,H12,H13),IF(H12&lt;=90,H13,H12))</f>
        <v>0</v>
      </c>
      <c r="I17" s="14" t="s">
        <v>9</v>
      </c>
      <c r="J17" s="1"/>
    </row>
    <row r="18" spans="6:10" x14ac:dyDescent="0.25">
      <c r="F18" s="11"/>
      <c r="G18" s="14"/>
      <c r="H18" s="14"/>
      <c r="I18" s="14"/>
      <c r="J18" s="1"/>
    </row>
    <row r="19" spans="6:10" x14ac:dyDescent="0.25">
      <c r="F19" s="11"/>
      <c r="G19" s="14" t="s">
        <v>10</v>
      </c>
      <c r="H19" s="14">
        <f>COS(RADIANS(H16))*    COS(RADIANS(H17)-RADIANS(C10)) * SIN(RADIANS(C9))   + SIN(RADIANS(H16))    * COS(RADIANS(C9))</f>
        <v>0.92042547728224089</v>
      </c>
      <c r="I19" s="14"/>
      <c r="J19" s="1"/>
    </row>
    <row r="20" spans="6:10" x14ac:dyDescent="0.25">
      <c r="F20" s="11"/>
      <c r="G20" s="14"/>
      <c r="H20" s="14"/>
      <c r="I20" s="14"/>
      <c r="J20" s="1"/>
    </row>
    <row r="21" spans="6:10" x14ac:dyDescent="0.25">
      <c r="F21" s="11"/>
      <c r="G21" s="14" t="s">
        <v>16</v>
      </c>
      <c r="H21" s="14">
        <f xml:space="preserve"> SQRT((708*SIN(RADIANS(H16)))^2+1417)-708*SIN(RADIANS(H16))</f>
        <v>2.19760825361044</v>
      </c>
      <c r="I21" s="14"/>
      <c r="J21" s="1"/>
    </row>
    <row r="22" spans="6:10" ht="17.25" x14ac:dyDescent="0.25">
      <c r="F22" s="11"/>
      <c r="G22" s="14" t="s">
        <v>17</v>
      </c>
      <c r="H22" s="14">
        <f>1160+(75 * SIN(RADIANS(360/365*(H4-275))))</f>
        <v>1234.9993054802142</v>
      </c>
      <c r="I22" s="14" t="s">
        <v>8</v>
      </c>
      <c r="J22" s="1"/>
    </row>
    <row r="23" spans="6:10" x14ac:dyDescent="0.25">
      <c r="F23" s="11"/>
      <c r="G23" s="14" t="s">
        <v>18</v>
      </c>
      <c r="H23" s="14">
        <f>0.174+0.035 * SIN(RADIANS(360 /365)*(H4-100))</f>
        <v>0.13931100776022906</v>
      </c>
      <c r="I23" s="14"/>
      <c r="J23" s="1"/>
    </row>
    <row r="24" spans="6:10" ht="18.75" x14ac:dyDescent="0.35">
      <c r="F24" s="11"/>
      <c r="G24" s="14" t="s">
        <v>19</v>
      </c>
      <c r="H24" s="14">
        <f>H22*POWER(EXP(1),        -H23*H21)</f>
        <v>909.29963036342895</v>
      </c>
      <c r="I24" s="14" t="s">
        <v>8</v>
      </c>
      <c r="J24" s="1"/>
    </row>
    <row r="25" spans="6:10" x14ac:dyDescent="0.25">
      <c r="F25" s="11"/>
      <c r="G25" s="14" t="s">
        <v>20</v>
      </c>
      <c r="H25" s="14">
        <f>DEGREES(ACOS(H19))</f>
        <v>23.011636727869252</v>
      </c>
      <c r="I25" s="14" t="s">
        <v>9</v>
      </c>
      <c r="J25" s="1"/>
    </row>
    <row r="26" spans="6:10" ht="18.75" x14ac:dyDescent="0.35">
      <c r="F26" s="11"/>
      <c r="G26" s="14" t="s">
        <v>21</v>
      </c>
      <c r="H26" s="14">
        <f>H24*COS(RADIANS(H25))</f>
        <v>836.94254626982433</v>
      </c>
      <c r="I26" s="14" t="s">
        <v>8</v>
      </c>
      <c r="J26" s="1"/>
    </row>
    <row r="27" spans="6:10" ht="18.75" x14ac:dyDescent="0.35">
      <c r="F27" s="11"/>
      <c r="G27" s="14" t="s">
        <v>22</v>
      </c>
      <c r="H27" s="14">
        <f>H24 * SIN(RADIANS(H16))</f>
        <v>412.64883574877518</v>
      </c>
      <c r="I27" s="14" t="s">
        <v>8</v>
      </c>
      <c r="J27" s="1"/>
    </row>
    <row r="28" spans="6:10" x14ac:dyDescent="0.25">
      <c r="F28" s="11"/>
      <c r="G28" s="14" t="s">
        <v>26</v>
      </c>
      <c r="H28" s="14">
        <f>0.095 + 0.04 *SIN(RADIANS(360/365)*(H4-100))</f>
        <v>5.5355437440261814E-2</v>
      </c>
      <c r="I28" s="14"/>
      <c r="J28" s="1"/>
    </row>
    <row r="29" spans="6:10" ht="18.75" x14ac:dyDescent="0.35">
      <c r="F29" s="11"/>
      <c r="G29" s="14" t="s">
        <v>23</v>
      </c>
      <c r="H29" s="14">
        <f>H24*H28*((1+COS(RADIANS(C9)))/2)</f>
        <v>44.446639898140155</v>
      </c>
      <c r="I29" s="14" t="s">
        <v>8</v>
      </c>
      <c r="J29" s="1"/>
    </row>
    <row r="30" spans="6:10" ht="18.75" x14ac:dyDescent="0.35">
      <c r="F30" s="11"/>
      <c r="G30" s="14" t="s">
        <v>24</v>
      </c>
      <c r="H30" s="14">
        <f>H24*H28</f>
        <v>50.334678803035985</v>
      </c>
      <c r="I30" s="14" t="s">
        <v>8</v>
      </c>
      <c r="J30" s="1"/>
    </row>
    <row r="31" spans="6:10" ht="18.75" x14ac:dyDescent="0.35">
      <c r="F31" s="11"/>
      <c r="G31" s="14" t="s">
        <v>25</v>
      </c>
      <c r="H31" s="14">
        <f>C11*(H27+H30)*(   (1-COS(RADIANS(C9))) /2    )</f>
        <v>5.4158782986850866</v>
      </c>
      <c r="I31" s="14" t="s">
        <v>8</v>
      </c>
      <c r="J31" s="1"/>
    </row>
    <row r="32" spans="6:10" x14ac:dyDescent="0.25">
      <c r="F32" s="11"/>
      <c r="G32" s="9"/>
      <c r="H32" s="9"/>
      <c r="I32" s="9"/>
      <c r="J32" s="1"/>
    </row>
    <row r="33" spans="6:10" ht="15.75" thickBot="1" x14ac:dyDescent="0.3">
      <c r="F33" s="12"/>
      <c r="G33" s="13"/>
      <c r="H33" s="13"/>
      <c r="I33" s="13"/>
      <c r="J33" s="8"/>
    </row>
    <row r="34" spans="6:10" ht="15.75" thickTop="1" x14ac:dyDescent="0.25"/>
  </sheetData>
  <sheetProtection sheet="1" objects="1" scenarios="1"/>
  <printOptions headings="1" gridLines="1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R. Caditz</dc:creator>
  <cp:lastModifiedBy>Michael R. Caditz</cp:lastModifiedBy>
  <cp:lastPrinted>2018-09-27T00:11:14Z</cp:lastPrinted>
  <dcterms:created xsi:type="dcterms:W3CDTF">2018-09-22T13:50:10Z</dcterms:created>
  <dcterms:modified xsi:type="dcterms:W3CDTF">2018-10-04T20:13:44Z</dcterms:modified>
</cp:coreProperties>
</file>