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pivot_manufacturers" sheetId="2" r:id="rId5"/>
    <sheet state="visible" name="split_names" sheetId="3" r:id="rId6"/>
  </sheets>
  <definedNames>
    <definedName hidden="1" localSheetId="0" name="_xlnm._FilterDatabase">raw_data!$B$1:$O$307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<sst xmlns="http://schemas.openxmlformats.org/spreadsheetml/2006/main" count="1610" uniqueCount="658">
  <si>
    <t xml:space="preserve"> </t>
  </si>
  <si>
    <t>Make</t>
  </si>
  <si>
    <t>SUM of Jan</t>
  </si>
  <si>
    <t>SUM of Feb</t>
  </si>
  <si>
    <t>SUM of Mar</t>
  </si>
  <si>
    <t>SUM of Apr</t>
  </si>
  <si>
    <t>SUM of May</t>
  </si>
  <si>
    <t>SUM of Jun</t>
  </si>
  <si>
    <t>SUM of Jul</t>
  </si>
  <si>
    <t>SUM of Aug</t>
  </si>
  <si>
    <t>SUM of Sep</t>
  </si>
  <si>
    <t>SUM of Oct</t>
  </si>
  <si>
    <t>SUM of Nov</t>
  </si>
  <si>
    <t>SUM of Dec</t>
  </si>
  <si>
    <t>Total</t>
  </si>
  <si>
    <t>Acura</t>
  </si>
  <si>
    <t>Alfa</t>
  </si>
  <si>
    <t>Audi</t>
  </si>
  <si>
    <t>BMW</t>
  </si>
  <si>
    <t>Buick</t>
  </si>
  <si>
    <t>Cadillac</t>
  </si>
  <si>
    <t>Chevrolet</t>
  </si>
  <si>
    <t>Chrysler</t>
  </si>
  <si>
    <t>Dodge</t>
  </si>
  <si>
    <t>Fiat</t>
  </si>
  <si>
    <t>Ford</t>
  </si>
  <si>
    <t>Genesis</t>
  </si>
  <si>
    <t>GMC</t>
  </si>
  <si>
    <t>Honda</t>
  </si>
  <si>
    <t>Hyundai</t>
  </si>
  <si>
    <t>Infiniti</t>
  </si>
  <si>
    <t>Jaguar</t>
  </si>
  <si>
    <t>Jeep</t>
  </si>
  <si>
    <t>Kia</t>
  </si>
  <si>
    <t>Land</t>
  </si>
  <si>
    <t>Lexus</t>
  </si>
  <si>
    <t>Lincoln</t>
  </si>
  <si>
    <t>Mazda</t>
  </si>
  <si>
    <t>Mercedes-Benz</t>
  </si>
  <si>
    <t>Mini</t>
  </si>
  <si>
    <t>Mitsubishi</t>
  </si>
  <si>
    <t>Nissan</t>
  </si>
  <si>
    <t>Porsche</t>
  </si>
  <si>
    <t>Ram</t>
  </si>
  <si>
    <t>Subaru</t>
  </si>
  <si>
    <t>Tesla</t>
  </si>
  <si>
    <t>Toyota</t>
  </si>
  <si>
    <t>Volkswagen</t>
  </si>
  <si>
    <t>Volvo</t>
  </si>
  <si>
    <t>Grand Total</t>
  </si>
  <si>
    <t>Acura ILX</t>
  </si>
  <si>
    <t>ILX</t>
  </si>
  <si>
    <t>Acura MDX</t>
  </si>
  <si>
    <t>MDX</t>
  </si>
  <si>
    <t>Acura NSX</t>
  </si>
  <si>
    <t>NSX</t>
  </si>
  <si>
    <t>Acura RDX</t>
  </si>
  <si>
    <t>RDX</t>
  </si>
  <si>
    <t>Acura RLX</t>
  </si>
  <si>
    <t>RLX</t>
  </si>
  <si>
    <t>Acura TLX</t>
  </si>
  <si>
    <t>TLX</t>
  </si>
  <si>
    <t>Alfa Romeo 4C</t>
  </si>
  <si>
    <t>Romeo</t>
  </si>
  <si>
    <t>4C</t>
  </si>
  <si>
    <t>Alfa Romeo Giulia</t>
  </si>
  <si>
    <t>Giulia</t>
  </si>
  <si>
    <t>Alfa Romeo Stelvio</t>
  </si>
  <si>
    <t>Stelvio</t>
  </si>
  <si>
    <t>Audi A3</t>
  </si>
  <si>
    <t>A3</t>
  </si>
  <si>
    <t>Audi A4</t>
  </si>
  <si>
    <t>A4</t>
  </si>
  <si>
    <t>Audi A5</t>
  </si>
  <si>
    <t>A5</t>
  </si>
  <si>
    <t>Audi A6</t>
  </si>
  <si>
    <t>A6</t>
  </si>
  <si>
    <t>Audi A7</t>
  </si>
  <si>
    <t>A7</t>
  </si>
  <si>
    <t>Audi A8</t>
  </si>
  <si>
    <t>A8</t>
  </si>
  <si>
    <t>Audi eTron</t>
  </si>
  <si>
    <t>eTron</t>
  </si>
  <si>
    <t>Audi Q3</t>
  </si>
  <si>
    <t>Q3</t>
  </si>
  <si>
    <t>Audi Q5</t>
  </si>
  <si>
    <t>Q5</t>
  </si>
  <si>
    <t>Audi Q7</t>
  </si>
  <si>
    <t>Q7</t>
  </si>
  <si>
    <t>Audi Q8</t>
  </si>
  <si>
    <t>Q8</t>
  </si>
  <si>
    <t>Audi R8</t>
  </si>
  <si>
    <t>R8</t>
  </si>
  <si>
    <t>Audi TT</t>
  </si>
  <si>
    <t>TT</t>
  </si>
  <si>
    <t>BMW 2-Series</t>
  </si>
  <si>
    <t>2-Series</t>
  </si>
  <si>
    <t>BMW 3-Series</t>
  </si>
  <si>
    <t>3-Series</t>
  </si>
  <si>
    <t>BMW 4-Series</t>
  </si>
  <si>
    <t>4-Series</t>
  </si>
  <si>
    <t>BMW 5-Series</t>
  </si>
  <si>
    <t>5-Series</t>
  </si>
  <si>
    <t>BMW 6-Series</t>
  </si>
  <si>
    <t>6-Series</t>
  </si>
  <si>
    <t>BMW 7-Series</t>
  </si>
  <si>
    <t>7-Series</t>
  </si>
  <si>
    <t>BMW 8-Series</t>
  </si>
  <si>
    <t>8-Series</t>
  </si>
  <si>
    <t>BMW i3</t>
  </si>
  <si>
    <t>i3</t>
  </si>
  <si>
    <t>BMW i8</t>
  </si>
  <si>
    <t>i8</t>
  </si>
  <si>
    <t>BMW X1</t>
  </si>
  <si>
    <t>X1</t>
  </si>
  <si>
    <t>BMW X2</t>
  </si>
  <si>
    <t>X2</t>
  </si>
  <si>
    <t>BMW X3</t>
  </si>
  <si>
    <t>X3</t>
  </si>
  <si>
    <t>BMW X4</t>
  </si>
  <si>
    <t>X4</t>
  </si>
  <si>
    <t>BMW X5</t>
  </si>
  <si>
    <t>X5</t>
  </si>
  <si>
    <t>BMW X6</t>
  </si>
  <si>
    <t>X6</t>
  </si>
  <si>
    <t>BMW X7</t>
  </si>
  <si>
    <t>X7</t>
  </si>
  <si>
    <t>BMW Z4</t>
  </si>
  <si>
    <t>Z4</t>
  </si>
  <si>
    <t>Buick Cascada</t>
  </si>
  <si>
    <t>Cascada</t>
  </si>
  <si>
    <t>Buick Enclave</t>
  </si>
  <si>
    <t>Enclave</t>
  </si>
  <si>
    <t>Buick Encore</t>
  </si>
  <si>
    <t>Encore</t>
  </si>
  <si>
    <t>Buick Encore GX</t>
  </si>
  <si>
    <t>GX</t>
  </si>
  <si>
    <t>Buick Envision</t>
  </si>
  <si>
    <t>Envision</t>
  </si>
  <si>
    <t>Buick LaCrosse</t>
  </si>
  <si>
    <t>LaCrosse</t>
  </si>
  <si>
    <t>Buick Regal</t>
  </si>
  <si>
    <t>Regal</t>
  </si>
  <si>
    <t>Cadillac ATS</t>
  </si>
  <si>
    <t>ATS</t>
  </si>
  <si>
    <t>Cadillac CT4</t>
  </si>
  <si>
    <t>CT4</t>
  </si>
  <si>
    <t>Cadillac CT5</t>
  </si>
  <si>
    <t>CT5</t>
  </si>
  <si>
    <t>Cadillac CT6</t>
  </si>
  <si>
    <t>CT6</t>
  </si>
  <si>
    <t>Cadillac CTS</t>
  </si>
  <si>
    <t>CTS</t>
  </si>
  <si>
    <t>Cadillac Escalade</t>
  </si>
  <si>
    <t>Escalade</t>
  </si>
  <si>
    <t>Cadillac XT4</t>
  </si>
  <si>
    <t>XT4</t>
  </si>
  <si>
    <t>Cadillac XT5</t>
  </si>
  <si>
    <t>XT5</t>
  </si>
  <si>
    <t>Cadillac XT6</t>
  </si>
  <si>
    <t>XT6</t>
  </si>
  <si>
    <t>Cadillac XTS</t>
  </si>
  <si>
    <t>XTS</t>
  </si>
  <si>
    <t>Chevrolet Blazer</t>
  </si>
  <si>
    <t>Blazer</t>
  </si>
  <si>
    <t>Chevrolet Bolt</t>
  </si>
  <si>
    <t>Bolt</t>
  </si>
  <si>
    <t>Chevrolet Camaro</t>
  </si>
  <si>
    <t>Camaro</t>
  </si>
  <si>
    <t>Chevrolet Colorado</t>
  </si>
  <si>
    <t>Colorado</t>
  </si>
  <si>
    <t>Chevrolet Corvette</t>
  </si>
  <si>
    <t>Corvette</t>
  </si>
  <si>
    <t>Chevrolet Cruze</t>
  </si>
  <si>
    <t>Cruze</t>
  </si>
  <si>
    <t>Chevrolet Equinox</t>
  </si>
  <si>
    <t>Equinox</t>
  </si>
  <si>
    <t>Chevrolet Express</t>
  </si>
  <si>
    <t>Express</t>
  </si>
  <si>
    <t>Chevrolet Impala</t>
  </si>
  <si>
    <t>Impala</t>
  </si>
  <si>
    <t>Chevrolet Malibu</t>
  </si>
  <si>
    <t>Malibu</t>
  </si>
  <si>
    <t>Chevrolet Silverado</t>
  </si>
  <si>
    <t>Silverado</t>
  </si>
  <si>
    <t>Chevrolet Sonic</t>
  </si>
  <si>
    <t>Sonic</t>
  </si>
  <si>
    <t>Chevrolet Spark</t>
  </si>
  <si>
    <t>Spark</t>
  </si>
  <si>
    <t>Chevrolet Suburban</t>
  </si>
  <si>
    <t>Suburban</t>
  </si>
  <si>
    <t>Chevrolet Tahoe</t>
  </si>
  <si>
    <t>Tahoe</t>
  </si>
  <si>
    <t>Chevrolet TrailBlazer</t>
  </si>
  <si>
    <t>TrailBlazer</t>
  </si>
  <si>
    <t>Chevrolet Traverse</t>
  </si>
  <si>
    <t>Traverse</t>
  </si>
  <si>
    <t>Chevrolet Trax</t>
  </si>
  <si>
    <t>Trax</t>
  </si>
  <si>
    <t>Chevrolet Volt</t>
  </si>
  <si>
    <t>Volt</t>
  </si>
  <si>
    <t>Chrysler 200</t>
  </si>
  <si>
    <t>Chrysler 300</t>
  </si>
  <si>
    <t>Chrysler Pacifica</t>
  </si>
  <si>
    <t>Pacifica</t>
  </si>
  <si>
    <t>Chrysler Town and Country</t>
  </si>
  <si>
    <t>Town</t>
  </si>
  <si>
    <t>and</t>
  </si>
  <si>
    <t>Country</t>
  </si>
  <si>
    <t>Dodge Challenger</t>
  </si>
  <si>
    <t>Challenger</t>
  </si>
  <si>
    <t>Dodge Charger</t>
  </si>
  <si>
    <t>Charger</t>
  </si>
  <si>
    <t>Dodge Dart</t>
  </si>
  <si>
    <t>Dart</t>
  </si>
  <si>
    <t>Dodge Durango</t>
  </si>
  <si>
    <t>Durango</t>
  </si>
  <si>
    <t>Dodge Grand Caravan</t>
  </si>
  <si>
    <t>Grand</t>
  </si>
  <si>
    <t>Caravan</t>
  </si>
  <si>
    <t>Dodge Journey</t>
  </si>
  <si>
    <t>Journey</t>
  </si>
  <si>
    <t>Dodge Viper</t>
  </si>
  <si>
    <t>Viper</t>
  </si>
  <si>
    <t>Fiat 124 Spider</t>
  </si>
  <si>
    <t>Spider</t>
  </si>
  <si>
    <t>Fiat 500</t>
  </si>
  <si>
    <t>Fiat 500L</t>
  </si>
  <si>
    <t>500L</t>
  </si>
  <si>
    <t>Fiat 500X</t>
  </si>
  <si>
    <t>500X</t>
  </si>
  <si>
    <t>Ford Bronco Sport</t>
  </si>
  <si>
    <t>Bronco</t>
  </si>
  <si>
    <t>Sport</t>
  </si>
  <si>
    <t>Ford E-Series</t>
  </si>
  <si>
    <t>E-Series</t>
  </si>
  <si>
    <t>Ford EcoSport</t>
  </si>
  <si>
    <t>EcoSport</t>
  </si>
  <si>
    <t>Ford Edge</t>
  </si>
  <si>
    <t>Edge</t>
  </si>
  <si>
    <t>Ford Escape</t>
  </si>
  <si>
    <t>Escape</t>
  </si>
  <si>
    <t>Ford Expedition</t>
  </si>
  <si>
    <t>Expedition</t>
  </si>
  <si>
    <t>Ford Explorer</t>
  </si>
  <si>
    <t>Explorer</t>
  </si>
  <si>
    <t>Ford F-Series</t>
  </si>
  <si>
    <t>F-Series</t>
  </si>
  <si>
    <t>Ford Fiesta</t>
  </si>
  <si>
    <t>Fiesta</t>
  </si>
  <si>
    <t>Ford Flex</t>
  </si>
  <si>
    <t>Flex</t>
  </si>
  <si>
    <t>Ford Fusion</t>
  </si>
  <si>
    <t>Fusion</t>
  </si>
  <si>
    <t>Ford GT</t>
  </si>
  <si>
    <t>GT</t>
  </si>
  <si>
    <t>Ford Mustang</t>
  </si>
  <si>
    <t>Mustang</t>
  </si>
  <si>
    <t>Ford Mustang Mach E</t>
  </si>
  <si>
    <t>Mach</t>
  </si>
  <si>
    <t>E</t>
  </si>
  <si>
    <t>Ford Ranger</t>
  </si>
  <si>
    <t>Ranger</t>
  </si>
  <si>
    <t>Ford Transit</t>
  </si>
  <si>
    <t>Transit</t>
  </si>
  <si>
    <t>Ford Transit Connect</t>
  </si>
  <si>
    <t>Connect</t>
  </si>
  <si>
    <t>Genesis G70</t>
  </si>
  <si>
    <t>G70</t>
  </si>
  <si>
    <t>Genesis G80</t>
  </si>
  <si>
    <t>G80</t>
  </si>
  <si>
    <t>Genesis G90</t>
  </si>
  <si>
    <t>G90</t>
  </si>
  <si>
    <t>Genesis GV80</t>
  </si>
  <si>
    <t>GV80</t>
  </si>
  <si>
    <t>GMC Acadia</t>
  </si>
  <si>
    <t>Acadia</t>
  </si>
  <si>
    <t>GMC Canyon</t>
  </si>
  <si>
    <t>Canyon</t>
  </si>
  <si>
    <t>GMC Savana</t>
  </si>
  <si>
    <t>Savana</t>
  </si>
  <si>
    <t>GMC Sierra</t>
  </si>
  <si>
    <t>Sierra</t>
  </si>
  <si>
    <t>GMC Terrain</t>
  </si>
  <si>
    <t>Terrain</t>
  </si>
  <si>
    <t>GMC Yukon</t>
  </si>
  <si>
    <t>Yukon</t>
  </si>
  <si>
    <t>Honda Accord</t>
  </si>
  <si>
    <t>Accord</t>
  </si>
  <si>
    <t>Honda Civic</t>
  </si>
  <si>
    <t>Civic</t>
  </si>
  <si>
    <t>Honda Clarity FCV</t>
  </si>
  <si>
    <t>Clarity</t>
  </si>
  <si>
    <t>FCV</t>
  </si>
  <si>
    <t>Honda CR-V</t>
  </si>
  <si>
    <t>CR-V</t>
  </si>
  <si>
    <t>Honda CR-Z</t>
  </si>
  <si>
    <t>CR-Z</t>
  </si>
  <si>
    <t>Honda Fit</t>
  </si>
  <si>
    <t>Fit</t>
  </si>
  <si>
    <t>Honda HR-V</t>
  </si>
  <si>
    <t>HR-V</t>
  </si>
  <si>
    <t>Honda Insight</t>
  </si>
  <si>
    <t>Insight</t>
  </si>
  <si>
    <t>Honda Odyssey</t>
  </si>
  <si>
    <t>Odyssey</t>
  </si>
  <si>
    <t>Honda Passport</t>
  </si>
  <si>
    <t>Passport</t>
  </si>
  <si>
    <t>Honda Pilot</t>
  </si>
  <si>
    <t>Pilot</t>
  </si>
  <si>
    <t>Honda Ridgeline</t>
  </si>
  <si>
    <t>Ridgeline</t>
  </si>
  <si>
    <t>Hyundai Accent</t>
  </si>
  <si>
    <t>Accent</t>
  </si>
  <si>
    <t>Hyundai Elantra</t>
  </si>
  <si>
    <t>Elantra</t>
  </si>
  <si>
    <t>Hyundai Ioniq</t>
  </si>
  <si>
    <t>Ioniq</t>
  </si>
  <si>
    <t>Hyundai Kona</t>
  </si>
  <si>
    <t>Kona</t>
  </si>
  <si>
    <t>Hyundai Nexo</t>
  </si>
  <si>
    <t>Nexo</t>
  </si>
  <si>
    <t>Hyundai Palisade</t>
  </si>
  <si>
    <t>Palisade</t>
  </si>
  <si>
    <t>Hyundai Santa Fe</t>
  </si>
  <si>
    <t>Santa</t>
  </si>
  <si>
    <t>Fe</t>
  </si>
  <si>
    <t>Hyundai Sonata</t>
  </si>
  <si>
    <t>Sonata</t>
  </si>
  <si>
    <t>Hyundai Tuscon</t>
  </si>
  <si>
    <t>Tuscon</t>
  </si>
  <si>
    <t>Hyundai Veloster</t>
  </si>
  <si>
    <t>Veloster</t>
  </si>
  <si>
    <t>Hyundai Venue</t>
  </si>
  <si>
    <t>Venue</t>
  </si>
  <si>
    <t>Infiniti Q50</t>
  </si>
  <si>
    <t>Q50</t>
  </si>
  <si>
    <t>Infiniti Q60</t>
  </si>
  <si>
    <t>Q60</t>
  </si>
  <si>
    <t>Infiniti Q70</t>
  </si>
  <si>
    <t>Q70</t>
  </si>
  <si>
    <t>Infiniti QX30</t>
  </si>
  <si>
    <t>QX30</t>
  </si>
  <si>
    <t>Infiniti QX50</t>
  </si>
  <si>
    <t>QX50</t>
  </si>
  <si>
    <t>Infiniti QX60</t>
  </si>
  <si>
    <t>QX60</t>
  </si>
  <si>
    <t>Infiniti QX80</t>
  </si>
  <si>
    <t>QX80</t>
  </si>
  <si>
    <t>Jaguar E-Pace</t>
  </si>
  <si>
    <t>E-Pace</t>
  </si>
  <si>
    <t>Jaguar F-Pace</t>
  </si>
  <si>
    <t>F-Pace</t>
  </si>
  <si>
    <t>Jaguar F-Type</t>
  </si>
  <si>
    <t>F-Type</t>
  </si>
  <si>
    <t>Jaguar I-Pace</t>
  </si>
  <si>
    <t>I-Pace</t>
  </si>
  <si>
    <t>Jaguar XE</t>
  </si>
  <si>
    <t>XE</t>
  </si>
  <si>
    <t>Jaguar XF</t>
  </si>
  <si>
    <t>XF</t>
  </si>
  <si>
    <t>Jaguar XJ</t>
  </si>
  <si>
    <t>XJ</t>
  </si>
  <si>
    <t>Jeep Cherokee</t>
  </si>
  <si>
    <t>Cherokee</t>
  </si>
  <si>
    <t>Jeep Compass</t>
  </si>
  <si>
    <t>Compass</t>
  </si>
  <si>
    <t>Jeep Gladiator</t>
  </si>
  <si>
    <t>Gladiator</t>
  </si>
  <si>
    <t>Jeep Grand Cherokee</t>
  </si>
  <si>
    <t>Jeep Renegade</t>
  </si>
  <si>
    <t>Renegade</t>
  </si>
  <si>
    <t>Jeep Wrangler</t>
  </si>
  <si>
    <t>Wrangler</t>
  </si>
  <si>
    <t>Kia Cadenza</t>
  </si>
  <si>
    <t>Cadenza</t>
  </si>
  <si>
    <t>Kia Forte</t>
  </si>
  <si>
    <t>Forte</t>
  </si>
  <si>
    <t>Kia K5</t>
  </si>
  <si>
    <t>K5</t>
  </si>
  <si>
    <t>Kia K900</t>
  </si>
  <si>
    <t>K900</t>
  </si>
  <si>
    <t>Kia Niro</t>
  </si>
  <si>
    <t>Niro</t>
  </si>
  <si>
    <t>Kia Optima</t>
  </si>
  <si>
    <t>Optima</t>
  </si>
  <si>
    <t>Kia Rio</t>
  </si>
  <si>
    <t>Rio</t>
  </si>
  <si>
    <t>Kia Sedona</t>
  </si>
  <si>
    <t>Sedona</t>
  </si>
  <si>
    <t>Kia Seltos</t>
  </si>
  <si>
    <t>Seltos</t>
  </si>
  <si>
    <t>Kia Sorento</t>
  </si>
  <si>
    <t>Sorento</t>
  </si>
  <si>
    <t>Kia Soul</t>
  </si>
  <si>
    <t>Soul</t>
  </si>
  <si>
    <t>Kia Sportage</t>
  </si>
  <si>
    <t>Sportage</t>
  </si>
  <si>
    <t>Kia Stinger</t>
  </si>
  <si>
    <t>Stinger</t>
  </si>
  <si>
    <t>Kia Telluride</t>
  </si>
  <si>
    <t>Telluride</t>
  </si>
  <si>
    <t>Land Rover Defender</t>
  </si>
  <si>
    <t>Rover</t>
  </si>
  <si>
    <t>Defender</t>
  </si>
  <si>
    <t>Land Rover Discovery / LR4</t>
  </si>
  <si>
    <t>Discovery</t>
  </si>
  <si>
    <t>/</t>
  </si>
  <si>
    <t>LR4</t>
  </si>
  <si>
    <t>Land Rover Discovery Sport</t>
  </si>
  <si>
    <t>Land Rover Range Rover</t>
  </si>
  <si>
    <t>Range</t>
  </si>
  <si>
    <t>Land Rover Range Rover Evoque</t>
  </si>
  <si>
    <t>Evoque</t>
  </si>
  <si>
    <t>Land Rover Range Rover Sport</t>
  </si>
  <si>
    <t>Land Rover Range Rover Velar</t>
  </si>
  <si>
    <t>Velar</t>
  </si>
  <si>
    <t>Lexus ES</t>
  </si>
  <si>
    <t>ES</t>
  </si>
  <si>
    <t>Lexus GS</t>
  </si>
  <si>
    <t>GS</t>
  </si>
  <si>
    <t>Lexus GX</t>
  </si>
  <si>
    <t>Lexus IS</t>
  </si>
  <si>
    <t>IS</t>
  </si>
  <si>
    <t>Lexus LC</t>
  </si>
  <si>
    <t>LC</t>
  </si>
  <si>
    <t>Lexus LFA</t>
  </si>
  <si>
    <t>LFA</t>
  </si>
  <si>
    <t>Lexus LS</t>
  </si>
  <si>
    <t>LS</t>
  </si>
  <si>
    <t>Lexus LX</t>
  </si>
  <si>
    <t>LX</t>
  </si>
  <si>
    <t>Lexus NX</t>
  </si>
  <si>
    <t>NX</t>
  </si>
  <si>
    <t>Lexus RC</t>
  </si>
  <si>
    <t>RC</t>
  </si>
  <si>
    <t>Lexus RX</t>
  </si>
  <si>
    <t>RX</t>
  </si>
  <si>
    <t>Lexus UX</t>
  </si>
  <si>
    <t>UX</t>
  </si>
  <si>
    <t>Lincoln Aviator</t>
  </si>
  <si>
    <t>Aviator</t>
  </si>
  <si>
    <t>Lincoln Continental</t>
  </si>
  <si>
    <t>Continental</t>
  </si>
  <si>
    <t>Lincoln MKC</t>
  </si>
  <si>
    <t>MKC</t>
  </si>
  <si>
    <t>Lincoln MKT</t>
  </si>
  <si>
    <t>MKT</t>
  </si>
  <si>
    <t>Lincoln MKX/Nautilus</t>
  </si>
  <si>
    <t>MKX/Nautilus</t>
  </si>
  <si>
    <t>Lincoln MKZ</t>
  </si>
  <si>
    <t>MKZ</t>
  </si>
  <si>
    <t>Lincoln Navigator</t>
  </si>
  <si>
    <t>Navigator</t>
  </si>
  <si>
    <t>Mazda 2</t>
  </si>
  <si>
    <t>Mazda 3</t>
  </si>
  <si>
    <t>Mazda 6</t>
  </si>
  <si>
    <t>Mazda CX-3</t>
  </si>
  <si>
    <t>CX-3</t>
  </si>
  <si>
    <t>Mazda CX-30</t>
  </si>
  <si>
    <t>CX-30</t>
  </si>
  <si>
    <t>Mazda CX-5</t>
  </si>
  <si>
    <t>CX-5</t>
  </si>
  <si>
    <t>Mazda CX-9</t>
  </si>
  <si>
    <t>CX-9</t>
  </si>
  <si>
    <t>Mazda MX-5 Miata</t>
  </si>
  <si>
    <t>MX-5</t>
  </si>
  <si>
    <t>Miata</t>
  </si>
  <si>
    <t>Mercedes-Benz A-Class</t>
  </si>
  <si>
    <t>A-Class</t>
  </si>
  <si>
    <t>Mercedes-Benz AMG GT</t>
  </si>
  <si>
    <t>AMG</t>
  </si>
  <si>
    <t>Mercedes-Benz C-Class</t>
  </si>
  <si>
    <t>C-Class</t>
  </si>
  <si>
    <t>Mercedes-Benz CLA-Class</t>
  </si>
  <si>
    <t>CLA-Class</t>
  </si>
  <si>
    <t>Mercedes-Benz E / CLS-Class</t>
  </si>
  <si>
    <t>CLS-Class</t>
  </si>
  <si>
    <t>Mercedes-Benz G-Class</t>
  </si>
  <si>
    <t>G-Class</t>
  </si>
  <si>
    <t>Mercedes-Benz GL/GLS-Class</t>
  </si>
  <si>
    <t>GL/GLS-Class</t>
  </si>
  <si>
    <t>Mercedes-Benz GLA-Class</t>
  </si>
  <si>
    <t>GLA-Class</t>
  </si>
  <si>
    <t>Mercedes-Benz GLB</t>
  </si>
  <si>
    <t>GLB</t>
  </si>
  <si>
    <t>Mercedes-Benz GLC/GLK-Class</t>
  </si>
  <si>
    <t>GLC/GLK-Class</t>
  </si>
  <si>
    <t>Mercedes-Benz GLE-Class</t>
  </si>
  <si>
    <t>GLE-Class</t>
  </si>
  <si>
    <t>Mercedes-Benz Metris</t>
  </si>
  <si>
    <t>Metris</t>
  </si>
  <si>
    <t>Mercedes-Benz S-Class</t>
  </si>
  <si>
    <t>S-Class</t>
  </si>
  <si>
    <t>Mercedes-Benz SL-Class</t>
  </si>
  <si>
    <t>SL-Class</t>
  </si>
  <si>
    <t>Mercedes-Benz SLC-Class</t>
  </si>
  <si>
    <t>SLC-Class</t>
  </si>
  <si>
    <t>Mercedes-Benz Sprinter</t>
  </si>
  <si>
    <t>Sprinter</t>
  </si>
  <si>
    <t>Mini Cooper</t>
  </si>
  <si>
    <t>Cooper</t>
  </si>
  <si>
    <t>Mini Countryman</t>
  </si>
  <si>
    <t>Countryman</t>
  </si>
  <si>
    <t>Mitsubishi Eclipse Cross</t>
  </si>
  <si>
    <t>Eclipse</t>
  </si>
  <si>
    <t>Cross</t>
  </si>
  <si>
    <t>Mitsubishi Mirage</t>
  </si>
  <si>
    <t>Mirage</t>
  </si>
  <si>
    <t>Mitsubishi Outlander</t>
  </si>
  <si>
    <t>Outlander</t>
  </si>
  <si>
    <t>Mitsubishi Outlander PHEV</t>
  </si>
  <si>
    <t>PHEV</t>
  </si>
  <si>
    <t>Mitsubishi Outlander Sport</t>
  </si>
  <si>
    <t>Nissan 370Z</t>
  </si>
  <si>
    <t>370Z</t>
  </si>
  <si>
    <t>Nissan Altima</t>
  </si>
  <si>
    <t>Altima</t>
  </si>
  <si>
    <t>Nissan Armada</t>
  </si>
  <si>
    <t>Armada</t>
  </si>
  <si>
    <t>Nissan Frontier</t>
  </si>
  <si>
    <t>Frontier</t>
  </si>
  <si>
    <t>Nissan GT-R</t>
  </si>
  <si>
    <t>GT-R</t>
  </si>
  <si>
    <t>Nissan Kicks</t>
  </si>
  <si>
    <t>Kicks</t>
  </si>
  <si>
    <t>Nissan Leaf</t>
  </si>
  <si>
    <t>Leaf</t>
  </si>
  <si>
    <t>Nissan Maxima</t>
  </si>
  <si>
    <t>Maxima</t>
  </si>
  <si>
    <t>Nissan Murano</t>
  </si>
  <si>
    <t>Murano</t>
  </si>
  <si>
    <t>Nissan NV</t>
  </si>
  <si>
    <t>NV</t>
  </si>
  <si>
    <t>Nissan NV200</t>
  </si>
  <si>
    <t>NV200</t>
  </si>
  <si>
    <t>Nissan Pathfinder</t>
  </si>
  <si>
    <t>Pathfinder</t>
  </si>
  <si>
    <t>Nissan Quest</t>
  </si>
  <si>
    <t>Quest</t>
  </si>
  <si>
    <t>Nissan Rogue</t>
  </si>
  <si>
    <t>Rogue</t>
  </si>
  <si>
    <t>Nissan Sentra</t>
  </si>
  <si>
    <t>Sentra</t>
  </si>
  <si>
    <t>Nissan Titan</t>
  </si>
  <si>
    <t>Titan</t>
  </si>
  <si>
    <t>Nissan Versa</t>
  </si>
  <si>
    <t>Versa</t>
  </si>
  <si>
    <t>Porsche 718</t>
  </si>
  <si>
    <t>Porsche 911</t>
  </si>
  <si>
    <t>Porsche Cayenne</t>
  </si>
  <si>
    <t>Cayenne</t>
  </si>
  <si>
    <t>Porsche Macan</t>
  </si>
  <si>
    <t>Macan</t>
  </si>
  <si>
    <t>Porsche Panamera</t>
  </si>
  <si>
    <t>Panamera</t>
  </si>
  <si>
    <t>Porsche Taycan</t>
  </si>
  <si>
    <t>Taycan</t>
  </si>
  <si>
    <t>Ram Pickup</t>
  </si>
  <si>
    <t>Pickup</t>
  </si>
  <si>
    <t>Ram ProMaster</t>
  </si>
  <si>
    <t>ProMaster</t>
  </si>
  <si>
    <t>Ram ProMaster City</t>
  </si>
  <si>
    <t>City</t>
  </si>
  <si>
    <t>Subaru Ascent</t>
  </si>
  <si>
    <t>Ascent</t>
  </si>
  <si>
    <t>Subaru BRZ</t>
  </si>
  <si>
    <t>BRZ</t>
  </si>
  <si>
    <t>Subaru CrossTrek</t>
  </si>
  <si>
    <t>CrossTrek</t>
  </si>
  <si>
    <t>Subaru Forester</t>
  </si>
  <si>
    <t>Forester</t>
  </si>
  <si>
    <t>Subaru Impreza</t>
  </si>
  <si>
    <t>Impreza</t>
  </si>
  <si>
    <t>Subaru Impreza WRX</t>
  </si>
  <si>
    <t>WRX</t>
  </si>
  <si>
    <t>Subaru Legacy</t>
  </si>
  <si>
    <t>Legacy</t>
  </si>
  <si>
    <t>Subaru Outback</t>
  </si>
  <si>
    <t>Outback</t>
  </si>
  <si>
    <t>Tesla Model 3</t>
  </si>
  <si>
    <t>Model</t>
  </si>
  <si>
    <t>Tesla Model S</t>
  </si>
  <si>
    <t>S</t>
  </si>
  <si>
    <t>Tesla Model X</t>
  </si>
  <si>
    <t>X</t>
  </si>
  <si>
    <t>Tesla Model Y</t>
  </si>
  <si>
    <t>Y</t>
  </si>
  <si>
    <t>Toyota 4Runner</t>
  </si>
  <si>
    <t>4Runner</t>
  </si>
  <si>
    <t>Toyota 86 / FR-S</t>
  </si>
  <si>
    <t>FR-S</t>
  </si>
  <si>
    <t>Toyota Avalon</t>
  </si>
  <si>
    <t>Avalon</t>
  </si>
  <si>
    <t>Toyota C-HR</t>
  </si>
  <si>
    <t>C-HR</t>
  </si>
  <si>
    <t>Toyota Camry</t>
  </si>
  <si>
    <t>Camry</t>
  </si>
  <si>
    <t>Toyota Corolla</t>
  </si>
  <si>
    <t>Corolla</t>
  </si>
  <si>
    <t>Toyota Highlander</t>
  </si>
  <si>
    <t>Highlander</t>
  </si>
  <si>
    <t>Toyota Land Cruiser</t>
  </si>
  <si>
    <t>Cruiser</t>
  </si>
  <si>
    <t>Toyota Mirai</t>
  </si>
  <si>
    <t>Mirai</t>
  </si>
  <si>
    <t>Toyota Prius Family</t>
  </si>
  <si>
    <t>Prius</t>
  </si>
  <si>
    <t>Family</t>
  </si>
  <si>
    <t>Toyota RAV4</t>
  </si>
  <si>
    <t>RAV4</t>
  </si>
  <si>
    <t>Toyota Sequoia</t>
  </si>
  <si>
    <t>Sequoia</t>
  </si>
  <si>
    <t>Toyota Sienna</t>
  </si>
  <si>
    <t>Sienna</t>
  </si>
  <si>
    <t>Toyota Supra</t>
  </si>
  <si>
    <t>Supra</t>
  </si>
  <si>
    <t>Toyota Tacoma</t>
  </si>
  <si>
    <t>Tacoma</t>
  </si>
  <si>
    <t>Toyota Tundra</t>
  </si>
  <si>
    <t>Tundra</t>
  </si>
  <si>
    <t>Toyota Venza</t>
  </si>
  <si>
    <t>Venza</t>
  </si>
  <si>
    <t>Toyota Yaris</t>
  </si>
  <si>
    <t>Yaris</t>
  </si>
  <si>
    <t>Volkswagen Arteon</t>
  </si>
  <si>
    <t>Arteon</t>
  </si>
  <si>
    <t>Volkswagen Atlas</t>
  </si>
  <si>
    <t>Atlas</t>
  </si>
  <si>
    <t>Volkswagen Atlas Sport</t>
  </si>
  <si>
    <t>Volkswagen Beetle</t>
  </si>
  <si>
    <t>Beetle</t>
  </si>
  <si>
    <t>Volkswagen CC</t>
  </si>
  <si>
    <t>CC</t>
  </si>
  <si>
    <t>Volkswagen Golf</t>
  </si>
  <si>
    <t>Golf</t>
  </si>
  <si>
    <t>Volkswagen ID.4</t>
  </si>
  <si>
    <t>ID.4</t>
  </si>
  <si>
    <t>Volkswagen Jetta</t>
  </si>
  <si>
    <t>Jetta</t>
  </si>
  <si>
    <t>Volkswagen Passat</t>
  </si>
  <si>
    <t>Passat</t>
  </si>
  <si>
    <t>Volkswagen Tiguan</t>
  </si>
  <si>
    <t>Tiguan</t>
  </si>
  <si>
    <t>Volkswagen Touareg</t>
  </si>
  <si>
    <t>Touareg</t>
  </si>
  <si>
    <t>Volvo 40 Series</t>
  </si>
  <si>
    <t>Series</t>
  </si>
  <si>
    <t>Volvo 60-Series</t>
  </si>
  <si>
    <t>60-Series</t>
  </si>
  <si>
    <t>Volvo 90-Series</t>
  </si>
  <si>
    <t>90-Series</t>
  </si>
  <si>
    <t>Volvo XC40</t>
  </si>
  <si>
    <t>XC40</t>
  </si>
  <si>
    <t>Volvo XC60</t>
  </si>
  <si>
    <t>XC60</t>
  </si>
  <si>
    <t>Volvo XC90</t>
  </si>
  <si>
    <t>XC90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</si>
</sst>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3" xfId="0" applyFont="1" applyNumberFormat="1"/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4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305" sheet="raw_data"/>
  </cacheSource>
  <cacheFields>
    <cacheField name=" " numFmtId="0">
      <sharedItems>
        <s v="Make"/>
        <s v="Acura"/>
        <s v="Alfa"/>
        <s v="Audi"/>
        <s v="BMW"/>
        <s v="Buick"/>
        <s v="Cadillac"/>
        <s v="Chevrolet"/>
        <s v="Chrysler"/>
        <s v="Dodge"/>
        <s v="Fiat"/>
        <s v="Ford"/>
        <s v="Genesis"/>
        <s v="GMC"/>
        <s v="Honda"/>
        <s v="Hyundai"/>
        <s v="Infiniti"/>
        <s v="Jaguar"/>
        <s v="Jeep"/>
        <s v="Kia"/>
        <s v="Land"/>
        <s v="Lexus"/>
        <s v="Lincoln"/>
        <s v="Mazda"/>
        <s v="Mercedes-Benz"/>
        <s v="Mini"/>
        <s v="Mitsubishi"/>
        <s v="Nissan"/>
        <s v="Porsche"/>
        <s v="Ram"/>
        <s v="Subaru"/>
        <s v="Tesla"/>
        <s v="Toyota"/>
        <s v="Volkswagen"/>
        <s v="Volvo"/>
      </sharedItems>
    </cacheField>
    <cacheField name="Model" numFmtId="0">
      <sharedItems>
        <s v="Acura ILX"/>
        <s v="Acura MDX"/>
        <s v="Acura NSX"/>
        <s v="Acura RDX"/>
        <s v="Acura RLX"/>
        <s v="Acura TLX"/>
        <s v="Alfa Romeo 4C"/>
        <s v="Alfa Romeo Giulia"/>
        <s v="Alfa Romeo Stelvio"/>
        <s v="Audi A3"/>
        <s v="Audi A4"/>
        <s v="Audi A5"/>
        <s v="Audi A6"/>
        <s v="Audi A7"/>
        <s v="Audi A8"/>
        <s v="Audi eTron"/>
        <s v="Audi Q3"/>
        <s v="Audi Q5"/>
        <s v="Audi Q7"/>
        <s v="Audi Q8"/>
        <s v="Audi R8"/>
        <s v="Audi TT"/>
        <s v="BMW 2-Series"/>
        <s v="BMW 3-Series"/>
        <s v="BMW 4-Series"/>
        <s v="BMW 5-Series"/>
        <s v="BMW 6-Series"/>
        <s v="BMW 7-Series"/>
        <s v="BMW 8-Series"/>
        <s v="BMW i3"/>
        <s v="BMW i8"/>
        <s v="BMW X1"/>
        <s v="BMW X2"/>
        <s v="BMW X3"/>
        <s v="BMW X4"/>
        <s v="BMW X5"/>
        <s v="BMW X6"/>
        <s v="BMW X7"/>
        <s v="BMW Z4"/>
        <s v="Buick Cascada"/>
        <s v="Buick Enclave"/>
        <s v="Buick Encore"/>
        <s v="Buick Encore GX"/>
        <s v="Buick Envision"/>
        <s v="Buick LaCrosse"/>
        <s v="Buick Regal"/>
        <s v="Cadillac ATS"/>
        <s v="Cadillac CT4"/>
        <s v="Cadillac CT5"/>
        <s v="Cadillac CT6"/>
        <s v="Cadillac CTS"/>
        <s v="Cadillac Escalade"/>
        <s v="Cadillac XT4"/>
        <s v="Cadillac XT5"/>
        <s v="Cadillac XT6"/>
        <s v="Cadillac XTS"/>
        <s v="Chevrolet Blazer"/>
        <s v="Chevrolet Bolt"/>
        <s v="Chevrolet Camaro"/>
        <s v="Chevrolet Colorado"/>
        <s v="Chevrolet Corvette"/>
        <s v="Chevrolet Cruze"/>
        <s v="Chevrolet Equinox"/>
        <s v="Chevrolet Express"/>
        <s v="Chevrolet Impala"/>
        <s v="Chevrolet Malibu"/>
        <s v="Chevrolet Silverado"/>
        <s v="Chevrolet Sonic"/>
        <s v="Chevrolet Spark"/>
        <s v="Chevrolet Suburban"/>
        <s v="Chevrolet Tahoe"/>
        <s v="Chevrolet TrailBlazer"/>
        <s v="Chevrolet Traverse"/>
        <s v="Chevrolet Trax"/>
        <s v="Chevrolet Volt"/>
        <s v="Chrysler 200"/>
        <s v="Chrysler 300"/>
        <s v="Chrysler Pacifica"/>
        <s v="Chrysler Town and Country"/>
        <s v="Dodge Challenger"/>
        <s v="Dodge Charger"/>
        <s v="Dodge Dart"/>
        <s v="Dodge Durango"/>
        <s v="Dodge Grand Caravan"/>
        <s v="Dodge Journey"/>
        <s v="Dodge Viper"/>
        <s v="Fiat 124 Spider"/>
        <s v="Fiat 500"/>
        <s v="Fiat 500L"/>
        <s v="Fiat 500X"/>
        <s v="Ford Bronco Sport"/>
        <s v="Ford E-Series"/>
        <s v="Ford EcoSport"/>
        <s v="Ford Edge"/>
        <s v="Ford Escape"/>
        <s v="Ford Expedition"/>
        <s v="Ford Explorer"/>
        <s v="Ford F-Series"/>
        <s v="Ford Fiesta"/>
        <s v="Ford Flex"/>
        <s v="Ford Fusion"/>
        <s v="Ford GT"/>
        <s v="Ford Mustang"/>
        <s v="Ford Mustang Mach E"/>
        <s v="Ford Ranger"/>
        <s v="Ford Transit"/>
        <s v="Ford Transit Connect"/>
        <s v="Genesis G70"/>
        <s v="Genesis G80"/>
        <s v="Genesis G90"/>
        <s v="Genesis GV80"/>
        <s v="GMC Acadia"/>
        <s v="GMC Canyon"/>
        <s v="GMC Savana"/>
        <s v="GMC Sierra"/>
        <s v="GMC Terrain"/>
        <s v="GMC Yukon"/>
        <s v="Honda Accord"/>
        <s v="Honda Civic"/>
        <s v="Honda Clarity FCV"/>
        <s v="Honda CR-V"/>
        <s v="Honda CR-Z"/>
        <s v="Honda Fit"/>
        <s v="Honda HR-V"/>
        <s v="Honda Insight"/>
        <s v="Honda Odyssey"/>
        <s v="Honda Passport"/>
        <s v="Honda Pilot"/>
        <s v="Honda Ridgeline"/>
        <s v="Hyundai Accent"/>
        <s v="Hyundai Elantra"/>
        <s v="Hyundai Ioniq"/>
        <s v="Hyundai Kona"/>
        <s v="Hyundai Nexo"/>
        <s v="Hyundai Palisade"/>
        <s v="Hyundai Santa Fe"/>
        <s v="Hyundai Sonata"/>
        <s v="Hyundai Tuscon"/>
        <s v="Hyundai Veloster"/>
        <s v="Hyundai Venue"/>
        <s v="Infiniti Q50"/>
        <s v="Infiniti Q60"/>
        <s v="Infiniti Q70"/>
        <s v="Infiniti QX30"/>
        <s v="Infiniti QX50"/>
        <s v="Infiniti QX60"/>
        <s v="Infiniti QX80"/>
        <s v="Jaguar E-Pace"/>
        <s v="Jaguar F-Pace"/>
        <s v="Jaguar F-Type"/>
        <s v="Jaguar I-Pace"/>
        <s v="Jaguar XE"/>
        <s v="Jaguar XF"/>
        <s v="Jaguar XJ"/>
        <s v="Jeep Cherokee"/>
        <s v="Jeep Compass"/>
        <s v="Jeep Gladiator"/>
        <s v="Jeep Grand Cherokee"/>
        <s v="Jeep Renegade"/>
        <s v="Jeep Wrangler"/>
        <s v="Kia Cadenza"/>
        <s v="Kia Forte"/>
        <s v="Kia K5"/>
        <s v="Kia K900"/>
        <s v="Kia Niro"/>
        <s v="Kia Optima"/>
        <s v="Kia Rio"/>
        <s v="Kia Sedona"/>
        <s v="Kia Seltos"/>
        <s v="Kia Sorento"/>
        <s v="Kia Soul"/>
        <s v="Kia Sportage"/>
        <s v="Kia Stinger"/>
        <s v="Kia Telluride"/>
        <s v="Land Rover Defender"/>
        <s v="Land Rover Discovery / LR4"/>
        <s v="Land Rover Discovery Sport"/>
        <s v="Land Rover Range Rover"/>
        <s v="Land Rover Range Rover Evoque"/>
        <s v="Land Rover Range Rover Sport"/>
        <s v="Land Rover Range Rover Velar"/>
        <s v="Lexus ES"/>
        <s v="Lexus GS"/>
        <s v="Lexus GX"/>
        <s v="Lexus IS"/>
        <s v="Lexus LC"/>
        <s v="Lexus LFA"/>
        <s v="Lexus LS"/>
        <s v="Lexus LX"/>
        <s v="Lexus NX"/>
        <s v="Lexus RC"/>
        <s v="Lexus RX"/>
        <s v="Lexus UX"/>
        <s v="Lincoln Aviator"/>
        <s v="Lincoln Continental"/>
        <s v="Lincoln MKC"/>
        <s v="Lincoln MKT"/>
        <s v="Lincoln MKX/Nautilus"/>
        <s v="Lincoln MKZ"/>
        <s v="Lincoln Navigator"/>
        <s v="Mazda 2"/>
        <s v="Mazda 3"/>
        <s v="Mazda 6"/>
        <s v="Mazda CX-3"/>
        <s v="Mazda CX-30"/>
        <s v="Mazda CX-5"/>
        <s v="Mazda CX-9"/>
        <s v="Mazda MX-5 Miata"/>
        <s v="Mercedes-Benz A-Class"/>
        <s v="Mercedes-Benz AMG GT"/>
        <s v="Mercedes-Benz C-Class"/>
        <s v="Mercedes-Benz CLA-Class"/>
        <s v="Mercedes-Benz E / CLS-Class"/>
        <s v="Mercedes-Benz G-Class"/>
        <s v="Mercedes-Benz GL/GLS-Class"/>
        <s v="Mercedes-Benz GLA-Class"/>
        <s v="Mercedes-Benz GLB"/>
        <s v="Mercedes-Benz GLC/GLK-Class"/>
        <s v="Mercedes-Benz GLE-Class"/>
        <s v="Mercedes-Benz Metris"/>
        <s v="Mercedes-Benz S-Class"/>
        <s v="Mercedes-Benz SL-Class"/>
        <s v="Mercedes-Benz SLC-Class"/>
        <s v="Mercedes-Benz Sprinter"/>
        <s v="Mini Cooper"/>
        <s v="Mini Countryman"/>
        <s v="Mitsubishi Eclipse Cross"/>
        <s v="Mitsubishi Mirage"/>
        <s v="Mitsubishi Outlander"/>
        <s v="Mitsubishi Outlander PHEV"/>
        <s v="Mitsubishi Outlander Sport"/>
        <s v="Nissan 370Z"/>
        <s v="Nissan Altima"/>
        <s v="Nissan Armada"/>
        <s v="Nissan Frontier"/>
        <s v="Nissan GT-R"/>
        <s v="Nissan Kicks"/>
        <s v="Nissan Leaf"/>
        <s v="Nissan Maxima"/>
        <s v="Nissan Murano"/>
        <s v="Nissan NV"/>
        <s v="Nissan NV200"/>
        <s v="Nissan Pathfinder"/>
        <s v="Nissan Quest"/>
        <s v="Nissan Rogue"/>
        <s v="Nissan Sentra"/>
        <s v="Nissan Titan"/>
        <s v="Nissan Versa"/>
        <s v="Porsche 718"/>
        <s v="Porsche 911"/>
        <s v="Porsche Cayenne"/>
        <s v="Porsche Macan"/>
        <s v="Porsche Panamera"/>
        <s v="Porsche Taycan"/>
        <s v="Ram Pickup"/>
        <s v="Ram ProMaster"/>
        <s v="Ram ProMaster City"/>
        <s v="Subaru Ascent"/>
        <s v="Subaru BRZ"/>
        <s v="Subaru CrossTrek"/>
        <s v="Subaru Forester"/>
        <s v="Subaru Impreza"/>
        <s v="Subaru Impreza WRX"/>
        <s v="Subaru Legacy"/>
        <s v="Subaru Outback"/>
        <s v="Tesla Model 3"/>
        <s v="Tesla Model S"/>
        <s v="Tesla Model X"/>
        <s v="Tesla Model Y"/>
        <s v="Toyota 4Runner"/>
        <s v="Toyota 86 / FR-S"/>
        <s v="Toyota Avalon"/>
        <s v="Toyota C-HR"/>
        <s v="Toyota Camry"/>
        <s v="Toyota Corolla"/>
        <s v="Toyota Highlander"/>
        <s v="Toyota Land Cruiser"/>
        <s v="Toyota Mirai"/>
        <s v="Toyota Prius Family"/>
        <s v="Toyota RAV4"/>
        <s v="Toyota Sequoia"/>
        <s v="Toyota Sienna"/>
        <s v="Toyota Supra"/>
        <s v="Toyota Tacoma"/>
        <s v="Toyota Tundra"/>
        <s v="Toyota Venza"/>
        <s v="Toyota Yaris"/>
        <s v="Volkswagen Arteon"/>
        <s v="Volkswagen Atlas"/>
        <s v="Volkswagen Atlas Sport"/>
        <s v="Volkswagen Beetle"/>
        <s v="Volkswagen CC"/>
        <s v="Volkswagen Golf"/>
        <s v="Volkswagen ID.4"/>
        <s v="Volkswagen Jetta"/>
        <s v="Volkswagen Passat"/>
        <s v="Volkswagen Tiguan"/>
        <s v="Volkswagen Touareg"/>
        <s v="Volvo 40 Series"/>
        <s v="Volvo 60-Series"/>
        <s v="Volvo 90-Series"/>
        <s v="Volvo XC40"/>
        <s v="Volvo XC60"/>
        <s v="Volvo XC90"/>
      </sharedItems>
    </cacheField>
    <cacheField name="Jan" numFmtId="0">
      <sharedItems containsSemiMixedTypes="0" containsString="0" containsNumber="1" containsInteger="1">
        <n v="935.0"/>
        <n v="2961.0"/>
        <n v="9.0"/>
        <n v="3493.0"/>
        <n v="63.0"/>
        <n v="1769.0"/>
        <n v="10.0"/>
        <n v="571.0"/>
        <n v="621.0"/>
        <n v="727.0"/>
        <n v="1283.0"/>
        <n v="1728.0"/>
        <n v="809.0"/>
        <n v="211.0"/>
        <n v="180.0"/>
        <n v="556.0"/>
        <n v="1805.0"/>
        <n v="3235.0"/>
        <n v="2024.0"/>
        <n v="791.0"/>
        <n v="32.0"/>
        <n v="57.0"/>
        <n v="576.0"/>
        <n v="3447.0"/>
        <n v="714.0"/>
        <n v="1752.0"/>
        <n v="17.0"/>
        <n v="547.0"/>
        <n v="550.0"/>
        <n v="21.0"/>
        <n v="1342.0"/>
        <n v="742.0"/>
        <n v="581.0"/>
        <n v="3455.0"/>
        <n v="406.0"/>
        <n v="4188.0"/>
        <n v="203.0"/>
        <n v="2.0"/>
        <n v="2843.0"/>
        <n v="5469.0"/>
        <n v="0.0"/>
        <n v="2252.0"/>
        <n v="45.0"/>
        <n v="390.0"/>
        <n v="15.0"/>
        <n v="13.0"/>
        <n v="974.0"/>
        <n v="560.0"/>
        <n v="52.0"/>
        <n v="1825.0"/>
        <n v="1677.0"/>
        <n v="2931.0"/>
        <n v="1648.0"/>
        <n v="154.0"/>
        <n v="7192.0"/>
        <n v="1908.0"/>
        <n v="2334.0"/>
        <n v="6960.0"/>
        <n v="1241.0"/>
        <n v="132.0"/>
        <n v="23858.0"/>
        <n v="4323.0"/>
        <n v="1613.0"/>
        <n v="11460.0"/>
        <n v="46673.0"/>
        <n v="1410.0"/>
        <n v="3038.0"/>
        <n v="3084.0"/>
        <n v="6627.0"/>
        <n v="1.0"/>
        <n v="9775.0"/>
        <n v="9173.0"/>
        <n v="7.0"/>
        <n v="1818.0"/>
        <n v="7966.0"/>
        <n v="3942.0"/>
        <n v="6050.0"/>
        <n v="5783.0"/>
        <n v="8098.0"/>
        <n v="4921.0"/>
        <n v="126.0"/>
        <n v="106.0"/>
        <n v="42.0"/>
        <n v="92.0"/>
        <n v="3280.0"/>
        <n v="4197.0"/>
        <n v="9614.0"/>
        <n v="15628.0"/>
        <n v="6428.0"/>
        <n v="18289.0"/>
        <n v="60595.0"/>
        <n v="884.0"/>
        <n v="801.0"/>
        <n v="11997.0"/>
        <n v="26.0"/>
        <n v="5869.0"/>
        <n v="6814.0"/>
        <n v="11964.0"/>
        <n v="2457.0"/>
        <n v="716.0"/>
        <n v="456.0"/>
        <n v="227.0"/>
        <n v="5744.0"/>
        <n v="1456.0"/>
        <n v="1358.0"/>
        <n v="17217.0"/>
        <n v="8215.0"/>
        <n v="4569.0"/>
        <n v="15099.0"/>
        <n v="20054.0"/>
        <n v="475.0"/>
        <n v="26027.0"/>
        <n v="2534.0"/>
        <n v="7457.0"/>
        <n v="1433.0"/>
        <n v="5622.0"/>
        <n v="2846.0"/>
        <n v="7765.0"/>
        <n v="3083.0"/>
        <n v="1565.0"/>
        <n v="7874.0"/>
        <n v="1278.0"/>
        <n v="4208.0"/>
        <n v="16.0"/>
        <n v="5432.0"/>
        <n v="7148.0"/>
        <n v="5501.0"/>
        <n v="8068.0"/>
        <n v="665.0"/>
        <n v="989.0"/>
        <n v="1811.0"/>
        <n v="301.0"/>
        <n v="37.0"/>
        <n v="36.0"/>
        <n v="1354.0"/>
        <n v="2943.0"/>
        <n v="443.0"/>
        <n v="1418.0"/>
        <n v="181.0"/>
        <n v="158.0"/>
        <n v="187.0"/>
        <n v="67.0"/>
        <n v="127.0"/>
        <n v="10938.0"/>
        <n v="9686.0"/>
        <n v="4956.0"/>
        <n v="16267.0"/>
        <n v="4600.0"/>
        <n v="12884.0"/>
        <n v="197.0"/>
        <n v="6248.0"/>
        <n v="1570.0"/>
        <n v="6177.0"/>
        <n v="1628.0"/>
        <n v="1012.0"/>
        <n v="94.0"/>
        <n v="5470.0"/>
        <n v="5530.0"/>
        <n v="6741.0"/>
        <n v="743.0"/>
        <n v="4919.0"/>
        <n v="821.0"/>
        <n v="874.0"/>
        <n v="1486.0"/>
        <n v="1389.0"/>
        <n v="1938.0"/>
        <n v="1285.0"/>
        <n v="3037.0"/>
        <n v="1804.0"/>
        <n v="741.0"/>
        <n v="98.0"/>
        <n v="378.0"/>
        <n v="340.0"/>
        <n v="3826.0"/>
        <n v="289.0"/>
        <n v="7377.0"/>
        <n v="1504.0"/>
        <n v="1840.0"/>
        <n v="508.0"/>
        <n v="1842.0"/>
        <n v="35.0"/>
        <n v="1704.0"/>
        <n v="1131.0"/>
        <n v="1243.0"/>
        <n v="2496.0"/>
        <n v="1755.0"/>
        <n v="1146.0"/>
        <n v="2368.0"/>
        <n v="12908.0"/>
        <n v="2552.0"/>
        <n v="396.0"/>
        <n v="1201.0"/>
        <n v="314.0"/>
        <n v="2227.0"/>
        <n v="1065.0"/>
        <n v="2293.0"/>
        <n v="529.0"/>
        <n v="2073.0"/>
        <n v="1614.0"/>
        <n v="1566.0"/>
        <n v="4254.0"/>
        <n v="3833.0"/>
        <n v="732.0"/>
        <n v="768.0"/>
        <n v="130.0"/>
        <n v="136.0"/>
        <n v="1710.0"/>
        <n v="1157.0"/>
        <n v="544.0"/>
        <n v="2118.0"/>
        <n v="1511.0"/>
        <n v="3891.0"/>
        <n v="95.0"/>
        <n v="3011.0"/>
        <n v="182.0"/>
        <n v="15378.0"/>
        <n v="2607.0"/>
        <n v="3339.0"/>
        <n v="19.0"/>
        <n v="4537.0"/>
        <n v="636.0"/>
        <n v="1982.0"/>
        <n v="5094.0"/>
        <n v="1211.0"/>
        <n v="1540.0"/>
        <n v="5876.0"/>
        <n v="19396.0"/>
        <n v="7756.0"/>
        <n v="1862.0"/>
        <n v="3955.0"/>
        <n v="841.0"/>
        <n v="1227.0"/>
        <n v="385.0"/>
        <n v="72.0"/>
        <n v="41836.0"/>
        <n v="3113.0"/>
        <n v="681.0"/>
        <n v="5606.0"/>
        <n v="112.0"/>
        <n v="8131.0"/>
        <n v="13209.0"/>
        <n v="3978.0"/>
        <n v="1399.0"/>
        <n v="2471.0"/>
        <n v="11379.0"/>
        <n v="19000.0"/>
        <n v="1900.0"/>
        <n v="1450.0"/>
        <n v="9342.0"/>
        <n v="222.0"/>
        <n v="1510.0"/>
        <n v="24824.0"/>
        <n v="23477.0"/>
        <n v="17009.0"/>
        <n v="215.0"/>
        <n v="4089.0"/>
        <n v="33130.0"/>
        <n v="505.0"/>
        <n v="3934.0"/>
        <n v="342.0"/>
        <n v="17112.0"/>
        <n v="6655.0"/>
        <n v="860.0"/>
        <n v="256.0"/>
        <n v="5004.0"/>
        <n v="523.0"/>
        <n v="6.0"/>
        <n v="2501.0"/>
        <n v="6945.0"/>
        <n v="1943.0"/>
        <n v="7203.0"/>
        <n v="1021.0"/>
        <n v="102.0"/>
        <n v="1303.0"/>
        <n v="1737.0"/>
        <n v="1994.0"/>
      </sharedItems>
    </cacheField>
    <cacheField name="Feb" numFmtId="3">
      <sharedItems containsSemiMixedTypes="0" containsString="0" containsNumber="1" containsInteger="1">
        <n v="1083.0"/>
        <n v="3843.0"/>
        <n v="9.0"/>
        <n v="4982.0"/>
        <n v="84.0"/>
        <n v="2263.0"/>
        <n v="13.0"/>
        <n v="740.0"/>
        <n v="804.0"/>
        <n v="941.0"/>
        <n v="1661.0"/>
        <n v="2237.0"/>
        <n v="1048.0"/>
        <n v="273.0"/>
        <n v="233.0"/>
        <n v="719.0"/>
        <n v="2336.0"/>
        <n v="4188.0"/>
        <n v="2621.0"/>
        <n v="1024.0"/>
        <n v="41.0"/>
        <n v="74.0"/>
        <n v="745.0"/>
        <n v="4463.0"/>
        <n v="924.0"/>
        <n v="2269.0"/>
        <n v="22.0"/>
        <n v="709.0"/>
        <n v="712.0"/>
        <n v="27.0"/>
        <n v="28.0"/>
        <n v="1738.0"/>
        <n v="961.0"/>
        <n v="752.0"/>
        <n v="4473.0"/>
        <n v="526.0"/>
        <n v="1927.0"/>
        <n v="263.0"/>
        <n v="3.0"/>
        <n v="3680.0"/>
        <n v="7081.0"/>
        <n v="0.0"/>
        <n v="2915.0"/>
        <n v="58.0"/>
        <n v="505.0"/>
        <n v="20.0"/>
        <n v="17.0"/>
        <n v="1262.0"/>
        <n v="725.0"/>
        <n v="67.0"/>
        <n v="2363.0"/>
        <n v="2171.0"/>
        <n v="3794.0"/>
        <n v="2134.0"/>
        <n v="199.0"/>
        <n v="9312.0"/>
        <n v="2470.0"/>
        <n v="3021.0"/>
        <n v="9011.0"/>
        <n v="1606.0"/>
        <n v="170.0"/>
        <n v="30887.0"/>
        <n v="5596.0"/>
        <n v="2088.0"/>
        <n v="14837.0"/>
        <n v="60425.0"/>
        <n v="1825.0"/>
        <n v="3933.0"/>
        <n v="8579.0"/>
        <n v="1.0"/>
        <n v="12655.0"/>
        <n v="11876.0"/>
        <n v="10.0"/>
        <n v="2353.0"/>
        <n v="10313.0"/>
        <n v="5104.0"/>
        <n v="7833.0"/>
        <n v="7487.0"/>
        <n v="10483.0"/>
        <n v="6371.0"/>
        <n v="163.0"/>
        <n v="138.0"/>
        <n v="55.0"/>
        <n v="119.0"/>
        <n v="4246.0"/>
        <n v="5434.0"/>
        <n v="12446.0"/>
        <n v="20233.0"/>
        <n v="8322.0"/>
        <n v="23678.0"/>
        <n v="78449.0"/>
        <n v="1145.0"/>
        <n v="1037.0"/>
        <n v="15532.0"/>
        <n v="33.0"/>
        <n v="7598.0"/>
        <n v="8822.0"/>
        <n v="15490.0"/>
        <n v="3181.0"/>
        <n v="841.0"/>
        <n v="457.0"/>
        <n v="289.0"/>
        <n v="7437.0"/>
        <n v="1885.0"/>
        <n v="1759.0"/>
        <n v="22290.0"/>
        <n v="10635.0"/>
        <n v="5915.0"/>
        <n v="18216.0"/>
        <n v="25617.0"/>
        <n v="559.0"/>
        <n v="28268.0"/>
        <n v="2853.0"/>
        <n v="8114.0"/>
        <n v="1613.0"/>
        <n v="6494.0"/>
        <n v="3109.0"/>
        <n v="9688.0"/>
        <n v="3210.0"/>
        <n v="2046.0"/>
        <n v="10441.0"/>
        <n v="1481.0"/>
        <n v="7092.0"/>
        <n v="6967.0"/>
        <n v="7152.0"/>
        <n v="6144.0"/>
        <n v="9594.0"/>
        <n v="842.0"/>
        <n v="1226.0"/>
        <n v="2344.0"/>
        <n v="390.0"/>
        <n v="48.0"/>
        <n v="47.0"/>
        <n v="1753.0"/>
        <n v="3810.0"/>
        <n v="2354.0"/>
        <n v="393.0"/>
        <n v="1261.0"/>
        <n v="161.0"/>
        <n v="141.0"/>
        <n v="166.0"/>
        <n v="60.0"/>
        <n v="113.0"/>
        <n v="14160.0"/>
        <n v="12539.0"/>
        <n v="6416.0"/>
        <n v="21060.0"/>
        <n v="5956.0"/>
        <n v="16680.0"/>
        <n v="192.0"/>
        <n v="8513.0"/>
        <n v="23.0"/>
        <n v="1951.0"/>
        <n v="5760.0"/>
        <n v="3082.0"/>
        <n v="1416.0"/>
        <n v="2798.0"/>
        <n v="6875.0"/>
        <n v="5816.0"/>
        <n v="7934.0"/>
        <n v="1063.0"/>
        <n v="6754.0"/>
        <n v="730.0"/>
        <n v="777.0"/>
        <n v="1321.0"/>
        <n v="1235.0"/>
        <n v="1722.0"/>
        <n v="1142.0"/>
        <n v="3356.0"/>
        <n v="224.0"/>
        <n v="1968.0"/>
        <n v="1058.0"/>
        <n v="86.0"/>
        <n v="2.0"/>
        <n v="261.0"/>
        <n v="291.0"/>
        <n v="4308.0"/>
        <n v="299.0"/>
        <n v="7936.0"/>
        <n v="1350.0"/>
        <n v="2383.0"/>
        <n v="657.0"/>
        <n v="2384.0"/>
        <n v="46.0"/>
        <n v="2206.0"/>
        <n v="1464.0"/>
        <n v="1609.0"/>
        <n v="3759.0"/>
        <n v="1730.0"/>
        <n v="947.0"/>
        <n v="3754.0"/>
        <n v="14462.0"/>
        <n v="2926.0"/>
        <n v="807.0"/>
        <n v="1555.0"/>
        <n v="407.0"/>
        <n v="2883.0"/>
        <n v="1379.0"/>
        <n v="2969.0"/>
        <n v="685.0"/>
        <n v="2683.0"/>
        <n v="2089.0"/>
        <n v="2027.0"/>
        <n v="5508.0"/>
        <n v="4963.0"/>
        <n v="948.0"/>
        <n v="995.0"/>
        <n v="169.0"/>
        <n v="176.0"/>
        <n v="2214.0"/>
        <n v="1498.0"/>
        <n v="704.0"/>
        <n v="2036.0"/>
        <n v="1852.0"/>
        <n v="5291.0"/>
        <n v="151.0"/>
        <n v="6213.0"/>
        <n v="236.0"/>
        <n v="19909.0"/>
        <n v="3375.0"/>
        <n v="4323.0"/>
        <n v="24.0"/>
        <n v="5874.0"/>
        <n v="823.0"/>
        <n v="2566.0"/>
        <n v="6595.0"/>
        <n v="1568.0"/>
        <n v="1993.0"/>
        <n v="7608.0"/>
        <n v="25111.0"/>
        <n v="10041.0"/>
        <n v="2410.0"/>
        <n v="5120.0"/>
        <n v="168.0"/>
        <n v="1089.0"/>
        <n v="1607.0"/>
        <n v="1588.0"/>
        <n v="498.0"/>
        <n v="83.0"/>
        <n v="54163.0"/>
        <n v="4030.0"/>
        <n v="881.0"/>
        <n v="5982.0"/>
        <n v="8287.0"/>
        <n v="16458.0"/>
        <n v="3916.0"/>
        <n v="1787.0"/>
        <n v="2434.0"/>
        <n v="12665.0"/>
        <n v="17500.0"/>
        <n v="1700.0"/>
        <n v="1250.0"/>
        <n v="10912.0"/>
        <n v="280.0"/>
        <n v="1550.0"/>
        <n v="4439.0"/>
        <n v="29245.0"/>
        <n v="26590.0"/>
        <n v="20174.0"/>
        <n v="226.0"/>
        <n v="59.0"/>
        <n v="4532.0"/>
        <n v="39626.0"/>
        <n v="571.0"/>
        <n v="4778.0"/>
        <n v="398.0"/>
        <n v="20609.0"/>
        <n v="8059.0"/>
        <n v="965.0"/>
        <n v="331.0"/>
        <n v="6479.0"/>
        <n v="677.0"/>
        <n v="7.0"/>
        <n v="3238.0"/>
        <n v="8992.0"/>
        <n v="2515.0"/>
        <n v="9325.0"/>
        <n v="1385.0"/>
        <n v="136.0"/>
        <n v="1615.0"/>
        <n v="2276.0"/>
        <n v="2429.0"/>
      </sharedItems>
    </cacheField>
    <cacheField name="Mar" numFmtId="0">
      <sharedItems containsSemiMixedTypes="0" containsString="0" containsNumber="1" containsInteger="1">
        <n v="723.0"/>
        <n v="2137.0"/>
        <n v="16.0"/>
        <n v="2678.0"/>
        <n v="31.0"/>
        <n v="1452.0"/>
        <n v="8.0"/>
        <n v="448.0"/>
        <n v="487.0"/>
        <n v="570.0"/>
        <n v="1006.0"/>
        <n v="1355.0"/>
        <n v="635.0"/>
        <n v="165.0"/>
        <n v="141.0"/>
        <n v="436.0"/>
        <n v="1415.0"/>
        <n v="2537.0"/>
        <n v="1587.0"/>
        <n v="620.0"/>
        <n v="25.0"/>
        <n v="45.0"/>
        <n v="451.0"/>
        <n v="2703.0"/>
        <n v="560.0"/>
        <n v="1374.0"/>
        <n v="13.0"/>
        <n v="429.0"/>
        <n v="431.0"/>
        <n v="17.0"/>
        <n v="1053.0"/>
        <n v="582.0"/>
        <n v="455.0"/>
        <n v="2709.0"/>
        <n v="319.0"/>
        <n v="1167.0"/>
        <n v="159.0"/>
        <n v="2.0"/>
        <n v="2229.0"/>
        <n v="4289.0"/>
        <n v="0.0"/>
        <n v="1766.0"/>
        <n v="35.0"/>
        <n v="306.0"/>
        <n v="12.0"/>
        <n v="10.0"/>
        <n v="764.0"/>
        <n v="439.0"/>
        <n v="41.0"/>
        <n v="1431.0"/>
        <n v="1315.0"/>
        <n v="2298.0"/>
        <n v="1292.0"/>
        <n v="120.0"/>
        <n v="5640.0"/>
        <n v="1496.0"/>
        <n v="1830.0"/>
        <n v="5458.0"/>
        <n v="973.0"/>
        <n v="103.0"/>
        <n v="18708.0"/>
        <n v="3390.0"/>
        <n v="1265.0"/>
        <n v="8987.0"/>
        <n v="36600.0"/>
        <n v="1106.0"/>
        <n v="2382.0"/>
        <n v="2418.0"/>
        <n v="5197.0"/>
        <n v="1.0"/>
        <n v="7665.0"/>
        <n v="7193.0"/>
        <n v="6.0"/>
        <n v="1245.0"/>
        <n v="6247.0"/>
        <n v="3092.0"/>
        <n v="4745.0"/>
        <n v="4535.0"/>
        <n v="6350.0"/>
        <n v="3859.0"/>
        <n v="99.0"/>
        <n v="83.0"/>
        <n v="33.0"/>
        <n v="72.0"/>
        <n v="2572.0"/>
        <n v="3291.0"/>
        <n v="7539.0"/>
        <n v="12255.0"/>
        <n v="5041.0"/>
        <n v="14342.0"/>
        <n v="47517.0"/>
        <n v="694.0"/>
        <n v="628.0"/>
        <n v="9408.0"/>
        <n v="20.0"/>
        <n v="4602.0"/>
        <n v="5344.0"/>
        <n v="9382.0"/>
        <n v="1927.0"/>
        <n v="517.0"/>
        <n v="284.0"/>
        <n v="168.0"/>
        <n v="4505.0"/>
        <n v="1142.0"/>
        <n v="1065.0"/>
        <n v="13501.0"/>
        <n v="6442.0"/>
        <n v="3583.0"/>
        <n v="13810.0"/>
        <n v="18273.0"/>
        <n v="221.0"/>
        <n v="16891.0"/>
        <n v="1792.0"/>
        <n v="3843.0"/>
        <n v="857.0"/>
        <n v="4274.0"/>
        <n v="1878.0"/>
        <n v="6445.0"/>
        <n v="1832.0"/>
        <n v="1196.0"/>
        <n v="7430.0"/>
        <n v="763.0"/>
        <n v="3874.0"/>
        <n v="7.0"/>
        <n v="3934.0"/>
        <n v="6358.0"/>
        <n v="3957.0"/>
        <n v="6073.0"/>
        <n v="575.0"/>
        <n v="951.0"/>
        <n v="1420.0"/>
        <n v="236.0"/>
        <n v="29.0"/>
        <n v="1062.0"/>
        <n v="2308.0"/>
        <n v="1426.0"/>
        <n v="410.0"/>
        <n v="1313.0"/>
        <n v="147.0"/>
        <n v="173.0"/>
        <n v="62.0"/>
        <n v="117.0"/>
        <n v="8577.0"/>
        <n v="7595.0"/>
        <n v="3886.0"/>
        <n v="12756.0"/>
        <n v="3608.0"/>
        <n v="10103.0"/>
        <n v="96.0"/>
        <n v="7598.0"/>
        <n v="1454.0"/>
        <n v="8408.0"/>
        <n v="2135.0"/>
        <n v="1180.0"/>
        <n v="2160.0"/>
        <n v="5710.0"/>
        <n v="5367.0"/>
        <n v="5382.0"/>
        <n v="754.0"/>
        <n v="5153.0"/>
        <n v="760.0"/>
        <n v="809.0"/>
        <n v="1376.0"/>
        <n v="1287.0"/>
        <n v="1794.0"/>
        <n v="1190.0"/>
        <n v="2854.0"/>
        <n v="1350.0"/>
        <n v="913.0"/>
        <n v="56.0"/>
        <n v="162.0"/>
        <n v="215.0"/>
        <n v="3175.0"/>
        <n v="169.0"/>
        <n v="5534.0"/>
        <n v="984.0"/>
        <n v="1443.0"/>
        <n v="398.0"/>
        <n v="1444.0"/>
        <n v="28.0"/>
        <n v="1336.0"/>
        <n v="887.0"/>
        <n v="974.0"/>
        <n v="1863.0"/>
        <n v="1021.0"/>
        <n v="459.0"/>
        <n v="2242.0"/>
        <n v="7841.0"/>
        <n v="1741.0"/>
        <n v="497.0"/>
        <n v="942.0"/>
        <n v="246.0"/>
        <n v="1746.0"/>
        <n v="835.0"/>
        <n v="1798.0"/>
        <n v="415.0"/>
        <n v="1625.0"/>
        <n v="1266.0"/>
        <n v="1228.0"/>
        <n v="3336.0"/>
        <n v="3006.0"/>
        <n v="574.0"/>
        <n v="603.0"/>
        <n v="102.0"/>
        <n v="107.0"/>
        <n v="1341.0"/>
        <n v="907.0"/>
        <n v="426.0"/>
        <n v="1030.0"/>
        <n v="1283.0"/>
        <n v="3627.0"/>
        <n v="101.0"/>
        <n v="3353.0"/>
        <n v="143.0"/>
        <n v="12059.0"/>
        <n v="2044.0"/>
        <n v="2618.0"/>
        <n v="15.0"/>
        <n v="3558.0"/>
        <n v="499.0"/>
        <n v="1554.0"/>
        <n v="3994.0"/>
        <n v="950.0"/>
        <n v="1207.0"/>
        <n v="4608.0"/>
        <n v="15210.0"/>
        <n v="6082.0"/>
        <n v="1460.0"/>
        <n v="3101.0"/>
        <n v="660.0"/>
        <n v="962.0"/>
        <n v="302.0"/>
        <n v="32807.0"/>
        <n v="2441.0"/>
        <n v="534.0"/>
        <n v="4036.0"/>
        <n v="114.0"/>
        <n v="5098.0"/>
        <n v="9413.0"/>
        <n v="2395.0"/>
        <n v="1354.0"/>
        <n v="1630.0"/>
        <n v="8571.0"/>
        <n v="8000.0"/>
        <n v="1000.0"/>
        <n v="7818.0"/>
        <n v="202.0"/>
        <n v="1020.0"/>
        <n v="2972.0"/>
        <n v="23119.0"/>
        <n v="19147.0"/>
        <n v="10707.0"/>
        <n v="2862.0"/>
        <n v="24875.0"/>
        <n v="332.0"/>
        <n v="3164.0"/>
        <n v="273.0"/>
        <n v="15915.0"/>
        <n v="6944.0"/>
        <n v="591.0"/>
        <n v="597.0"/>
        <n v="10842.0"/>
        <n v="4069.0"/>
        <n v="4.0"/>
        <n v="2529.0"/>
        <n v="474.0"/>
        <n v="13623.0"/>
        <n v="3156.0"/>
        <n v="15463.0"/>
        <n v="1099.0"/>
        <n v="116.0"/>
        <n v="1052.0"/>
        <n v="1556.0"/>
        <n v="1664.0"/>
      </sharedItems>
    </cacheField>
    <cacheField name="Apr" numFmtId="0">
      <sharedItems containsSemiMixedTypes="0" containsString="0" containsNumber="1" containsInteger="1">
        <n v="506.0"/>
        <n v="1725.0"/>
        <n v="5.0"/>
        <n v="1760.0"/>
        <n v="26.0"/>
        <n v="1024.0"/>
        <n v="7.0"/>
        <n v="305.0"/>
        <n v="360.0"/>
        <n v="342.0"/>
        <n v="795.0"/>
        <n v="898.0"/>
        <n v="374.0"/>
        <n v="107.0"/>
        <n v="83.0"/>
        <n v="209.0"/>
        <n v="794.0"/>
        <n v="1453.0"/>
        <n v="357.0"/>
        <n v="18.0"/>
        <n v="45.0"/>
        <n v="685.0"/>
        <n v="1388.0"/>
        <n v="317.0"/>
        <n v="889.0"/>
        <n v="12.0"/>
        <n v="314.0"/>
        <n v="34.0"/>
        <n v="9.0"/>
        <n v="415.0"/>
        <n v="318.0"/>
        <n v="1703.0"/>
        <n v="247.0"/>
        <n v="1533.0"/>
        <n v="216.0"/>
        <n v="733.0"/>
        <n v="149.0"/>
        <n v="1.0"/>
        <n v="1342.0"/>
        <n v="1806.0"/>
        <n v="1666.0"/>
        <n v="1419.0"/>
        <n v="13.0"/>
        <n v="148.0"/>
        <n v="8.0"/>
        <n v="106.0"/>
        <n v="464.0"/>
        <n v="30.0"/>
        <n v="888.0"/>
        <n v="716.0"/>
        <n v="1041.0"/>
        <n v="744.0"/>
        <n v="48.0"/>
        <n v="3551.0"/>
        <n v="449.0"/>
        <n v="1202.0"/>
        <n v="3572.0"/>
        <n v="443.0"/>
        <n v="50.0"/>
        <n v="9144.0"/>
        <n v="1621.0"/>
        <n v="366.0"/>
        <n v="2279.0"/>
        <n v="22038.0"/>
        <n v="380.0"/>
        <n v="956.0"/>
        <n v="1263.0"/>
        <n v="2883.0"/>
        <n v="1206.0"/>
        <n v="4017.0"/>
        <n v="4044.0"/>
        <n v="0.0"/>
        <n v="502.0"/>
        <n v="1992.0"/>
        <n v="1778.0"/>
        <n v="2062.0"/>
        <n v="2105.0"/>
        <n v="952.0"/>
        <n v="978.0"/>
        <n v="105.0"/>
        <n v="43.0"/>
        <n v="22.0"/>
        <n v="71.0"/>
        <n v="1044.0"/>
        <n v="3102.0"/>
        <n v="3789.0"/>
        <n v="6602.0"/>
        <n v="2260.0"/>
        <n v="8071.0"/>
        <n v="32549.0"/>
        <n v="78.0"/>
        <n v="303.0"/>
        <n v="4407.0"/>
        <n v="3.0"/>
        <n v="2829.0"/>
        <n v="4501.0"/>
        <n v="3230.0"/>
        <n v="1217.0"/>
        <n v="551.0"/>
        <n v="161.0"/>
        <n v="94.0"/>
        <n v="2744.0"/>
        <n v="941.0"/>
        <n v="537.0"/>
        <n v="9688.0"/>
        <n v="2509.0"/>
        <n v="1898.0"/>
        <n v="8851.0"/>
        <n v="13410.0"/>
        <n v="90.0"/>
        <n v="12201.0"/>
        <n v="1187.0"/>
        <n v="2906.0"/>
        <n v="511.0"/>
        <n v="3933.0"/>
        <n v="1594.0"/>
        <n v="6562.0"/>
        <n v="1460.0"/>
        <n v="736.0"/>
        <n v="7536.0"/>
        <n v="422.0"/>
        <n v="3114.0"/>
        <n v="3331.0"/>
        <n v="5602.0"/>
        <n v="3428.0"/>
        <n v="8438.0"/>
        <n v="541.0"/>
        <n v="817.0"/>
        <n v="656.0"/>
        <n v="139.0"/>
        <n v="4.0"/>
        <n v="882.0"/>
        <n v="560.0"/>
        <n v="655.0"/>
        <n v="117.0"/>
        <n v="52.0"/>
        <n v="108.0"/>
        <n v="65.0"/>
        <n v="29.0"/>
        <n v="4187.0"/>
        <n v="3312.0"/>
        <n v="3522.0"/>
        <n v="8339.0"/>
        <n v="2285.0"/>
        <n v="10163.0"/>
        <n v="4222.0"/>
        <n v="774.0"/>
        <n v="6894.0"/>
        <n v="1436.0"/>
        <n v="705.0"/>
        <n v="1839.0"/>
        <n v="4286.0"/>
        <n v="3565.0"/>
        <n v="3964.0"/>
        <n v="871.0"/>
        <n v="3087.0"/>
        <n v="234.0"/>
        <n v="252.0"/>
        <n v="504.0"/>
        <n v="378.0"/>
        <n v="684.0"/>
        <n v="450.0"/>
        <n v="1397.0"/>
        <n v="122.0"/>
        <n v="1115.0"/>
        <n v="428.0"/>
        <n v="145.0"/>
        <n v="174.0"/>
        <n v="2055.0"/>
        <n v="140.0"/>
        <n v="2874.0"/>
        <n v="632.0"/>
        <n v="723.0"/>
        <n v="182.0"/>
        <n v="983.0"/>
        <n v="906.0"/>
        <n v="495.0"/>
        <n v="1492.0"/>
        <n v="746.0"/>
        <n v="363.0"/>
        <n v="1483.0"/>
        <n v="5220.0"/>
        <n v="1084.0"/>
        <n v="552.0"/>
        <n v="739.0"/>
        <n v="153.0"/>
        <n v="1175.0"/>
        <n v="1234.0"/>
        <n v="313.0"/>
        <n v="945.0"/>
        <n v="509.0"/>
        <n v="1710.0"/>
        <n v="630.0"/>
        <n v="327.0"/>
        <n v="1307.0"/>
        <n v="296.0"/>
        <n v="413.0"/>
        <n v="1352.0"/>
        <n v="972.0"/>
        <n v="101.0"/>
        <n v="1495.0"/>
        <n v="135.0"/>
        <n v="3906.0"/>
        <n v="923.0"/>
        <n v="1583.0"/>
        <n v="1655.0"/>
        <n v="189.0"/>
        <n v="717.0"/>
        <n v="2573.0"/>
        <n v="520.0"/>
        <n v="583.0"/>
        <n v="1595.0"/>
        <n v="8505.0"/>
        <n v="3583.0"/>
        <n v="1164.0"/>
        <n v="1380.0"/>
        <n v="85.0"/>
        <n v="404.0"/>
        <n v="688.0"/>
        <n v="714.0"/>
        <n v="157.0"/>
        <n v="147.0"/>
        <n v="21141.0"/>
        <n v="1424.0"/>
        <n v="418.0"/>
        <n v="3954.0"/>
        <n v="4489.0"/>
        <n v="9431.0"/>
        <n v="1857.0"/>
        <n v="1368.0"/>
        <n v="1358.0"/>
        <n v="8058.0"/>
        <n v="5400.0"/>
        <n v="576.0"/>
        <n v="648.0"/>
        <n v="5284.0"/>
        <n v="116.0"/>
        <n v="627.0"/>
        <n v="1989.0"/>
        <n v="8768.0"/>
        <n v="7270.0"/>
        <n v="5613.0"/>
        <n v="114.0"/>
        <n v="11.0"/>
        <n v="1620.0"/>
        <n v="15431.0"/>
        <n v="202.0"/>
        <n v="960.0"/>
        <n v="231.0"/>
        <n v="9191.0"/>
        <n v="4900.0"/>
        <n v="236.0"/>
        <n v="143.0"/>
        <n v="2938.0"/>
        <n v="827.0"/>
        <n v="2875.0"/>
        <n v="742.0"/>
        <n v="4557.0"/>
        <n v="91.0"/>
        <n v="930.0"/>
        <n v="1053.0"/>
        <n v="1286.0"/>
      </sharedItems>
    </cacheField>
    <cacheField name="May" numFmtId="3">
      <sharedItems containsSemiMixedTypes="0" containsString="0" containsNumber="1" containsInteger="1">
        <n v="1039.0"/>
        <n v="3331.0"/>
        <n v="6.0"/>
        <n v="4427.0"/>
        <n v="71.0"/>
        <n v="1467.0"/>
        <n v="16.0"/>
        <n v="677.0"/>
        <n v="801.0"/>
        <n v="761.0"/>
        <n v="1766.0"/>
        <n v="1996.0"/>
        <n v="830.0"/>
        <n v="238.0"/>
        <n v="185.0"/>
        <n v="464.0"/>
        <n v="1764.0"/>
        <n v="3229.0"/>
        <n v="1767.0"/>
        <n v="794.0"/>
        <n v="41.0"/>
        <n v="100.0"/>
        <n v="1522.0"/>
        <n v="3085.0"/>
        <n v="704.0"/>
        <n v="1976.0"/>
        <n v="26.0"/>
        <n v="465.0"/>
        <n v="699.0"/>
        <n v="75.0"/>
        <n v="20.0"/>
        <n v="923.0"/>
        <n v="707.0"/>
        <n v="3784.0"/>
        <n v="549.0"/>
        <n v="3407.0"/>
        <n v="480.0"/>
        <n v="1628.0"/>
        <n v="332.0"/>
        <n v="2.0"/>
        <n v="2981.0"/>
        <n v="4013.0"/>
        <n v="3702.0"/>
        <n v="3152.0"/>
        <n v="28.0"/>
        <n v="329.0"/>
        <n v="18.0"/>
        <n v="236.0"/>
        <n v="1030.0"/>
        <n v="330.0"/>
        <n v="67.0"/>
        <n v="1974.0"/>
        <n v="1591.0"/>
        <n v="2313.0"/>
        <n v="1652.0"/>
        <n v="106.0"/>
        <n v="7890.0"/>
        <n v="998.0"/>
        <n v="2670.0"/>
        <n v="7937.0"/>
        <n v="984.0"/>
        <n v="111.0"/>
        <n v="20319.0"/>
        <n v="3602.0"/>
        <n v="813.0"/>
        <n v="5064.0"/>
        <n v="48973.0"/>
        <n v="844.0"/>
        <n v="2124.0"/>
        <n v="2806.0"/>
        <n v="6406.0"/>
        <n v="2680.0"/>
        <n v="8926.0"/>
        <n v="8986.0"/>
        <n v="0.0"/>
        <n v="1115.0"/>
        <n v="4428.0"/>
        <n v="3952.0"/>
        <n v="4582.0"/>
        <n v="1.0"/>
        <n v="4678.0"/>
        <n v="2116.0"/>
        <n v="2174.0"/>
        <n v="232.0"/>
        <n v="96.0"/>
        <n v="50.0"/>
        <n v="158.0"/>
        <n v="2321.0"/>
        <n v="6893.0"/>
        <n v="8421.0"/>
        <n v="14672.0"/>
        <n v="5022.0"/>
        <n v="17936.0"/>
        <n v="72330.0"/>
        <n v="174.0"/>
        <n v="674.0"/>
        <n v="9794.0"/>
        <n v="7.0"/>
        <n v="6287.0"/>
        <n v="10003.0"/>
        <n v="7178.0"/>
        <n v="2704.0"/>
        <n v="870.0"/>
        <n v="319.0"/>
        <n v="161.0"/>
        <n v="6097.0"/>
        <n v="2090.0"/>
        <n v="1194.0"/>
        <n v="21530.0"/>
        <n v="5576.0"/>
        <n v="4217.0"/>
        <n v="17369.0"/>
        <n v="27244.0"/>
        <n v="248.0"/>
        <n v="29023.0"/>
        <n v="2598.0"/>
        <n v="7063.0"/>
        <n v="1127.0"/>
        <n v="7648.0"/>
        <n v="3536.0"/>
        <n v="12227.0"/>
        <n v="2553.0"/>
        <n v="1512.0"/>
        <n v="7608.0"/>
        <n v="626.0"/>
        <n v="6536.0"/>
        <n v="10.0"/>
        <n v="7866.0"/>
        <n v="9549.0"/>
        <n v="5852.0"/>
        <n v="15552.0"/>
        <n v="858.0"/>
        <n v="1650.0"/>
        <n v="1457.0"/>
        <n v="308.0"/>
        <n v="8.0"/>
        <n v="1960.0"/>
        <n v="1244.0"/>
        <n v="1455.0"/>
        <n v="260.0"/>
        <n v="760.0"/>
        <n v="116.0"/>
        <n v="240.0"/>
        <n v="144.0"/>
        <n v="64.0"/>
        <n v="9305.0"/>
        <n v="7360.0"/>
        <n v="7827.0"/>
        <n v="18530.0"/>
        <n v="5078.0"/>
        <n v="22585.0"/>
        <n v="70.0"/>
        <n v="6603.0"/>
        <n v="25.0"/>
        <n v="1318.0"/>
        <n v="5854.0"/>
        <n v="1760.0"/>
        <n v="1482.0"/>
        <n v="3551.0"/>
        <n v="7262.0"/>
        <n v="6234.0"/>
        <n v="7576.0"/>
        <n v="1393.0"/>
        <n v="2599.0"/>
        <n v="520.0"/>
        <n v="560.0"/>
        <n v="1120.0"/>
        <n v="840.0"/>
        <n v="1520.0"/>
        <n v="1000.0"/>
        <n v="3105.0"/>
        <n v="272.0"/>
        <n v="2478.0"/>
        <n v="952.0"/>
        <n v="250.0"/>
        <n v="387.0"/>
        <n v="4566.0"/>
        <n v="312.0"/>
        <n v="6386.0"/>
        <n v="1404.0"/>
        <n v="1606.0"/>
        <n v="405.0"/>
        <n v="2185.0"/>
        <n v="2014.0"/>
        <n v="1100.0"/>
        <n v="3368.0"/>
        <n v="1477.0"/>
        <n v="842.0"/>
        <n v="3583.0"/>
        <n v="12140.0"/>
        <n v="2421.0"/>
        <n v="1102.0"/>
        <n v="1642.0"/>
        <n v="153.0"/>
        <n v="2610.0"/>
        <n v="1172.0"/>
        <n v="2743.0"/>
        <n v="696.0"/>
        <n v="2101.0"/>
        <n v="1131.0"/>
        <n v="3800.0"/>
        <n v="1400.0"/>
        <n v="727.0"/>
        <n v="200.0"/>
        <n v="2904.0"/>
        <n v="658.0"/>
        <n v="367.0"/>
        <n v="1202.0"/>
        <n v="864.0"/>
        <n v="90.0"/>
        <n v="1329.0"/>
        <n v="300.0"/>
        <n v="8681.0"/>
        <n v="2051.0"/>
        <n v="3518.0"/>
        <n v="3677.0"/>
        <n v="420.0"/>
        <n v="1673.0"/>
        <n v="5717.0"/>
        <n v="1155.0"/>
        <n v="1295.0"/>
        <n v="3544.0"/>
        <n v="18900.0"/>
        <n v="7963.0"/>
        <n v="2586.0"/>
        <n v="3066.0"/>
        <n v="189.0"/>
        <n v="898.0"/>
        <n v="1529.0"/>
        <n v="1586.0"/>
        <n v="348.0"/>
        <n v="327.0"/>
        <n v="46979.0"/>
        <n v="3165.0"/>
        <n v="929.0"/>
        <n v="5740.0"/>
        <n v="227.0"/>
        <n v="9486.0"/>
        <n v="17859.0"/>
        <n v="2255.0"/>
        <n v="1954.0"/>
        <n v="11382.0"/>
        <n v="12000.0"/>
        <n v="1280.0"/>
        <n v="1440.0"/>
        <n v="11742.0"/>
        <n v="258.0"/>
        <n v="4421.0"/>
        <n v="19484.0"/>
        <n v="16155.0"/>
        <n v="12472.0"/>
        <n v="254.0"/>
        <n v="3600.0"/>
        <n v="34292.0"/>
        <n v="448.0"/>
        <n v="2133.0"/>
        <n v="512.0"/>
        <n v="20425.0"/>
        <n v="10889.0"/>
        <n v="525.0"/>
        <n v="6528.0"/>
        <n v="1124.0"/>
        <n v="1838.0"/>
        <n v="6388.0"/>
        <n v="1648.0"/>
        <n v="10127.0"/>
        <n v="1241.0"/>
        <n v="178.0"/>
        <n v="2305.0"/>
        <n v="2723.0"/>
        <n v="3072.0"/>
      </sharedItems>
    </cacheField>
    <cacheField name="Jun" numFmtId="3">
      <sharedItems containsSemiMixedTypes="0" containsString="0" containsNumber="1" containsInteger="1">
        <n v="1109.0"/>
        <n v="3977.0"/>
        <n v="10.0"/>
        <n v="5410.0"/>
        <n v="126.0"/>
        <n v="1439.0"/>
        <n v="17.0"/>
        <n v="711.0"/>
        <n v="841.0"/>
        <n v="799.0"/>
        <n v="1854.0"/>
        <n v="2096.0"/>
        <n v="872.0"/>
        <n v="250.0"/>
        <n v="194.0"/>
        <n v="488.0"/>
        <n v="1853.0"/>
        <n v="3390.0"/>
        <n v="1856.0"/>
        <n v="834.0"/>
        <n v="43.0"/>
        <n v="105.0"/>
        <n v="1598.0"/>
        <n v="3239.0"/>
        <n v="739.0"/>
        <n v="2075.0"/>
        <n v="28.0"/>
        <n v="734.0"/>
        <n v="79.0"/>
        <n v="21.0"/>
        <n v="969.0"/>
        <n v="743.0"/>
        <n v="3973.0"/>
        <n v="577.0"/>
        <n v="3577.0"/>
        <n v="504.0"/>
        <n v="1710.0"/>
        <n v="349.0"/>
        <n v="2.0"/>
        <n v="3130.0"/>
        <n v="4214.0"/>
        <n v="3888.0"/>
        <n v="3310.0"/>
        <n v="30.0"/>
        <n v="345.0"/>
        <n v="19.0"/>
        <n v="248.0"/>
        <n v="1082.0"/>
        <n v="347.0"/>
        <n v="71.0"/>
        <n v="2073.0"/>
        <n v="1671.0"/>
        <n v="2429.0"/>
        <n v="1735.0"/>
        <n v="111.0"/>
        <n v="8285.0"/>
        <n v="1048.0"/>
        <n v="2804.0"/>
        <n v="8334.0"/>
        <n v="1033.0"/>
        <n v="116.0"/>
        <n v="21335.0"/>
        <n v="3783.0"/>
        <n v="854.0"/>
        <n v="5318.0"/>
        <n v="51421.0"/>
        <n v="887.0"/>
        <n v="2231.0"/>
        <n v="2947.0"/>
        <n v="6727.0"/>
        <n v="2814.0"/>
        <n v="9372.0"/>
        <n v="9436.0"/>
        <n v="16.0"/>
        <n v="0.0"/>
        <n v="1171.0"/>
        <n v="4649.0"/>
        <n v="4150.0"/>
        <n v="4812.0"/>
        <n v="1.0"/>
        <n v="4911.0"/>
        <n v="2222.0"/>
        <n v="2282.0"/>
        <n v="244.0"/>
        <n v="100.0"/>
        <n v="52.0"/>
        <n v="166.0"/>
        <n v="2437.0"/>
        <n v="7237.0"/>
        <n v="8842.0"/>
        <n v="15406.0"/>
        <n v="5273.0"/>
        <n v="18832.0"/>
        <n v="75947.0"/>
        <n v="182.0"/>
        <n v="708.0"/>
        <n v="10283.0"/>
        <n v="8.0"/>
        <n v="6601.0"/>
        <n v="10503.0"/>
        <n v="7536.0"/>
        <n v="2839.0"/>
        <n v="897.0"/>
        <n v="324.0"/>
        <n v="208.0"/>
        <n v="6402.0"/>
        <n v="2195.0"/>
        <n v="1253.0"/>
        <n v="22606.0"/>
        <n v="5854.0"/>
        <n v="4428.0"/>
        <n v="15409.0"/>
        <n v="23260.0"/>
        <n v="187.0"/>
        <n v="26488.0"/>
        <n v="2923.0"/>
        <n v="7512.0"/>
        <n v="1423.0"/>
        <n v="7946.0"/>
        <n v="3060.0"/>
        <n v="12128.0"/>
        <n v="2367.0"/>
        <n v="1239.0"/>
        <n v="7561.0"/>
        <n v="868.0"/>
        <n v="5943.0"/>
        <n v="12.0"/>
        <n v="8169.0"/>
        <n v="8376.0"/>
        <n v="5407.0"/>
        <n v="10216.0"/>
        <n v="1530.0"/>
        <n v="323.0"/>
        <n v="6.0"/>
        <n v="9.0"/>
        <n v="2058.0"/>
        <n v="1306.0"/>
        <n v="1528.0"/>
        <n v="273.0"/>
        <n v="798.0"/>
        <n v="122.0"/>
        <n v="252.0"/>
        <n v="151.0"/>
        <n v="67.0"/>
        <n v="9770.0"/>
        <n v="7728.0"/>
        <n v="8219.0"/>
        <n v="19457.0"/>
        <n v="5332.0"/>
        <n v="23714.0"/>
        <n v="65.0"/>
        <n v="6260.0"/>
        <n v="23.0"/>
        <n v="1185.0"/>
        <n v="5732.0"/>
        <n v="1706.0"/>
        <n v="1219.0"/>
        <n v="3636.0"/>
        <n v="8193.0"/>
        <n v="7439.0"/>
        <n v="8021.0"/>
        <n v="1527.0"/>
        <n v="2864.0"/>
        <n v="546.0"/>
        <n v="588.0"/>
        <n v="1176.0"/>
        <n v="882.0"/>
        <n v="1596.0"/>
        <n v="1050.0"/>
        <n v="3260.0"/>
        <n v="285.0"/>
        <n v="2601.0"/>
        <n v="1000.0"/>
        <n v="74.0"/>
        <n v="263.0"/>
        <n v="407.0"/>
        <n v="4795.0"/>
        <n v="328.0"/>
        <n v="6706.0"/>
        <n v="1475.0"/>
        <n v="1687.0"/>
        <n v="425.0"/>
        <n v="2294.0"/>
        <n v="2115.0"/>
        <n v="1254.0"/>
        <n v="1155.0"/>
        <n v="3250.0"/>
        <n v="1356.0"/>
        <n v="3526.0"/>
        <n v="12501.0"/>
        <n v="2727.0"/>
        <n v="966.0"/>
        <n v="1724.0"/>
        <n v="356.0"/>
        <n v="2741.0"/>
        <n v="1231.0"/>
        <n v="2880.0"/>
        <n v="731.0"/>
        <n v="2206.0"/>
        <n v="1188.0"/>
        <n v="3974.0"/>
        <n v="3990.0"/>
        <n v="1470.0"/>
        <n v="763.0"/>
        <n v="165.0"/>
        <n v="210.0"/>
        <n v="3049.0"/>
        <n v="691.0"/>
        <n v="382.0"/>
        <n v="1252.0"/>
        <n v="900.0"/>
        <n v="94.0"/>
        <n v="1384.0"/>
        <n v="315.0"/>
        <n v="9115.0"/>
        <n v="2153.0"/>
        <n v="3693.0"/>
        <n v="29.0"/>
        <n v="3861.0"/>
        <n v="441.0"/>
        <n v="1673.0"/>
        <n v="6003.0"/>
        <n v="1213.0"/>
        <n v="1360.0"/>
        <n v="3722.0"/>
        <n v="19845.0"/>
        <n v="8361.0"/>
        <n v="2715.0"/>
        <n v="3220.0"/>
        <n v="198.0"/>
        <n v="943.0"/>
        <n v="1605.0"/>
        <n v="1665.0"/>
        <n v="366.0"/>
        <n v="344.0"/>
        <n v="49328.0"/>
        <n v="3323.0"/>
        <n v="975.0"/>
        <n v="6079.0"/>
        <n v="238.0"/>
        <n v="10241.0"/>
        <n v="19490.0"/>
        <n v="3389.0"/>
        <n v="2170.0"/>
        <n v="2054.0"/>
        <n v="10250.0"/>
        <n v="12600.0"/>
        <n v="1344.0"/>
        <n v="1512.0"/>
        <n v="12330.0"/>
        <n v="271.0"/>
        <n v="1463.0"/>
        <n v="4642.0"/>
        <n v="20459.0"/>
        <n v="16963.0"/>
        <n v="13096.0"/>
        <n v="267.0"/>
        <n v="26.0"/>
        <n v="3780.0"/>
        <n v="36006.0"/>
        <n v="470.0"/>
        <n v="2239.0"/>
        <n v="538.0"/>
        <n v="21446.0"/>
        <n v="11433.0"/>
        <n v="551.0"/>
        <n v="335.0"/>
        <n v="6855.0"/>
        <n v="1181.0"/>
        <n v="1930.0"/>
        <n v="6708.0"/>
        <n v="1730.0"/>
        <n v="10634.0"/>
        <n v="1486.0"/>
        <n v="2315.0"/>
        <n v="2867.0"/>
        <n v="3454.0"/>
      </sharedItems>
    </cacheField>
    <cacheField name="Jul" numFmtId="3">
      <sharedItems containsSemiMixedTypes="0" containsString="0" containsNumber="1" containsInteger="1">
        <n v="1230.0"/>
        <n v="4494.0"/>
        <n v="15.0"/>
        <n v="5317.0"/>
        <n v="134.0"/>
        <n v="1886.0"/>
        <n v="7.0"/>
        <n v="769.0"/>
        <n v="997.0"/>
        <n v="896.0"/>
        <n v="2089.0"/>
        <n v="1304.0"/>
        <n v="1216.0"/>
        <n v="263.0"/>
        <n v="230.0"/>
        <n v="805.0"/>
        <n v="2571.0"/>
        <n v="3976.0"/>
        <n v="2151.0"/>
        <n v="1142.0"/>
        <n v="69.0"/>
        <n v="83.0"/>
        <n v="1467.0"/>
        <n v="3638.0"/>
        <n v="587.0"/>
        <n v="1877.0"/>
        <n v="9.0"/>
        <n v="479.0"/>
        <n v="742.0"/>
        <n v="216.0"/>
        <n v="17.0"/>
        <n v="1275.0"/>
        <n v="613.0"/>
        <n v="5714.0"/>
        <n v="567.0"/>
        <n v="4491.0"/>
        <n v="698.0"/>
        <n v="1709.0"/>
        <n v="252.0"/>
        <n v="0.0"/>
        <n v="3484.0"/>
        <n v="3907.0"/>
        <n v="5617.0"/>
        <n v="4087.0"/>
        <n v="2.0"/>
        <n v="141.0"/>
        <n v="6.0"/>
        <n v="539.0"/>
        <n v="1403.0"/>
        <n v="148.0"/>
        <n v="52.0"/>
        <n v="1591.0"/>
        <n v="2225.0"/>
        <n v="3320.0"/>
        <n v="2191.0"/>
        <n v="85.0"/>
        <n v="10339.0"/>
        <n v="1992.0"/>
        <n v="2934.0"/>
        <n v="9557.0"/>
        <n v="2228.0"/>
        <n v="25.0"/>
        <n v="23660.0"/>
        <n v="5184.0"/>
        <n v="672.0"/>
        <n v="8926.0"/>
        <n v="51715.0"/>
        <n v="1524.0"/>
        <n v="2936.0"/>
        <n v="2647.0"/>
        <n v="8107.0"/>
        <n v="3619.0"/>
        <n v="11082.0"/>
        <n v="1.0"/>
        <n v="1112.0"/>
        <n v="10062.0"/>
        <n v="5727.0"/>
        <n v="8257.0"/>
        <n v="5595.0"/>
        <n v="2080.0"/>
        <n v="3564.0"/>
        <n v="146.0"/>
        <n v="34.0"/>
        <n v="48.0"/>
        <n v="158.0"/>
        <n v="3256.0"/>
        <n v="5977.0"/>
        <n v="9191.0"/>
        <n v="16465.0"/>
        <n v="6803.0"/>
        <n v="20709.0"/>
        <n v="77720.0"/>
        <n v="47.0"/>
        <n v="189.0"/>
        <n v="10254.0"/>
        <n v="4857.0"/>
        <n v="9941.0"/>
        <n v="13637.0"/>
        <n v="3828.0"/>
        <n v="883.0"/>
        <n v="242.0"/>
        <n v="132.0"/>
        <n v="6393.0"/>
        <n v="2270.0"/>
        <n v="1698.0"/>
        <n v="23778.0"/>
        <n v="7473.0"/>
        <n v="4935.0"/>
        <n v="17221.0"/>
        <n v="25188.0"/>
        <n v="213.0"/>
        <n v="20473.0"/>
        <n v="3571.0"/>
        <n v="8402.0"/>
        <n v="1922.0"/>
        <n v="7286.0"/>
        <n v="3291.0"/>
        <n v="12036.0"/>
        <n v="2771.0"/>
        <n v="1538.0"/>
        <n v="9283.0"/>
        <n v="1826.0"/>
        <n v="7077.0"/>
        <n v="16.0"/>
        <n v="8404.0"/>
        <n v="9296.0"/>
        <n v="6834.0"/>
        <n v="10922.0"/>
        <n v="861.0"/>
        <n v="1620.0"/>
        <n v="1356.0"/>
        <n v="207.0"/>
        <n v="5.0"/>
        <n v="1929.0"/>
        <n v="1870.0"/>
        <n v="721.0"/>
        <n v="316.0"/>
        <n v="701.0"/>
        <n v="140.0"/>
        <n v="175.0"/>
        <n v="70.0"/>
        <n v="105.0"/>
        <n v="14370.0"/>
        <n v="10375.0"/>
        <n v="7771.0"/>
        <n v="19793.0"/>
        <n v="6649.0"/>
        <n v="18960.0"/>
        <n v="100.0"/>
        <n v="7410.0"/>
        <n v="1268.0"/>
        <n v="1307.0"/>
        <n v="4949.0"/>
        <n v="2056.0"/>
        <n v="1036.0"/>
        <n v="4504.0"/>
        <n v="8008.0"/>
        <n v="7622.0"/>
        <n v="7945.0"/>
        <n v="1427.0"/>
        <n v="4822.0"/>
        <n v="456.0"/>
        <n v="421.0"/>
        <n v="1052.0"/>
        <n v="666.0"/>
        <n v="1332.0"/>
        <n v="947.0"/>
        <n v="3868.0"/>
        <n v="269.0"/>
        <n v="2167.0"/>
        <n v="886.0"/>
        <n v="89.0"/>
        <n v="255.0"/>
        <n v="317.0"/>
        <n v="4726.0"/>
        <n v="341.0"/>
        <n v="8800.0"/>
        <n v="1722.0"/>
        <n v="2145.0"/>
        <n v="455.0"/>
        <n v="2470.0"/>
        <n v="8.0"/>
        <n v="2024.0"/>
        <n v="1285.0"/>
        <n v="3231.0"/>
        <n v="1199.0"/>
        <n v="959.0"/>
        <n v="3787.0"/>
        <n v="11878.0"/>
        <n v="2335.0"/>
        <n v="696.0"/>
        <n v="1378.0"/>
        <n v="2530.0"/>
        <n v="789.0"/>
        <n v="2271.0"/>
        <n v="630.0"/>
        <n v="1857.0"/>
        <n v="3055.0"/>
        <n v="2521.0"/>
        <n v="4007.0"/>
        <n v="3807.0"/>
        <n v="1753.0"/>
        <n v="858.0"/>
        <n v="195.0"/>
        <n v="3506.0"/>
        <n v="2119.0"/>
        <n v="1054.0"/>
        <n v="852.0"/>
        <n v="2047.0"/>
        <n v="2778.0"/>
        <n v="332.0"/>
        <n v="2707.0"/>
        <n v="178.0"/>
        <n v="9830.0"/>
        <n v="1531.0"/>
        <n v="2529.0"/>
        <n v="40.0"/>
        <n v="6830.0"/>
        <n v="1392.0"/>
        <n v="5219.0"/>
        <n v="1318.0"/>
        <n v="1674.0"/>
        <n v="3707.0"/>
        <n v="21192.0"/>
        <n v="9147.0"/>
        <n v="2527.0"/>
        <n v="3670.0"/>
        <n v="380.0"/>
        <n v="549.0"/>
        <n v="1581.0"/>
        <n v="1917.0"/>
        <n v="373.0"/>
        <n v="652.0"/>
        <n v="54756.0"/>
        <n v="5610.0"/>
        <n v="1059.0"/>
        <n v="6075.0"/>
        <n v="266.0"/>
        <n v="8913.0"/>
        <n v="15313.0"/>
        <n v="4259.0"/>
        <n v="1845.0"/>
        <n v="2629.0"/>
        <n v="12158.0"/>
        <n v="31208.0"/>
        <n v="2630.0"/>
        <n v="2735.0"/>
        <n v="12273.0"/>
        <n v="9310.0"/>
        <n v="231.0"/>
        <n v="1762.0"/>
        <n v="3677.0"/>
        <n v="22792.0"/>
        <n v="17564.0"/>
        <n v="18128.0"/>
        <n v="209.0"/>
        <n v="27.0"/>
        <n v="4391.0"/>
        <n v="36323.0"/>
        <n v="3462.0"/>
        <n v="515.0"/>
        <n v="17412.0"/>
        <n v="9066.0"/>
        <n v="509.0"/>
        <n v="370.0"/>
        <n v="8482.0"/>
        <n v="1751.0"/>
        <n v="7054.0"/>
        <n v="2135.0"/>
        <n v="9842.0"/>
        <n v="1546.0"/>
        <n v="2216.0"/>
        <n v="2637.0"/>
        <n v="2966.0"/>
      </sharedItems>
    </cacheField>
    <cacheField name="Aug" numFmtId="3">
      <sharedItems containsSemiMixedTypes="0" containsString="0" containsNumber="1" containsInteger="1">
        <n v="1331.0"/>
        <n v="5165.0"/>
        <n v="3.0"/>
        <n v="5057.0"/>
        <n v="118.0"/>
        <n v="1973.0"/>
        <n v="7.0"/>
        <n v="683.0"/>
        <n v="886.0"/>
        <n v="796.0"/>
        <n v="1857.0"/>
        <n v="1159.0"/>
        <n v="1081.0"/>
        <n v="233.0"/>
        <n v="204.0"/>
        <n v="716.0"/>
        <n v="2286.0"/>
        <n v="3534.0"/>
        <n v="1912.0"/>
        <n v="1015.0"/>
        <n v="61.0"/>
        <n v="74.0"/>
        <n v="1299.0"/>
        <n v="3222.0"/>
        <n v="520.0"/>
        <n v="1663.0"/>
        <n v="8.0"/>
        <n v="424.0"/>
        <n v="657.0"/>
        <n v="191.0"/>
        <n v="15.0"/>
        <n v="1129.0"/>
        <n v="543.0"/>
        <n v="5061.0"/>
        <n v="502.0"/>
        <n v="3977.0"/>
        <n v="618.0"/>
        <n v="1513.0"/>
        <n v="223.0"/>
        <n v="0.0"/>
        <n v="3097.0"/>
        <n v="3473.0"/>
        <n v="4993.0"/>
        <n v="3633.0"/>
        <n v="2.0"/>
        <n v="135.0"/>
        <n v="5.0"/>
        <n v="479.0"/>
        <n v="1247.0"/>
        <n v="132.0"/>
        <n v="46.0"/>
        <n v="1414.0"/>
        <n v="1978.0"/>
        <n v="2951.0"/>
        <n v="1948.0"/>
        <n v="75.0"/>
        <n v="9190.0"/>
        <n v="1771.0"/>
        <n v="2608.0"/>
        <n v="8495.0"/>
        <n v="1981.0"/>
        <n v="22.0"/>
        <n v="21031.0"/>
        <n v="4608.0"/>
        <n v="597.0"/>
        <n v="7934.0"/>
        <n v="45969.0"/>
        <n v="1355.0"/>
        <n v="2610.0"/>
        <n v="2353.0"/>
        <n v="7207.0"/>
        <n v="3217.0"/>
        <n v="9850.0"/>
        <n v="1.0"/>
        <n v="988.0"/>
        <n v="8944.0"/>
        <n v="5090.0"/>
        <n v="7339.0"/>
        <n v="4974.0"/>
        <n v="1849.0"/>
        <n v="3168.0"/>
        <n v="130.0"/>
        <n v="30.0"/>
        <n v="43.0"/>
        <n v="141.0"/>
        <n v="2894.0"/>
        <n v="5313.0"/>
        <n v="8170.0"/>
        <n v="14636.0"/>
        <n v="6047.0"/>
        <n v="18408.0"/>
        <n v="69085.0"/>
        <n v="42.0"/>
        <n v="168.0"/>
        <n v="9115.0"/>
        <n v="4317.0"/>
        <n v="8836.0"/>
        <n v="12122.0"/>
        <n v="3402.0"/>
        <n v="950.0"/>
        <n v="226.0"/>
        <n v="184.0"/>
        <n v="5682.0"/>
        <n v="2018.0"/>
        <n v="1510.0"/>
        <n v="21136.0"/>
        <n v="6643.0"/>
        <n v="4386.0"/>
        <n v="19167.0"/>
        <n v="25524.0"/>
        <n v="251.0"/>
        <n v="34391.0"/>
        <n v="3814.0"/>
        <n v="8942.0"/>
        <n v="1886.0"/>
        <n v="8644.0"/>
        <n v="4070.0"/>
        <n v="12508.0"/>
        <n v="3081.0"/>
        <n v="1135.0"/>
        <n v="9135.0"/>
        <n v="879.0"/>
        <n v="7998.0"/>
        <n v="25.0"/>
        <n v="7983.0"/>
        <n v="9129.0"/>
        <n v="7965.0"/>
        <n v="11632.0"/>
        <n v="836.0"/>
        <n v="1644.0"/>
        <n v="1206.0"/>
        <n v="4.0"/>
        <n v="1714.0"/>
        <n v="641.0"/>
        <n v="281.0"/>
        <n v="623.0"/>
        <n v="125.0"/>
        <n v="156.0"/>
        <n v="62.0"/>
        <n v="94.0"/>
        <n v="12773.0"/>
        <n v="9222.0"/>
        <n v="6908.0"/>
        <n v="17594.0"/>
        <n v="5910.0"/>
        <n v="16853.0"/>
        <n v="53.0"/>
        <n v="8414.0"/>
        <n v="3631.0"/>
        <n v="34.0"/>
        <n v="1991.0"/>
        <n v="3307.0"/>
        <n v="2097.0"/>
        <n v="1036.0"/>
        <n v="5314.0"/>
        <n v="7809.0"/>
        <n v="6968.0"/>
        <n v="7672.0"/>
        <n v="1101.0"/>
        <n v="7588.0"/>
        <n v="405.0"/>
        <n v="374.0"/>
        <n v="935.0"/>
        <n v="592.0"/>
        <n v="1184.0"/>
        <n v="842.0"/>
        <n v="4366.0"/>
        <n v="330.0"/>
        <n v="2706.0"/>
        <n v="1212.0"/>
        <n v="107.0"/>
        <n v="299.0"/>
        <n v="422.0"/>
        <n v="4784.0"/>
        <n v="372.0"/>
        <n v="10972.0"/>
        <n v="1521.0"/>
        <n v="1907.0"/>
        <n v="404.0"/>
        <n v="2196.0"/>
        <n v="1799.0"/>
        <n v="1143.0"/>
        <n v="1133.0"/>
        <n v="3175.0"/>
        <n v="1230.0"/>
        <n v="860.0"/>
        <n v="3862.0"/>
        <n v="13745.0"/>
        <n v="2443.0"/>
        <n v="774.0"/>
        <n v="1225.0"/>
        <n v="234.0"/>
        <n v="2249.0"/>
        <n v="701.0"/>
        <n v="560.0"/>
        <n v="1650.0"/>
        <n v="2715.0"/>
        <n v="2241.0"/>
        <n v="3562.0"/>
        <n v="3384.0"/>
        <n v="1558.0"/>
        <n v="763.0"/>
        <n v="173.0"/>
        <n v="227.0"/>
        <n v="3117.0"/>
        <n v="1877.0"/>
        <n v="933.0"/>
        <n v="757.0"/>
        <n v="1820.0"/>
        <n v="2470.0"/>
        <n v="295.0"/>
        <n v="2406.0"/>
        <n v="159.0"/>
        <n v="8738.0"/>
        <n v="1361.0"/>
        <n v="2248.0"/>
        <n v="35.0"/>
        <n v="6071.0"/>
        <n v="1237.0"/>
        <n v="4639.0"/>
        <n v="1172.0"/>
        <n v="1488.0"/>
        <n v="3295.0"/>
        <n v="18837.0"/>
        <n v="8131.0"/>
        <n v="2246.0"/>
        <n v="3262.0"/>
        <n v="338.0"/>
        <n v="488.0"/>
        <n v="1405.0"/>
        <n v="1704.0"/>
        <n v="332.0"/>
        <n v="579.0"/>
        <n v="48672.0"/>
        <n v="4986.0"/>
        <n v="941.0"/>
        <n v="6619.0"/>
        <n v="267.0"/>
        <n v="10329.0"/>
        <n v="17261.0"/>
        <n v="4654.0"/>
        <n v="1218.0"/>
        <n v="2681.0"/>
        <n v="14856.0"/>
        <n v="27740.0"/>
        <n v="2338.0"/>
        <n v="2431.0"/>
        <n v="10909.0"/>
        <n v="9860.0"/>
        <n v="236.0"/>
        <n v="1813.0"/>
        <n v="3897.0"/>
        <n v="27892.0"/>
        <n v="19154.0"/>
        <n v="21795.0"/>
        <n v="161.0"/>
        <n v="64.0"/>
        <n v="3905.0"/>
        <n v="39239.0"/>
        <n v="769.0"/>
        <n v="3987.0"/>
        <n v="500.0"/>
        <n v="20579.0"/>
        <n v="10130.0"/>
        <n v="726.0"/>
        <n v="329.0"/>
        <n v="7539.0"/>
        <n v="1557.0"/>
        <n v="6270.0"/>
        <n v="1898.0"/>
        <n v="8749.0"/>
        <n v="1790.0"/>
        <n v="676.0"/>
        <n v="1933.0"/>
        <n v="2981.0"/>
        <n v="2998.0"/>
      </sharedItems>
    </cacheField>
    <cacheField name="Sep" numFmtId="3">
      <sharedItems containsSemiMixedTypes="0" containsString="0" containsNumber="1" containsInteger="1">
        <n v="1377.0"/>
        <n v="4920.0"/>
        <n v="10.0"/>
        <n v="4664.0"/>
        <n v="122.0"/>
        <n v="1848.0"/>
        <n v="7.0"/>
        <n v="740.0"/>
        <n v="960.0"/>
        <n v="863.0"/>
        <n v="2012.0"/>
        <n v="1255.0"/>
        <n v="1171.0"/>
        <n v="253.0"/>
        <n v="222.0"/>
        <n v="775.0"/>
        <n v="2476.0"/>
        <n v="3829.0"/>
        <n v="2071.0"/>
        <n v="1100.0"/>
        <n v="66.0"/>
        <n v="80.0"/>
        <n v="16.0"/>
        <n v="1383.0"/>
        <n v="3430.0"/>
        <n v="553.0"/>
        <n v="1770.0"/>
        <n v="9.0"/>
        <n v="699.0"/>
        <n v="203.0"/>
        <n v="1202.0"/>
        <n v="578.0"/>
        <n v="5388.0"/>
        <n v="535.0"/>
        <n v="4234.0"/>
        <n v="658.0"/>
        <n v="1611.0"/>
        <n v="238.0"/>
        <n v="0.0"/>
        <n v="3355.0"/>
        <n v="3763.0"/>
        <n v="5409.0"/>
        <n v="3935.0"/>
        <n v="2.0"/>
        <n v="135.0"/>
        <n v="6.0"/>
        <n v="519.0"/>
        <n v="1351.0"/>
        <n v="142.0"/>
        <n v="50.0"/>
        <n v="1532.0"/>
        <n v="2142.0"/>
        <n v="3197.0"/>
        <n v="2110.0"/>
        <n v="82.0"/>
        <n v="9956.0"/>
        <n v="1919.0"/>
        <n v="2825.0"/>
        <n v="9203.0"/>
        <n v="2146.0"/>
        <n v="24.0"/>
        <n v="22784.0"/>
        <n v="4992.0"/>
        <n v="647.0"/>
        <n v="8595.0"/>
        <n v="49800.0"/>
        <n v="1468.0"/>
        <n v="2827.0"/>
        <n v="2549.0"/>
        <n v="7807.0"/>
        <n v="3485.0"/>
        <n v="10671.0"/>
        <n v="1.0"/>
        <n v="1070.0"/>
        <n v="9690.0"/>
        <n v="5515.0"/>
        <n v="7951.0"/>
        <n v="2003.0"/>
        <n v="3432.0"/>
        <n v="140.0"/>
        <n v="32.0"/>
        <n v="47.0"/>
        <n v="153.0"/>
        <n v="3136.0"/>
        <n v="5755.0"/>
        <n v="8850.0"/>
        <n v="15855.0"/>
        <n v="6551.0"/>
        <n v="19942.0"/>
        <n v="74842.0"/>
        <n v="46.0"/>
        <n v="182.0"/>
        <n v="9874.0"/>
        <n v="4677.0"/>
        <n v="9573.0"/>
        <n v="13132.0"/>
        <n v="3686.0"/>
        <n v="899.0"/>
        <n v="133.0"/>
        <n v="96.0"/>
        <n v="6156.0"/>
        <n v="2186.0"/>
        <n v="1635.0"/>
        <n v="22898.0"/>
        <n v="7197.0"/>
        <n v="4752.0"/>
        <n v="20149.0"/>
        <n v="22371.0"/>
        <n v="354.0"/>
        <n v="33572.0"/>
        <n v="3116.0"/>
        <n v="7560.0"/>
        <n v="1472.0"/>
        <n v="7844.0"/>
        <n v="4281.0"/>
        <n v="10643.0"/>
        <n v="2755.0"/>
        <n v="1348.0"/>
        <n v="8235.0"/>
        <n v="1096.0"/>
        <n v="6971.0"/>
        <n v="21.0"/>
        <n v="7741.0"/>
        <n v="8566.0"/>
        <n v="8038.0"/>
        <n v="10644.0"/>
        <n v="601.0"/>
        <n v="1529.0"/>
        <n v="1306.0"/>
        <n v="199.0"/>
        <n v="4.0"/>
        <n v="1857.0"/>
        <n v="1801.0"/>
        <n v="695.0"/>
        <n v="304.0"/>
        <n v="675.0"/>
        <n v="169.0"/>
        <n v="68.0"/>
        <n v="101.0"/>
        <n v="13838.0"/>
        <n v="9991.0"/>
        <n v="7484.0"/>
        <n v="19060.0"/>
        <n v="6402.0"/>
        <n v="18258.0"/>
        <n v="99.0"/>
        <n v="7643.0"/>
        <n v="5763.0"/>
        <n v="25.0"/>
        <n v="1682.0"/>
        <n v="1020.0"/>
        <n v="2143.0"/>
        <n v="1045.0"/>
        <n v="5613.0"/>
        <n v="6879.0"/>
        <n v="6700.0"/>
        <n v="7165.0"/>
        <n v="913.0"/>
        <n v="8829.0"/>
        <n v="439.0"/>
        <n v="405.0"/>
        <n v="1013.0"/>
        <n v="642.0"/>
        <n v="1283.0"/>
        <n v="912.0"/>
        <n v="4541.0"/>
        <n v="262.0"/>
        <n v="2388.0"/>
        <n v="1531.0"/>
        <n v="131.0"/>
        <n v="303.0"/>
        <n v="323.0"/>
        <n v="3694.0"/>
        <n v="389.0"/>
        <n v="9666.0"/>
        <n v="1525.0"/>
        <n v="2066.0"/>
        <n v="438.0"/>
        <n v="2378.0"/>
        <n v="8.0"/>
        <n v="1949.0"/>
        <n v="1238.0"/>
        <n v="1227.0"/>
        <n v="2535.0"/>
        <n v="1451.0"/>
        <n v="436.0"/>
        <n v="3188.0"/>
        <n v="13582.0"/>
        <n v="2183.0"/>
        <n v="862.0"/>
        <n v="1327.0"/>
        <n v="2436.0"/>
        <n v="760.0"/>
        <n v="2187.0"/>
        <n v="606.0"/>
        <n v="1788.0"/>
        <n v="2942.0"/>
        <n v="2428.0"/>
        <n v="3859.0"/>
        <n v="3666.0"/>
        <n v="1688.0"/>
        <n v="826.0"/>
        <n v="187.0"/>
        <n v="246.0"/>
        <n v="3377.0"/>
        <n v="1998.0"/>
        <n v="993.0"/>
        <n v="820.0"/>
        <n v="1972.0"/>
        <n v="2675.0"/>
        <n v="320.0"/>
        <n v="2606.0"/>
        <n v="172.0"/>
        <n v="9466.0"/>
        <n v="1474.0"/>
        <n v="20407.0"/>
        <n v="38.0"/>
        <n v="6577.0"/>
        <n v="1340.0"/>
        <n v="5026.0"/>
        <n v="1270.0"/>
        <n v="1612.0"/>
        <n v="3570.0"/>
        <n v="8808.0"/>
        <n v="2434.0"/>
        <n v="3534.0"/>
        <n v="366.0"/>
        <n v="529.0"/>
        <n v="1523.0"/>
        <n v="1846.0"/>
        <n v="359.0"/>
        <n v="627.0"/>
        <n v="52728.0"/>
        <n v="5402.0"/>
        <n v="5744.0"/>
        <n v="251.0"/>
        <n v="11950.0"/>
        <n v="15648.0"/>
        <n v="4622.0"/>
        <n v="2040.0"/>
        <n v="17023.0"/>
        <n v="30052.0"/>
        <n v="2532.0"/>
        <n v="2634.0"/>
        <n v="11818.0"/>
        <n v="10229.0"/>
        <n v="152.0"/>
        <n v="1833.0"/>
        <n v="4606.0"/>
        <n v="28362.0"/>
        <n v="19894.0"/>
        <n v="22307.0"/>
        <n v="141.0"/>
        <n v="41.0"/>
        <n v="3787.0"/>
        <n v="43652.0"/>
        <n v="770.0"/>
        <n v="4124.0"/>
        <n v="489.0"/>
        <n v="20929.0"/>
        <n v="8738.0"/>
        <n v="1625.0"/>
        <n v="691.0"/>
        <n v="357.0"/>
        <n v="8168.0"/>
        <n v="1687.0"/>
        <n v="6792.0"/>
        <n v="2056.0"/>
        <n v="9478.0"/>
        <n v="2341.0"/>
        <n v="718.0"/>
        <n v="1911.0"/>
        <n v="2632.0"/>
        <n v="2672.0"/>
      </sharedItems>
    </cacheField>
    <cacheField name="Oct" numFmtId="3">
      <sharedItems containsSemiMixedTypes="0" containsString="0" containsNumber="1" containsInteger="1">
        <n v="1523.0"/>
        <n v="4732.0"/>
        <n v="22.0"/>
        <n v="5022.0"/>
        <n v="126.0"/>
        <n v="2365.0"/>
        <n v="2.0"/>
        <n v="864.0"/>
        <n v="1189.0"/>
        <n v="1094.0"/>
        <n v="1356.0"/>
        <n v="1619.0"/>
        <n v="843.0"/>
        <n v="292.0"/>
        <n v="237.0"/>
        <n v="686.0"/>
        <n v="3357.0"/>
        <n v="7106.0"/>
        <n v="2897.0"/>
        <n v="1483.0"/>
        <n v="63.0"/>
        <n v="57.0"/>
        <n v="1636.0"/>
        <n v="4292.0"/>
        <n v="1303.0"/>
        <n v="3740.0"/>
        <n v="19.0"/>
        <n v="751.0"/>
        <n v="734.0"/>
        <n v="216.0"/>
        <n v="9.0"/>
        <n v="1458.0"/>
        <n v="533.0"/>
        <n v="7942.0"/>
        <n v="977.0"/>
        <n v="6294.0"/>
        <n v="967.0"/>
        <n v="2376.0"/>
        <n v="66.0"/>
        <n v="0.0"/>
        <n v="4162.0"/>
        <n v="2138.0"/>
        <n v="5723.0"/>
        <n v="2859.0"/>
        <n v="5.0"/>
        <n v="20.0"/>
        <n v="918.0"/>
        <n v="1732.0"/>
        <n v="49.0"/>
        <n v="46.0"/>
        <n v="3189.0"/>
        <n v="2357.0"/>
        <n v="3694.0"/>
        <n v="2414.0"/>
        <n v="74.0"/>
        <n v="7841.0"/>
        <n v="2261.0"/>
        <n v="2547.0"/>
        <n v="9348.0"/>
        <n v="3033.0"/>
        <n v="10.0"/>
        <n v="26741.0"/>
        <n v="6052.0"/>
        <n v="347.0"/>
        <n v="9868.0"/>
        <n v="60535.0"/>
        <n v="745.0"/>
        <n v="3523.0"/>
        <n v="4580.0"/>
        <n v="9681.0"/>
        <n v="5825.0"/>
        <n v="14011.0"/>
        <n v="8807.0"/>
        <n v="1.0"/>
        <n v="1720.0"/>
        <n v="9956.0"/>
        <n v="4927.0"/>
        <n v="8027.0"/>
        <n v="4174.0"/>
        <n v="881.0"/>
        <n v="3236.0"/>
        <n v="110.0"/>
        <n v="4.0"/>
        <n v="28.0"/>
        <n v="106.0"/>
        <n v="4469.0"/>
        <n v="4210.0"/>
        <n v="10387.0"/>
        <n v="15959.0"/>
        <n v="9014.0"/>
        <n v="21079.0"/>
        <n v="71593.0"/>
        <n v="11.0"/>
        <n v="41.0"/>
        <n v="6526.0"/>
        <n v="14.0"/>
        <n v="4399.0"/>
        <n v="8779.0"/>
        <n v="12403.0"/>
        <n v="2886.0"/>
        <n v="826.0"/>
        <n v="89.0"/>
        <n v="139.0"/>
        <n v="7212.0"/>
        <n v="3039.0"/>
        <n v="1045.0"/>
        <n v="26438.0"/>
        <n v="8594.0"/>
        <n v="8352.0"/>
        <n v="19185.0"/>
        <n v="21865.0"/>
        <n v="719.0"/>
        <n v="32415.0"/>
        <n v="3082.0"/>
        <n v="7421.0"/>
        <n v="1375.0"/>
        <n v="8001.0"/>
        <n v="4102.0"/>
        <n v="11631.0"/>
        <n v="3401.0"/>
        <n v="1129.0"/>
        <n v="11428.0"/>
        <n v="1202.0"/>
        <n v="6540.0"/>
        <n v="37.0"/>
        <n v="7519.0"/>
        <n v="9072.0"/>
        <n v="7570.0"/>
        <n v="10898.0"/>
        <n v="443.0"/>
        <n v="1557.0"/>
        <n v="1163.0"/>
        <n v="171.0"/>
        <n v="2131.0"/>
        <n v="1813.0"/>
        <n v="1630.0"/>
        <n v="304.0"/>
        <n v="1012.0"/>
        <n v="169.0"/>
        <n v="135.0"/>
        <n v="67.0"/>
        <n v="34.0"/>
        <n v="12798.0"/>
        <n v="10174.0"/>
        <n v="6933.0"/>
        <n v="19205.0"/>
        <n v="5744.0"/>
        <n v="17242.0"/>
        <n v="115.0"/>
        <n v="8107.0"/>
        <n v="7528.0"/>
        <n v="1524.0"/>
        <n v="255.0"/>
        <n v="2104.0"/>
        <n v="1029.0"/>
        <n v="5542.0"/>
        <n v="5832.0"/>
        <n v="6318.0"/>
        <n v="6989.0"/>
        <n v="1013.0"/>
        <n v="9687.0"/>
        <n v="2429.0"/>
        <n v="337.0"/>
        <n v="641.0"/>
        <n v="1349.0"/>
        <n v="877.0"/>
        <n v="2361.0"/>
        <n v="4117.0"/>
        <n v="200.0"/>
        <n v="2828.0"/>
        <n v="1362.0"/>
        <n v="164.0"/>
        <n v="471.0"/>
        <n v="408.0"/>
        <n v="5470.0"/>
        <n v="406.0"/>
        <n v="9738.0"/>
        <n v="1527.0"/>
        <n v="2184.0"/>
        <n v="501.0"/>
        <n v="3053.0"/>
        <n v="12.0"/>
        <n v="2123.0"/>
        <n v="791.0"/>
        <n v="1386.0"/>
        <n v="2570.0"/>
        <n v="473.0"/>
        <n v="3214.0"/>
        <n v="11890.0"/>
        <n v="2382.0"/>
        <n v="851.0"/>
        <n v="1214.0"/>
        <n v="312.0"/>
        <n v="1922.0"/>
        <n v="856.0"/>
        <n v="2263.0"/>
        <n v="863.0"/>
        <n v="1769.0"/>
        <n v="2982.0"/>
        <n v="1509.0"/>
        <n v="6288.0"/>
        <n v="5396.0"/>
        <n v="756.0"/>
        <n v="661.0"/>
        <n v="146.0"/>
        <n v="160.0"/>
        <n v="5056.0"/>
        <n v="1850.0"/>
        <n v="1034.0"/>
        <n v="521.0"/>
        <n v="1634.0"/>
        <n v="1236.0"/>
        <n v="130.0"/>
        <n v="1461.0"/>
        <n v="13800.0"/>
        <n v="715.0"/>
        <n v="3562.0"/>
        <n v="21.0"/>
        <n v="5471.0"/>
        <n v="1566.0"/>
        <n v="1352.0"/>
        <n v="4519.0"/>
        <n v="1643.0"/>
        <n v="1476.0"/>
        <n v="3729.0"/>
        <n v="20421.0"/>
        <n v="8357.0"/>
        <n v="2374.0"/>
        <n v="6060.0"/>
        <n v="503.0"/>
        <n v="822.0"/>
        <n v="2004.0"/>
        <n v="1830.0"/>
        <n v="253.0"/>
        <n v="512.0"/>
        <n v="54403.0"/>
        <n v="5755.0"/>
        <n v="1002.0"/>
        <n v="5865.0"/>
        <n v="221.0"/>
        <n v="14994.0"/>
        <n v="14697.0"/>
        <n v="4329.0"/>
        <n v="2060.0"/>
        <n v="2490.0"/>
        <n v="16755.0"/>
        <n v="14506.0"/>
        <n v="1687.0"/>
        <n v="3711.0"/>
        <n v="12940.0"/>
        <n v="172.0"/>
        <n v="1857.0"/>
        <n v="3358.0"/>
        <n v="29666.0"/>
        <n v="21569.0"/>
        <n v="22262.0"/>
        <n v="412.0"/>
        <n v="27.0"/>
        <n v="3633.0"/>
        <n v="40717.0"/>
        <n v="831.0"/>
        <n v="2812.0"/>
        <n v="677.0"/>
        <n v="23774.0"/>
        <n v="9999.0"/>
        <n v="3510.0"/>
        <n v="442.0"/>
        <n v="324.0"/>
        <n v="6870.0"/>
        <n v="3737.0"/>
        <n v="1564.0"/>
        <n v="8495.0"/>
        <n v="2285.0"/>
        <n v="8476.0"/>
        <n v="1213.0"/>
        <n v="2504.0"/>
        <n v="3571.0"/>
        <n v="3257.0"/>
      </sharedItems>
    </cacheField>
    <cacheField name="Nov" numFmtId="3">
      <sharedItems containsSemiMixedTypes="0" containsString="0" containsNumber="1" containsInteger="1">
        <n v="1141.0"/>
        <n v="4491.0"/>
        <n v="9.0"/>
        <n v="4155.0"/>
        <n v="81.0"/>
        <n v="2014.0"/>
        <n v="2.0"/>
        <n v="709.0"/>
        <n v="977.0"/>
        <n v="899.0"/>
        <n v="1114.0"/>
        <n v="1330.0"/>
        <n v="693.0"/>
        <n v="240.0"/>
        <n v="195.0"/>
        <n v="564.0"/>
        <n v="2758.0"/>
        <n v="5837.0"/>
        <n v="2380.0"/>
        <n v="1218.0"/>
        <n v="52.0"/>
        <n v="47.0"/>
        <n v="1344.0"/>
        <n v="3525.0"/>
        <n v="1070.0"/>
        <n v="3072.0"/>
        <n v="15.0"/>
        <n v="617.0"/>
        <n v="603.0"/>
        <n v="177.0"/>
        <n v="8.0"/>
        <n v="1198.0"/>
        <n v="438.0"/>
        <n v="6523.0"/>
        <n v="803.0"/>
        <n v="5170.0"/>
        <n v="794.0"/>
        <n v="1952.0"/>
        <n v="54.0"/>
        <n v="0.0"/>
        <n v="3419.0"/>
        <n v="1756.0"/>
        <n v="4701.0"/>
        <n v="2348.0"/>
        <n v="4.0"/>
        <n v="16.0"/>
        <n v="754.0"/>
        <n v="1423.0"/>
        <n v="40.0"/>
        <n v="37.0"/>
        <n v="2620.0"/>
        <n v="1936.0"/>
        <n v="3034.0"/>
        <n v="1983.0"/>
        <n v="61.0"/>
        <n v="6441.0"/>
        <n v="1857.0"/>
        <n v="2092.0"/>
        <n v="7678.0"/>
        <n v="2492.0"/>
        <n v="21966.0"/>
        <n v="4972.0"/>
        <n v="285.0"/>
        <n v="8106.0"/>
        <n v="49725.0"/>
        <n v="612.0"/>
        <n v="2894.0"/>
        <n v="3762.0"/>
        <n v="7952.0"/>
        <n v="4785.0"/>
        <n v="11509.0"/>
        <n v="7234.0"/>
        <n v="1.0"/>
        <n v="1413.0"/>
        <n v="8178.0"/>
        <n v="4047.0"/>
        <n v="6594.0"/>
        <n v="3428.0"/>
        <n v="724.0"/>
        <n v="2658.0"/>
        <n v="90.0"/>
        <n v="3.0"/>
        <n v="23.0"/>
        <n v="87.0"/>
        <n v="22.0"/>
        <n v="3412.0"/>
        <n v="4318.0"/>
        <n v="9096.0"/>
        <n v="13411.0"/>
        <n v="7025.0"/>
        <n v="18848.0"/>
        <n v="52698.0"/>
        <n v="51.0"/>
        <n v="118.0"/>
        <n v="5902.0"/>
        <n v="4119.0"/>
        <n v="8495.0"/>
        <n v="9917.0"/>
        <n v="2993.0"/>
        <n v="683.0"/>
        <n v="55.0"/>
        <n v="139.0"/>
        <n v="58.0"/>
        <n v="5924.0"/>
        <n v="2496.0"/>
        <n v="859.0"/>
        <n v="21717.0"/>
        <n v="7060.0"/>
        <n v="6861.0"/>
        <n v="15473.0"/>
        <n v="17372.0"/>
        <n v="347.0"/>
        <n v="25633.0"/>
        <n v="2313.0"/>
        <n v="6379.0"/>
        <n v="1080.0"/>
        <n v="7016.0"/>
        <n v="3456.0"/>
        <n v="9126.0"/>
        <n v="2528.0"/>
        <n v="972.0"/>
        <n v="8095.0"/>
        <n v="1090.0"/>
        <n v="8551.0"/>
        <n v="20.0"/>
        <n v="6436.0"/>
        <n v="8765.0"/>
        <n v="8242.0"/>
        <n v="9739.0"/>
        <n v="296.0"/>
        <n v="2965.0"/>
        <n v="955.0"/>
        <n v="140.0"/>
        <n v="1750.0"/>
        <n v="1489.0"/>
        <n v="1339.0"/>
        <n v="248.0"/>
        <n v="831.0"/>
        <n v="111.0"/>
        <n v="28.0"/>
        <n v="10512.0"/>
        <n v="8358.0"/>
        <n v="5695.0"/>
        <n v="15776.0"/>
        <n v="4718.0"/>
        <n v="14163.0"/>
        <n v="99.0"/>
        <n v="6860.0"/>
        <n v="7437.0"/>
        <n v="1144.0"/>
        <n v="104.0"/>
        <n v="1728.0"/>
        <n v="797.0"/>
        <n v="5122.0"/>
        <n v="2938.0"/>
        <n v="4767.0"/>
        <n v="7039.0"/>
        <n v="847.0"/>
        <n v="8993.0"/>
        <n v="1995.0"/>
        <n v="277.0"/>
        <n v="527.0"/>
        <n v="1108.0"/>
        <n v="720.0"/>
        <n v="1940.0"/>
        <n v="4290.0"/>
        <n v="2975.0"/>
        <n v="1228.0"/>
        <n v="188.0"/>
        <n v="339.0"/>
        <n v="407.0"/>
        <n v="6129.0"/>
        <n v="10556.0"/>
        <n v="1470.0"/>
        <n v="1942.0"/>
        <n v="378.0"/>
        <n v="2242.0"/>
        <n v="6.0"/>
        <n v="1874.0"/>
        <n v="583.0"/>
        <n v="1362.0"/>
        <n v="2613.0"/>
        <n v="1196.0"/>
        <n v="413.0"/>
        <n v="2649.0"/>
        <n v="12299.0"/>
        <n v="1972.0"/>
        <n v="610.0"/>
        <n v="998.0"/>
        <n v="256.0"/>
        <n v="1579.0"/>
        <n v="703.0"/>
        <n v="1859.0"/>
        <n v="1453.0"/>
        <n v="2449.0"/>
        <n v="1240.0"/>
        <n v="5165.0"/>
        <n v="4432.0"/>
        <n v="621.0"/>
        <n v="543.0"/>
        <n v="120.0"/>
        <n v="131.0"/>
        <n v="4153.0"/>
        <n v="1520.0"/>
        <n v="849.0"/>
        <n v="428.0"/>
        <n v="1342.0"/>
        <n v="1016.0"/>
        <n v="107.0"/>
        <n v="1200.0"/>
        <n v="11335.0"/>
        <n v="587.0"/>
        <n v="2926.0"/>
        <n v="17.0"/>
        <n v="4494.0"/>
        <n v="1280.0"/>
        <n v="1110.0"/>
        <n v="3712.0"/>
        <n v="1350.0"/>
        <n v="1212.0"/>
        <n v="3063.0"/>
        <n v="16774.0"/>
        <n v="6865.0"/>
        <n v="1950.0"/>
        <n v="4978.0"/>
        <n v="676.0"/>
        <n v="1646.0"/>
        <n v="1503.0"/>
        <n v="208.0"/>
        <n v="420.0"/>
        <n v="44688.0"/>
        <n v="4727.0"/>
        <n v="823.0"/>
        <n v="5231.0"/>
        <n v="129.0"/>
        <n v="12841.0"/>
        <n v="12211.0"/>
        <n v="3174.0"/>
        <n v="1714.0"/>
        <n v="2192.0"/>
        <n v="12921.0"/>
        <n v="11916.0"/>
        <n v="1386.0"/>
        <n v="3048.0"/>
        <n v="12416.0"/>
        <n v="1680.0"/>
        <n v="2666.0"/>
        <n v="29373.0"/>
        <n v="23987.0"/>
        <n v="21935.0"/>
        <n v="368.0"/>
        <n v="3248.0"/>
        <n v="40250.0"/>
        <n v="752.0"/>
        <n v="3779.0"/>
        <n v="708.0"/>
        <n v="22456.0"/>
        <n v="10266.0"/>
        <n v="3400.0"/>
        <n v="199.0"/>
        <n v="266.0"/>
        <n v="5644.0"/>
        <n v="3070.0"/>
        <n v="1285.0"/>
        <n v="6978.0"/>
        <n v="1877.0"/>
        <n v="6962.0"/>
        <n v="1736.0"/>
        <n v="239.0"/>
        <n v="2344.0"/>
        <n v="3756.0"/>
        <n v="3516.0"/>
      </sharedItems>
    </cacheField>
    <cacheField name="Dec" numFmtId="3">
      <sharedItems containsSemiMixedTypes="0" containsString="0" containsNumber="1" containsInteger="1">
        <n v="1417.0"/>
        <n v="6040.0"/>
        <n v="14.0"/>
        <n v="5820.0"/>
        <n v="72.0"/>
        <n v="2285.0"/>
        <n v="3.0"/>
        <n v="987.0"/>
        <n v="1359.0"/>
        <n v="1250.0"/>
        <n v="1549.0"/>
        <n v="1850.0"/>
        <n v="964.0"/>
        <n v="334.0"/>
        <n v="271.0"/>
        <n v="784.0"/>
        <n v="3837.0"/>
        <n v="8121.0"/>
        <n v="3311.0"/>
        <n v="1694.0"/>
        <n v="65.0"/>
        <n v="1870.0"/>
        <n v="4905.0"/>
        <n v="1489.0"/>
        <n v="4275.0"/>
        <n v="21.0"/>
        <n v="858.0"/>
        <n v="839.0"/>
        <n v="247.0"/>
        <n v="11.0"/>
        <n v="1666.0"/>
        <n v="610.0"/>
        <n v="9076.0"/>
        <n v="1117.0"/>
        <n v="7193.0"/>
        <n v="1105.0"/>
        <n v="2716.0"/>
        <n v="76.0"/>
        <n v="0.0"/>
        <n v="4757.0"/>
        <n v="2444.0"/>
        <n v="6541.0"/>
        <n v="3267.0"/>
        <n v="5.0"/>
        <n v="23.0"/>
        <n v="2.0"/>
        <n v="1049.0"/>
        <n v="1980.0"/>
        <n v="56.0"/>
        <n v="52.0"/>
        <n v="3645.0"/>
        <n v="2694.0"/>
        <n v="4222.0"/>
        <n v="2759.0"/>
        <n v="85.0"/>
        <n v="8961.0"/>
        <n v="2584.0"/>
        <n v="2910.0"/>
        <n v="10683.0"/>
        <n v="3467.0"/>
        <n v="12.0"/>
        <n v="30561.0"/>
        <n v="6917.0"/>
        <n v="396.0"/>
        <n v="11278.0"/>
        <n v="69183.0"/>
        <n v="851.0"/>
        <n v="4026.0"/>
        <n v="5235.0"/>
        <n v="11064.0"/>
        <n v="6658.0"/>
        <n v="16013.0"/>
        <n v="10065.0"/>
        <n v="1.0"/>
        <n v="1966.0"/>
        <n v="11378.0"/>
        <n v="5631.0"/>
        <n v="9174.0"/>
        <n v="4770.0"/>
        <n v="1007.0"/>
        <n v="3698.0"/>
        <n v="126.0"/>
        <n v="32.0"/>
        <n v="121.0"/>
        <n v="5098.0"/>
        <n v="3934.0"/>
        <n v="4817.0"/>
        <n v="12541.0"/>
        <n v="17373.0"/>
        <n v="10052.0"/>
        <n v="26081.0"/>
        <n v="74047.0"/>
        <n v="7573.0"/>
        <n v="10.0"/>
        <n v="4935.0"/>
        <n v="9874.0"/>
        <n v="15566.0"/>
        <n v="3476.0"/>
        <n v="803.0"/>
        <n v="613.0"/>
        <n v="235.0"/>
        <n v="1459.0"/>
        <n v="8242.0"/>
        <n v="3473.0"/>
        <n v="1195.0"/>
        <n v="30215.0"/>
        <n v="9822.0"/>
        <n v="9546.0"/>
        <n v="19509.0"/>
        <n v="21047.0"/>
        <n v="38120.0"/>
        <n v="551.0"/>
        <n v="2705.0"/>
        <n v="8428.0"/>
        <n v="1233.0"/>
        <n v="8701.0"/>
        <n v="4344.0"/>
        <n v="13054.0"/>
        <n v="3127.0"/>
        <n v="1559.0"/>
        <n v="10849.0"/>
        <n v="2039.0"/>
        <n v="8349.0"/>
        <n v="13.0"/>
        <n v="8123.0"/>
        <n v="12500.0"/>
        <n v="8059.0"/>
        <n v="11881.0"/>
        <n v="267.0"/>
        <n v="2639.0"/>
        <n v="1329.0"/>
        <n v="195.0"/>
        <n v="2435.0"/>
        <n v="2072.0"/>
        <n v="1863.0"/>
        <n v="347.0"/>
        <n v="1157.0"/>
        <n v="193.0"/>
        <n v="154.0"/>
        <n v="77.0"/>
        <n v="39.0"/>
        <n v="14626.0"/>
        <n v="11628.0"/>
        <n v="7924.0"/>
        <n v="21949.0"/>
        <n v="6565.0"/>
        <n v="19705.0"/>
        <n v="129.0"/>
        <n v="7119.0"/>
        <n v="6029.0"/>
        <n v="33.0"/>
        <n v="1534.0"/>
        <n v="24.0"/>
        <n v="2052.0"/>
        <n v="6107.0"/>
        <n v="5415.0"/>
        <n v="5446.0"/>
        <n v="7915.0"/>
        <n v="904.0"/>
        <n v="9824.0"/>
        <n v="2776.0"/>
        <n v="386.0"/>
        <n v="733.0"/>
        <n v="1542.0"/>
        <n v="1002.0"/>
        <n v="2699.0"/>
        <n v="5101.0"/>
        <n v="4139.0"/>
        <n v="2289.0"/>
        <n v="230.0"/>
        <n v="524.0"/>
        <n v="821.0"/>
        <n v="8256.0"/>
        <n v="416.0"/>
        <n v="14514.0"/>
        <n v="1848.0"/>
        <n v="3154.0"/>
        <n v="505.0"/>
        <n v="2755.0"/>
        <n v="159.0"/>
        <n v="2693.0"/>
        <n v="1011.0"/>
        <n v="2294.0"/>
        <n v="3256.0"/>
        <n v="1687.0"/>
        <n v="437.0"/>
        <n v="4408.0"/>
        <n v="17954.0"/>
        <n v="2872.0"/>
        <n v="694.0"/>
        <n v="1388.0"/>
        <n v="356.0"/>
        <n v="2196.0"/>
        <n v="978.0"/>
        <n v="2587.0"/>
        <n v="986.0"/>
        <n v="2022.0"/>
        <n v="3408.0"/>
        <n v="1725.0"/>
        <n v="7186.0"/>
        <n v="6166.0"/>
        <n v="864.0"/>
        <n v="755.0"/>
        <n v="167.0"/>
        <n v="183.0"/>
        <n v="5779.0"/>
        <n v="2115.0"/>
        <n v="1181.0"/>
        <n v="595.0"/>
        <n v="1868.0"/>
        <n v="1413.0"/>
        <n v="148.0"/>
        <n v="1670.0"/>
        <n v="15771.0"/>
        <n v="817.0"/>
        <n v="4071.0"/>
        <n v="6253.0"/>
        <n v="1789.0"/>
        <n v="1545.0"/>
        <n v="5165.0"/>
        <n v="1878.0"/>
        <n v="1686.0"/>
        <n v="4262.0"/>
        <n v="23338.0"/>
        <n v="9551.0"/>
        <n v="2713.0"/>
        <n v="6926.0"/>
        <n v="575.0"/>
        <n v="940.0"/>
        <n v="2290.0"/>
        <n v="2091.0"/>
        <n v="290.0"/>
        <n v="585.0"/>
        <n v="62175.0"/>
        <n v="6577.0"/>
        <n v="1145.0"/>
        <n v="6692.0"/>
        <n v="171.0"/>
        <n v="14957.0"/>
        <n v="16006.0"/>
        <n v="3970.0"/>
        <n v="1968.0"/>
        <n v="2522.0"/>
        <n v="17272.0"/>
        <n v="16578.0"/>
        <n v="1928.0"/>
        <n v="4241.0"/>
        <n v="16869.0"/>
        <n v="205.0"/>
        <n v="1913.0"/>
        <n v="3308.0"/>
        <n v="30364.0"/>
        <n v="25409.0"/>
        <n v="26778.0"/>
        <n v="606.0"/>
        <n v="20.0"/>
        <n v="4078.0"/>
        <n v="46846.0"/>
        <n v="1048.0"/>
        <n v="7513.0"/>
        <n v="704.0"/>
        <n v="28957.0"/>
        <n v="12124.0"/>
        <n v="4495.0"/>
        <n v="141.0"/>
        <n v="371.0"/>
        <n v="7852.0"/>
        <n v="4271.0"/>
        <n v="1788.0"/>
        <n v="9709.0"/>
        <n v="2612.0"/>
        <n v="9686.0"/>
        <n v="1464.0"/>
        <n v="198.0"/>
        <n v="3350.0"/>
        <n v="4289.0"/>
        <n v="494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_manufacturers" cacheId="0" dataCaption="" compact="0" compactData="0">
  <location ref="A1:M37" firstHeaderRow="0" firstDataRow="2" firstDataCol="0"/>
  <pivotFields>
    <pivotField name=" " axis="axisRow" compact="0" outline="0" multipleItemSelectionAllowed="1" showAll="0" sortType="ascending">
      <items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t="default"/>
      </items>
    </pivotField>
    <pivotField name="J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Feb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Ma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name="Ap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  <pivotField name="May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Jun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</pivotField>
    <pivotField name="Jul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name="Aug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ep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name="Oct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Nov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t="default"/>
      </items>
    </pivotField>
    <pivotField name="Dec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</pivotField>
  </pivotFields>
  <rowFields>
    <field x="0"/>
  </rowFields>
  <colFields>
    <field x="-2"/>
  </colFields>
  <dataFields>
    <dataField name="SUM of Jan" fld="2" baseField="0"/>
    <dataField name="SUM of Feb" fld="3" baseField="0"/>
    <dataField name="SUM of Mar" fld="4" baseField="0"/>
    <dataField name="SUM of Apr" fld="5" baseField="0"/>
    <dataField name="SUM of May" fld="6" baseField="0"/>
    <dataField name="SUM of Jun" fld="7" baseField="0"/>
    <dataField name="SUM of Jul" fld="8" baseField="0"/>
    <dataField name="SUM of Aug" fld="9" baseField="0"/>
    <dataField name="SUM of Sep" fld="10" baseField="0"/>
    <dataField name="SUM of Oct" fld="11" baseField="0"/>
    <dataField name="SUM of Nov" fld="12" baseField="0"/>
    <dataField name="SUM of Dec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tr">
        <f>IFERROR(__xludf.DUMMYFUNCTION("IMPORTHTML(""https://www.goodcarbadcar.net/2020-us-vehicle-sales-figures-by-model/"",""table"",1)
"),"Model")</f>
        <v>Model</v>
      </c>
      <c r="C1" s="2" t="str">
        <f>IFERROR(__xludf.DUMMYFUNCTION("""COMPUTED_VALUE"""),"Jan")</f>
        <v>Jan</v>
      </c>
      <c r="D1" s="2" t="str">
        <f>IFERROR(__xludf.DUMMYFUNCTION("""COMPUTED_VALUE"""),"Feb")</f>
        <v>Feb</v>
      </c>
      <c r="E1" s="2" t="str">
        <f>IFERROR(__xludf.DUMMYFUNCTION("""COMPUTED_VALUE"""),"Mar")</f>
        <v>Mar</v>
      </c>
      <c r="F1" s="2" t="str">
        <f>IFERROR(__xludf.DUMMYFUNCTION("""COMPUTED_VALUE"""),"Apr")</f>
        <v>Apr</v>
      </c>
      <c r="G1" s="2" t="str">
        <f>IFERROR(__xludf.DUMMYFUNCTION("""COMPUTED_VALUE"""),"May")</f>
        <v>May</v>
      </c>
      <c r="H1" s="2" t="str">
        <f>IFERROR(__xludf.DUMMYFUNCTION("""COMPUTED_VALUE"""),"Jun")</f>
        <v>Jun</v>
      </c>
      <c r="I1" s="2" t="str">
        <f>IFERROR(__xludf.DUMMYFUNCTION("""COMPUTED_VALUE"""),"Jul")</f>
        <v>Jul</v>
      </c>
      <c r="J1" s="2" t="str">
        <f>IFERROR(__xludf.DUMMYFUNCTION("""COMPUTED_VALUE"""),"Aug")</f>
        <v>Aug</v>
      </c>
      <c r="K1" s="2" t="str">
        <f>IFERROR(__xludf.DUMMYFUNCTION("""COMPUTED_VALUE"""),"Sep")</f>
        <v>Sep</v>
      </c>
      <c r="L1" s="2" t="str">
        <f>IFERROR(__xludf.DUMMYFUNCTION("""COMPUTED_VALUE"""),"Oct")</f>
        <v>Oct</v>
      </c>
      <c r="M1" s="2" t="str">
        <f>IFERROR(__xludf.DUMMYFUNCTION("""COMPUTED_VALUE"""),"Nov")</f>
        <v>Nov</v>
      </c>
      <c r="N1" s="2" t="str">
        <f>IFERROR(__xludf.DUMMYFUNCTION("""COMPUTED_VALUE"""),"Dec")</f>
        <v>Dec</v>
      </c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1" t="str">
        <f>IFERROR(__xludf.DUMMYFUNCTION("""COMPUTED_VALUE"""),"Acura ILX")</f>
        <v>Acura ILX</v>
      </c>
      <c r="C2" s="1">
        <f>IFERROR(__xludf.DUMMYFUNCTION("""COMPUTED_VALUE"""),935.0)</f>
        <v>935</v>
      </c>
      <c r="D2" s="4">
        <f>IFERROR(__xludf.DUMMYFUNCTION("""COMPUTED_VALUE"""),1083.0)</f>
        <v>1083</v>
      </c>
      <c r="E2" s="1">
        <f>IFERROR(__xludf.DUMMYFUNCTION("""COMPUTED_VALUE"""),723.0)</f>
        <v>723</v>
      </c>
      <c r="F2" s="1">
        <f>IFERROR(__xludf.DUMMYFUNCTION("""COMPUTED_VALUE"""),506.0)</f>
        <v>506</v>
      </c>
      <c r="G2" s="4">
        <f>IFERROR(__xludf.DUMMYFUNCTION("""COMPUTED_VALUE"""),1039.0)</f>
        <v>1039</v>
      </c>
      <c r="H2" s="4">
        <f>IFERROR(__xludf.DUMMYFUNCTION("""COMPUTED_VALUE"""),1109.0)</f>
        <v>1109</v>
      </c>
      <c r="I2" s="4">
        <f>IFERROR(__xludf.DUMMYFUNCTION("""COMPUTED_VALUE"""),1230.0)</f>
        <v>1230</v>
      </c>
      <c r="J2" s="4">
        <f>IFERROR(__xludf.DUMMYFUNCTION("""COMPUTED_VALUE"""),1331.0)</f>
        <v>1331</v>
      </c>
      <c r="K2" s="4">
        <f>IFERROR(__xludf.DUMMYFUNCTION("""COMPUTED_VALUE"""),1377.0)</f>
        <v>1377</v>
      </c>
      <c r="L2" s="4">
        <f>IFERROR(__xludf.DUMMYFUNCTION("""COMPUTED_VALUE"""),1523.0)</f>
        <v>1523</v>
      </c>
      <c r="M2" s="4">
        <f>IFERROR(__xludf.DUMMYFUNCTION("""COMPUTED_VALUE"""),1141.0)</f>
        <v>1141</v>
      </c>
      <c r="N2" s="4">
        <f>IFERROR(__xludf.DUMMYFUNCTION("""COMPUTED_VALUE"""),1417.0)</f>
        <v>1417</v>
      </c>
    </row>
    <row r="3">
      <c r="A3" s="1" t="str">
        <f>vlookup(B3:B306,split_names!A2:B913,2,0)</f>
        <v>Acura</v>
      </c>
      <c r="B3" s="1" t="str">
        <f>IFERROR(__xludf.DUMMYFUNCTION("""COMPUTED_VALUE"""),"Acura MDX")</f>
        <v>Acura MDX</v>
      </c>
      <c r="C3" s="4">
        <f>IFERROR(__xludf.DUMMYFUNCTION("""COMPUTED_VALUE"""),2961.0)</f>
        <v>2961</v>
      </c>
      <c r="D3" s="4">
        <f>IFERROR(__xludf.DUMMYFUNCTION("""COMPUTED_VALUE"""),3843.0)</f>
        <v>3843</v>
      </c>
      <c r="E3" s="4">
        <f>IFERROR(__xludf.DUMMYFUNCTION("""COMPUTED_VALUE"""),2137.0)</f>
        <v>2137</v>
      </c>
      <c r="F3" s="4">
        <f>IFERROR(__xludf.DUMMYFUNCTION("""COMPUTED_VALUE"""),1725.0)</f>
        <v>1725</v>
      </c>
      <c r="G3" s="4">
        <f>IFERROR(__xludf.DUMMYFUNCTION("""COMPUTED_VALUE"""),3331.0)</f>
        <v>3331</v>
      </c>
      <c r="H3" s="4">
        <f>IFERROR(__xludf.DUMMYFUNCTION("""COMPUTED_VALUE"""),3977.0)</f>
        <v>3977</v>
      </c>
      <c r="I3" s="4">
        <f>IFERROR(__xludf.DUMMYFUNCTION("""COMPUTED_VALUE"""),4494.0)</f>
        <v>4494</v>
      </c>
      <c r="J3" s="4">
        <f>IFERROR(__xludf.DUMMYFUNCTION("""COMPUTED_VALUE"""),5165.0)</f>
        <v>5165</v>
      </c>
      <c r="K3" s="4">
        <f>IFERROR(__xludf.DUMMYFUNCTION("""COMPUTED_VALUE"""),4920.0)</f>
        <v>4920</v>
      </c>
      <c r="L3" s="4">
        <f>IFERROR(__xludf.DUMMYFUNCTION("""COMPUTED_VALUE"""),4732.0)</f>
        <v>4732</v>
      </c>
      <c r="M3" s="4">
        <f>IFERROR(__xludf.DUMMYFUNCTION("""COMPUTED_VALUE"""),4491.0)</f>
        <v>4491</v>
      </c>
      <c r="N3" s="4">
        <f>IFERROR(__xludf.DUMMYFUNCTION("""COMPUTED_VALUE"""),6040.0)</f>
        <v>6040</v>
      </c>
    </row>
    <row r="4">
      <c r="A4" s="1" t="str">
        <f>vlookup(B4:B307,split_names!A3:B914,2,0)</f>
        <v>Acura</v>
      </c>
      <c r="B4" s="1" t="str">
        <f>IFERROR(__xludf.DUMMYFUNCTION("""COMPUTED_VALUE"""),"Acura NSX")</f>
        <v>Acura NSX</v>
      </c>
      <c r="C4" s="1">
        <f>IFERROR(__xludf.DUMMYFUNCTION("""COMPUTED_VALUE"""),9.0)</f>
        <v>9</v>
      </c>
      <c r="D4" s="1">
        <f>IFERROR(__xludf.DUMMYFUNCTION("""COMPUTED_VALUE"""),9.0)</f>
        <v>9</v>
      </c>
      <c r="E4" s="1">
        <f>IFERROR(__xludf.DUMMYFUNCTION("""COMPUTED_VALUE"""),16.0)</f>
        <v>16</v>
      </c>
      <c r="F4" s="1">
        <f>IFERROR(__xludf.DUMMYFUNCTION("""COMPUTED_VALUE"""),5.0)</f>
        <v>5</v>
      </c>
      <c r="G4" s="1">
        <f>IFERROR(__xludf.DUMMYFUNCTION("""COMPUTED_VALUE"""),6.0)</f>
        <v>6</v>
      </c>
      <c r="H4" s="1">
        <f>IFERROR(__xludf.DUMMYFUNCTION("""COMPUTED_VALUE"""),10.0)</f>
        <v>10</v>
      </c>
      <c r="I4" s="1">
        <f>IFERROR(__xludf.DUMMYFUNCTION("""COMPUTED_VALUE"""),15.0)</f>
        <v>15</v>
      </c>
      <c r="J4" s="1">
        <f>IFERROR(__xludf.DUMMYFUNCTION("""COMPUTED_VALUE"""),3.0)</f>
        <v>3</v>
      </c>
      <c r="K4" s="1">
        <f>IFERROR(__xludf.DUMMYFUNCTION("""COMPUTED_VALUE"""),10.0)</f>
        <v>10</v>
      </c>
      <c r="L4" s="1">
        <f>IFERROR(__xludf.DUMMYFUNCTION("""COMPUTED_VALUE"""),22.0)</f>
        <v>22</v>
      </c>
      <c r="M4" s="1">
        <f>IFERROR(__xludf.DUMMYFUNCTION("""COMPUTED_VALUE"""),9.0)</f>
        <v>9</v>
      </c>
      <c r="N4" s="1">
        <f>IFERROR(__xludf.DUMMYFUNCTION("""COMPUTED_VALUE"""),14.0)</f>
        <v>14</v>
      </c>
    </row>
    <row r="5">
      <c r="A5" s="1" t="str">
        <f>vlookup(B5:B308,split_names!A4:B915,2,0)</f>
        <v>Acura</v>
      </c>
      <c r="B5" s="1" t="str">
        <f>IFERROR(__xludf.DUMMYFUNCTION("""COMPUTED_VALUE"""),"Acura RDX")</f>
        <v>Acura RDX</v>
      </c>
      <c r="C5" s="4">
        <f>IFERROR(__xludf.DUMMYFUNCTION("""COMPUTED_VALUE"""),3493.0)</f>
        <v>3493</v>
      </c>
      <c r="D5" s="4">
        <f>IFERROR(__xludf.DUMMYFUNCTION("""COMPUTED_VALUE"""),4982.0)</f>
        <v>4982</v>
      </c>
      <c r="E5" s="4">
        <f>IFERROR(__xludf.DUMMYFUNCTION("""COMPUTED_VALUE"""),2678.0)</f>
        <v>2678</v>
      </c>
      <c r="F5" s="4">
        <f>IFERROR(__xludf.DUMMYFUNCTION("""COMPUTED_VALUE"""),1760.0)</f>
        <v>1760</v>
      </c>
      <c r="G5" s="4">
        <f>IFERROR(__xludf.DUMMYFUNCTION("""COMPUTED_VALUE"""),4427.0)</f>
        <v>4427</v>
      </c>
      <c r="H5" s="4">
        <f>IFERROR(__xludf.DUMMYFUNCTION("""COMPUTED_VALUE"""),5410.0)</f>
        <v>5410</v>
      </c>
      <c r="I5" s="4">
        <f>IFERROR(__xludf.DUMMYFUNCTION("""COMPUTED_VALUE"""),5317.0)</f>
        <v>5317</v>
      </c>
      <c r="J5" s="4">
        <f>IFERROR(__xludf.DUMMYFUNCTION("""COMPUTED_VALUE"""),5057.0)</f>
        <v>5057</v>
      </c>
      <c r="K5" s="4">
        <f>IFERROR(__xludf.DUMMYFUNCTION("""COMPUTED_VALUE"""),4664.0)</f>
        <v>4664</v>
      </c>
      <c r="L5" s="4">
        <f>IFERROR(__xludf.DUMMYFUNCTION("""COMPUTED_VALUE"""),5022.0)</f>
        <v>5022</v>
      </c>
      <c r="M5" s="4">
        <f>IFERROR(__xludf.DUMMYFUNCTION("""COMPUTED_VALUE"""),4155.0)</f>
        <v>4155</v>
      </c>
      <c r="N5" s="4">
        <f>IFERROR(__xludf.DUMMYFUNCTION("""COMPUTED_VALUE"""),5820.0)</f>
        <v>5820</v>
      </c>
    </row>
    <row r="6">
      <c r="A6" s="1" t="str">
        <f>vlookup(B6:B309,split_names!A5:B916,2,0)</f>
        <v>Acura</v>
      </c>
      <c r="B6" s="1" t="str">
        <f>IFERROR(__xludf.DUMMYFUNCTION("""COMPUTED_VALUE"""),"Acura RLX")</f>
        <v>Acura RLX</v>
      </c>
      <c r="C6" s="1">
        <f>IFERROR(__xludf.DUMMYFUNCTION("""COMPUTED_VALUE"""),63.0)</f>
        <v>63</v>
      </c>
      <c r="D6" s="1">
        <f>IFERROR(__xludf.DUMMYFUNCTION("""COMPUTED_VALUE"""),84.0)</f>
        <v>84</v>
      </c>
      <c r="E6" s="1">
        <f>IFERROR(__xludf.DUMMYFUNCTION("""COMPUTED_VALUE"""),31.0)</f>
        <v>31</v>
      </c>
      <c r="F6" s="1">
        <f>IFERROR(__xludf.DUMMYFUNCTION("""COMPUTED_VALUE"""),26.0)</f>
        <v>26</v>
      </c>
      <c r="G6" s="1">
        <f>IFERROR(__xludf.DUMMYFUNCTION("""COMPUTED_VALUE"""),71.0)</f>
        <v>71</v>
      </c>
      <c r="H6" s="1">
        <f>IFERROR(__xludf.DUMMYFUNCTION("""COMPUTED_VALUE"""),126.0)</f>
        <v>126</v>
      </c>
      <c r="I6" s="1">
        <f>IFERROR(__xludf.DUMMYFUNCTION("""COMPUTED_VALUE"""),134.0)</f>
        <v>134</v>
      </c>
      <c r="J6" s="1">
        <f>IFERROR(__xludf.DUMMYFUNCTION("""COMPUTED_VALUE"""),118.0)</f>
        <v>118</v>
      </c>
      <c r="K6" s="1">
        <f>IFERROR(__xludf.DUMMYFUNCTION("""COMPUTED_VALUE"""),122.0)</f>
        <v>122</v>
      </c>
      <c r="L6" s="1">
        <f>IFERROR(__xludf.DUMMYFUNCTION("""COMPUTED_VALUE"""),126.0)</f>
        <v>126</v>
      </c>
      <c r="M6" s="1">
        <f>IFERROR(__xludf.DUMMYFUNCTION("""COMPUTED_VALUE"""),81.0)</f>
        <v>81</v>
      </c>
      <c r="N6" s="1">
        <f>IFERROR(__xludf.DUMMYFUNCTION("""COMPUTED_VALUE"""),72.0)</f>
        <v>72</v>
      </c>
    </row>
    <row r="7">
      <c r="A7" s="1" t="str">
        <f>vlookup(B7:B310,split_names!A6:B917,2,0)</f>
        <v>Acura</v>
      </c>
      <c r="B7" s="1" t="str">
        <f>IFERROR(__xludf.DUMMYFUNCTION("""COMPUTED_VALUE"""),"Acura TLX")</f>
        <v>Acura TLX</v>
      </c>
      <c r="C7" s="4">
        <f>IFERROR(__xludf.DUMMYFUNCTION("""COMPUTED_VALUE"""),1769.0)</f>
        <v>1769</v>
      </c>
      <c r="D7" s="4">
        <f>IFERROR(__xludf.DUMMYFUNCTION("""COMPUTED_VALUE"""),2263.0)</f>
        <v>2263</v>
      </c>
      <c r="E7" s="4">
        <f>IFERROR(__xludf.DUMMYFUNCTION("""COMPUTED_VALUE"""),1452.0)</f>
        <v>1452</v>
      </c>
      <c r="F7" s="4">
        <f>IFERROR(__xludf.DUMMYFUNCTION("""COMPUTED_VALUE"""),1024.0)</f>
        <v>1024</v>
      </c>
      <c r="G7" s="4">
        <f>IFERROR(__xludf.DUMMYFUNCTION("""COMPUTED_VALUE"""),1467.0)</f>
        <v>1467</v>
      </c>
      <c r="H7" s="4">
        <f>IFERROR(__xludf.DUMMYFUNCTION("""COMPUTED_VALUE"""),1439.0)</f>
        <v>1439</v>
      </c>
      <c r="I7" s="4">
        <f>IFERROR(__xludf.DUMMYFUNCTION("""COMPUTED_VALUE"""),1886.0)</f>
        <v>1886</v>
      </c>
      <c r="J7" s="4">
        <f>IFERROR(__xludf.DUMMYFUNCTION("""COMPUTED_VALUE"""),1973.0)</f>
        <v>1973</v>
      </c>
      <c r="K7" s="4">
        <f>IFERROR(__xludf.DUMMYFUNCTION("""COMPUTED_VALUE"""),1848.0)</f>
        <v>1848</v>
      </c>
      <c r="L7" s="4">
        <f>IFERROR(__xludf.DUMMYFUNCTION("""COMPUTED_VALUE"""),2365.0)</f>
        <v>2365</v>
      </c>
      <c r="M7" s="4">
        <f>IFERROR(__xludf.DUMMYFUNCTION("""COMPUTED_VALUE"""),2014.0)</f>
        <v>2014</v>
      </c>
      <c r="N7" s="4">
        <f>IFERROR(__xludf.DUMMYFUNCTION("""COMPUTED_VALUE"""),2285.0)</f>
        <v>2285</v>
      </c>
    </row>
    <row r="8">
      <c r="A8" s="1" t="str">
        <f>vlookup(B8:B311,split_names!A7:B918,2,0)</f>
        <v>Alfa</v>
      </c>
      <c r="B8" s="1" t="str">
        <f>IFERROR(__xludf.DUMMYFUNCTION("""COMPUTED_VALUE"""),"Alfa Romeo 4C")</f>
        <v>Alfa Romeo 4C</v>
      </c>
      <c r="C8" s="1">
        <f>IFERROR(__xludf.DUMMYFUNCTION("""COMPUTED_VALUE"""),10.0)</f>
        <v>10</v>
      </c>
      <c r="D8" s="1">
        <f>IFERROR(__xludf.DUMMYFUNCTION("""COMPUTED_VALUE"""),13.0)</f>
        <v>13</v>
      </c>
      <c r="E8" s="1">
        <f>IFERROR(__xludf.DUMMYFUNCTION("""COMPUTED_VALUE"""),8.0)</f>
        <v>8</v>
      </c>
      <c r="F8" s="1">
        <f>IFERROR(__xludf.DUMMYFUNCTION("""COMPUTED_VALUE"""),7.0)</f>
        <v>7</v>
      </c>
      <c r="G8" s="1">
        <f>IFERROR(__xludf.DUMMYFUNCTION("""COMPUTED_VALUE"""),16.0)</f>
        <v>16</v>
      </c>
      <c r="H8" s="1">
        <f>IFERROR(__xludf.DUMMYFUNCTION("""COMPUTED_VALUE"""),17.0)</f>
        <v>17</v>
      </c>
      <c r="I8" s="1">
        <f>IFERROR(__xludf.DUMMYFUNCTION("""COMPUTED_VALUE"""),7.0)</f>
        <v>7</v>
      </c>
      <c r="J8" s="1">
        <f>IFERROR(__xludf.DUMMYFUNCTION("""COMPUTED_VALUE"""),7.0)</f>
        <v>7</v>
      </c>
      <c r="K8" s="1">
        <f>IFERROR(__xludf.DUMMYFUNCTION("""COMPUTED_VALUE"""),7.0)</f>
        <v>7</v>
      </c>
      <c r="L8" s="1">
        <f>IFERROR(__xludf.DUMMYFUNCTION("""COMPUTED_VALUE"""),2.0)</f>
        <v>2</v>
      </c>
      <c r="M8" s="1">
        <f>IFERROR(__xludf.DUMMYFUNCTION("""COMPUTED_VALUE"""),2.0)</f>
        <v>2</v>
      </c>
      <c r="N8" s="1">
        <f>IFERROR(__xludf.DUMMYFUNCTION("""COMPUTED_VALUE"""),3.0)</f>
        <v>3</v>
      </c>
    </row>
    <row r="9">
      <c r="A9" s="1" t="str">
        <f>vlookup(B9:B312,split_names!A8:B919,2,0)</f>
        <v>Alfa</v>
      </c>
      <c r="B9" s="1" t="str">
        <f>IFERROR(__xludf.DUMMYFUNCTION("""COMPUTED_VALUE"""),"Alfa Romeo Giulia")</f>
        <v>Alfa Romeo Giulia</v>
      </c>
      <c r="C9" s="1">
        <f>IFERROR(__xludf.DUMMYFUNCTION("""COMPUTED_VALUE"""),571.0)</f>
        <v>571</v>
      </c>
      <c r="D9" s="1">
        <f>IFERROR(__xludf.DUMMYFUNCTION("""COMPUTED_VALUE"""),740.0)</f>
        <v>740</v>
      </c>
      <c r="E9" s="1">
        <f>IFERROR(__xludf.DUMMYFUNCTION("""COMPUTED_VALUE"""),448.0)</f>
        <v>448</v>
      </c>
      <c r="F9" s="1">
        <f>IFERROR(__xludf.DUMMYFUNCTION("""COMPUTED_VALUE"""),305.0)</f>
        <v>305</v>
      </c>
      <c r="G9" s="1">
        <f>IFERROR(__xludf.DUMMYFUNCTION("""COMPUTED_VALUE"""),677.0)</f>
        <v>677</v>
      </c>
      <c r="H9" s="1">
        <f>IFERROR(__xludf.DUMMYFUNCTION("""COMPUTED_VALUE"""),711.0)</f>
        <v>711</v>
      </c>
      <c r="I9" s="1">
        <f>IFERROR(__xludf.DUMMYFUNCTION("""COMPUTED_VALUE"""),769.0)</f>
        <v>769</v>
      </c>
      <c r="J9" s="1">
        <f>IFERROR(__xludf.DUMMYFUNCTION("""COMPUTED_VALUE"""),683.0)</f>
        <v>683</v>
      </c>
      <c r="K9" s="1">
        <f>IFERROR(__xludf.DUMMYFUNCTION("""COMPUTED_VALUE"""),740.0)</f>
        <v>740</v>
      </c>
      <c r="L9" s="1">
        <f>IFERROR(__xludf.DUMMYFUNCTION("""COMPUTED_VALUE"""),864.0)</f>
        <v>864</v>
      </c>
      <c r="M9" s="1">
        <f>IFERROR(__xludf.DUMMYFUNCTION("""COMPUTED_VALUE"""),709.0)</f>
        <v>709</v>
      </c>
      <c r="N9" s="1">
        <f>IFERROR(__xludf.DUMMYFUNCTION("""COMPUTED_VALUE"""),987.0)</f>
        <v>987</v>
      </c>
    </row>
    <row r="10">
      <c r="A10" s="1" t="str">
        <f>vlookup(B10:B313,split_names!A9:B920,2,0)</f>
        <v>Alfa</v>
      </c>
      <c r="B10" s="1" t="str">
        <f>IFERROR(__xludf.DUMMYFUNCTION("""COMPUTED_VALUE"""),"Alfa Romeo Stelvio")</f>
        <v>Alfa Romeo Stelvio</v>
      </c>
      <c r="C10" s="1">
        <f>IFERROR(__xludf.DUMMYFUNCTION("""COMPUTED_VALUE"""),621.0)</f>
        <v>621</v>
      </c>
      <c r="D10" s="1">
        <f>IFERROR(__xludf.DUMMYFUNCTION("""COMPUTED_VALUE"""),804.0)</f>
        <v>804</v>
      </c>
      <c r="E10" s="1">
        <f>IFERROR(__xludf.DUMMYFUNCTION("""COMPUTED_VALUE"""),487.0)</f>
        <v>487</v>
      </c>
      <c r="F10" s="1">
        <f>IFERROR(__xludf.DUMMYFUNCTION("""COMPUTED_VALUE"""),360.0)</f>
        <v>360</v>
      </c>
      <c r="G10" s="1">
        <f>IFERROR(__xludf.DUMMYFUNCTION("""COMPUTED_VALUE"""),801.0)</f>
        <v>801</v>
      </c>
      <c r="H10" s="1">
        <f>IFERROR(__xludf.DUMMYFUNCTION("""COMPUTED_VALUE"""),841.0)</f>
        <v>841</v>
      </c>
      <c r="I10" s="1">
        <f>IFERROR(__xludf.DUMMYFUNCTION("""COMPUTED_VALUE"""),997.0)</f>
        <v>997</v>
      </c>
      <c r="J10" s="1">
        <f>IFERROR(__xludf.DUMMYFUNCTION("""COMPUTED_VALUE"""),886.0)</f>
        <v>886</v>
      </c>
      <c r="K10" s="1">
        <f>IFERROR(__xludf.DUMMYFUNCTION("""COMPUTED_VALUE"""),960.0)</f>
        <v>960</v>
      </c>
      <c r="L10" s="4">
        <f>IFERROR(__xludf.DUMMYFUNCTION("""COMPUTED_VALUE"""),1189.0)</f>
        <v>1189</v>
      </c>
      <c r="M10" s="1">
        <f>IFERROR(__xludf.DUMMYFUNCTION("""COMPUTED_VALUE"""),977.0)</f>
        <v>977</v>
      </c>
      <c r="N10" s="4">
        <f>IFERROR(__xludf.DUMMYFUNCTION("""COMPUTED_VALUE"""),1359.0)</f>
        <v>1359</v>
      </c>
    </row>
    <row r="11">
      <c r="A11" s="1" t="str">
        <f>vlookup(B11:B314,split_names!A10:B921,2,0)</f>
        <v>Audi</v>
      </c>
      <c r="B11" s="1" t="str">
        <f>IFERROR(__xludf.DUMMYFUNCTION("""COMPUTED_VALUE"""),"Audi A3")</f>
        <v>Audi A3</v>
      </c>
      <c r="C11" s="1">
        <f>IFERROR(__xludf.DUMMYFUNCTION("""COMPUTED_VALUE"""),727.0)</f>
        <v>727</v>
      </c>
      <c r="D11" s="1">
        <f>IFERROR(__xludf.DUMMYFUNCTION("""COMPUTED_VALUE"""),941.0)</f>
        <v>941</v>
      </c>
      <c r="E11" s="1">
        <f>IFERROR(__xludf.DUMMYFUNCTION("""COMPUTED_VALUE"""),570.0)</f>
        <v>570</v>
      </c>
      <c r="F11" s="1">
        <f>IFERROR(__xludf.DUMMYFUNCTION("""COMPUTED_VALUE"""),342.0)</f>
        <v>342</v>
      </c>
      <c r="G11" s="1">
        <f>IFERROR(__xludf.DUMMYFUNCTION("""COMPUTED_VALUE"""),761.0)</f>
        <v>761</v>
      </c>
      <c r="H11" s="1">
        <f>IFERROR(__xludf.DUMMYFUNCTION("""COMPUTED_VALUE"""),799.0)</f>
        <v>799</v>
      </c>
      <c r="I11" s="1">
        <f>IFERROR(__xludf.DUMMYFUNCTION("""COMPUTED_VALUE"""),896.0)</f>
        <v>896</v>
      </c>
      <c r="J11" s="1">
        <f>IFERROR(__xludf.DUMMYFUNCTION("""COMPUTED_VALUE"""),796.0)</f>
        <v>796</v>
      </c>
      <c r="K11" s="1">
        <f>IFERROR(__xludf.DUMMYFUNCTION("""COMPUTED_VALUE"""),863.0)</f>
        <v>863</v>
      </c>
      <c r="L11" s="4">
        <f>IFERROR(__xludf.DUMMYFUNCTION("""COMPUTED_VALUE"""),1094.0)</f>
        <v>1094</v>
      </c>
      <c r="M11" s="1">
        <f>IFERROR(__xludf.DUMMYFUNCTION("""COMPUTED_VALUE"""),899.0)</f>
        <v>899</v>
      </c>
      <c r="N11" s="4">
        <f>IFERROR(__xludf.DUMMYFUNCTION("""COMPUTED_VALUE"""),1250.0)</f>
        <v>1250</v>
      </c>
    </row>
    <row r="12">
      <c r="A12" s="1" t="str">
        <f>vlookup(B12:B315,split_names!A11:B922,2,0)</f>
        <v>Audi</v>
      </c>
      <c r="B12" s="1" t="str">
        <f>IFERROR(__xludf.DUMMYFUNCTION("""COMPUTED_VALUE"""),"Audi A4")</f>
        <v>Audi A4</v>
      </c>
      <c r="C12" s="4">
        <f>IFERROR(__xludf.DUMMYFUNCTION("""COMPUTED_VALUE"""),1283.0)</f>
        <v>1283</v>
      </c>
      <c r="D12" s="4">
        <f>IFERROR(__xludf.DUMMYFUNCTION("""COMPUTED_VALUE"""),1661.0)</f>
        <v>1661</v>
      </c>
      <c r="E12" s="4">
        <f>IFERROR(__xludf.DUMMYFUNCTION("""COMPUTED_VALUE"""),1006.0)</f>
        <v>1006</v>
      </c>
      <c r="F12" s="1">
        <f>IFERROR(__xludf.DUMMYFUNCTION("""COMPUTED_VALUE"""),795.0)</f>
        <v>795</v>
      </c>
      <c r="G12" s="4">
        <f>IFERROR(__xludf.DUMMYFUNCTION("""COMPUTED_VALUE"""),1766.0)</f>
        <v>1766</v>
      </c>
      <c r="H12" s="4">
        <f>IFERROR(__xludf.DUMMYFUNCTION("""COMPUTED_VALUE"""),1854.0)</f>
        <v>1854</v>
      </c>
      <c r="I12" s="4">
        <f>IFERROR(__xludf.DUMMYFUNCTION("""COMPUTED_VALUE"""),2089.0)</f>
        <v>2089</v>
      </c>
      <c r="J12" s="4">
        <f>IFERROR(__xludf.DUMMYFUNCTION("""COMPUTED_VALUE"""),1857.0)</f>
        <v>1857</v>
      </c>
      <c r="K12" s="4">
        <f>IFERROR(__xludf.DUMMYFUNCTION("""COMPUTED_VALUE"""),2012.0)</f>
        <v>2012</v>
      </c>
      <c r="L12" s="4">
        <f>IFERROR(__xludf.DUMMYFUNCTION("""COMPUTED_VALUE"""),1356.0)</f>
        <v>1356</v>
      </c>
      <c r="M12" s="4">
        <f>IFERROR(__xludf.DUMMYFUNCTION("""COMPUTED_VALUE"""),1114.0)</f>
        <v>1114</v>
      </c>
      <c r="N12" s="4">
        <f>IFERROR(__xludf.DUMMYFUNCTION("""COMPUTED_VALUE"""),1549.0)</f>
        <v>1549</v>
      </c>
    </row>
    <row r="13">
      <c r="A13" s="1" t="str">
        <f>vlookup(B13:B316,split_names!A12:B923,2,0)</f>
        <v>Audi</v>
      </c>
      <c r="B13" s="1" t="str">
        <f>IFERROR(__xludf.DUMMYFUNCTION("""COMPUTED_VALUE"""),"Audi A5")</f>
        <v>Audi A5</v>
      </c>
      <c r="C13" s="4">
        <f>IFERROR(__xludf.DUMMYFUNCTION("""COMPUTED_VALUE"""),1728.0)</f>
        <v>1728</v>
      </c>
      <c r="D13" s="4">
        <f>IFERROR(__xludf.DUMMYFUNCTION("""COMPUTED_VALUE"""),2237.0)</f>
        <v>2237</v>
      </c>
      <c r="E13" s="4">
        <f>IFERROR(__xludf.DUMMYFUNCTION("""COMPUTED_VALUE"""),1355.0)</f>
        <v>1355</v>
      </c>
      <c r="F13" s="1">
        <f>IFERROR(__xludf.DUMMYFUNCTION("""COMPUTED_VALUE"""),898.0)</f>
        <v>898</v>
      </c>
      <c r="G13" s="4">
        <f>IFERROR(__xludf.DUMMYFUNCTION("""COMPUTED_VALUE"""),1996.0)</f>
        <v>1996</v>
      </c>
      <c r="H13" s="4">
        <f>IFERROR(__xludf.DUMMYFUNCTION("""COMPUTED_VALUE"""),2096.0)</f>
        <v>2096</v>
      </c>
      <c r="I13" s="4">
        <f>IFERROR(__xludf.DUMMYFUNCTION("""COMPUTED_VALUE"""),1304.0)</f>
        <v>1304</v>
      </c>
      <c r="J13" s="4">
        <f>IFERROR(__xludf.DUMMYFUNCTION("""COMPUTED_VALUE"""),1159.0)</f>
        <v>1159</v>
      </c>
      <c r="K13" s="4">
        <f>IFERROR(__xludf.DUMMYFUNCTION("""COMPUTED_VALUE"""),1255.0)</f>
        <v>1255</v>
      </c>
      <c r="L13" s="4">
        <f>IFERROR(__xludf.DUMMYFUNCTION("""COMPUTED_VALUE"""),1619.0)</f>
        <v>1619</v>
      </c>
      <c r="M13" s="4">
        <f>IFERROR(__xludf.DUMMYFUNCTION("""COMPUTED_VALUE"""),1330.0)</f>
        <v>1330</v>
      </c>
      <c r="N13" s="4">
        <f>IFERROR(__xludf.DUMMYFUNCTION("""COMPUTED_VALUE"""),1850.0)</f>
        <v>1850</v>
      </c>
    </row>
    <row r="14">
      <c r="A14" s="1" t="str">
        <f>vlookup(B14:B317,split_names!A13:B924,2,0)</f>
        <v>Audi</v>
      </c>
      <c r="B14" s="1" t="str">
        <f>IFERROR(__xludf.DUMMYFUNCTION("""COMPUTED_VALUE"""),"Audi A6")</f>
        <v>Audi A6</v>
      </c>
      <c r="C14" s="1">
        <f>IFERROR(__xludf.DUMMYFUNCTION("""COMPUTED_VALUE"""),809.0)</f>
        <v>809</v>
      </c>
      <c r="D14" s="4">
        <f>IFERROR(__xludf.DUMMYFUNCTION("""COMPUTED_VALUE"""),1048.0)</f>
        <v>1048</v>
      </c>
      <c r="E14" s="1">
        <f>IFERROR(__xludf.DUMMYFUNCTION("""COMPUTED_VALUE"""),635.0)</f>
        <v>635</v>
      </c>
      <c r="F14" s="1">
        <f>IFERROR(__xludf.DUMMYFUNCTION("""COMPUTED_VALUE"""),374.0)</f>
        <v>374</v>
      </c>
      <c r="G14" s="1">
        <f>IFERROR(__xludf.DUMMYFUNCTION("""COMPUTED_VALUE"""),830.0)</f>
        <v>830</v>
      </c>
      <c r="H14" s="1">
        <f>IFERROR(__xludf.DUMMYFUNCTION("""COMPUTED_VALUE"""),872.0)</f>
        <v>872</v>
      </c>
      <c r="I14" s="4">
        <f>IFERROR(__xludf.DUMMYFUNCTION("""COMPUTED_VALUE"""),1216.0)</f>
        <v>1216</v>
      </c>
      <c r="J14" s="4">
        <f>IFERROR(__xludf.DUMMYFUNCTION("""COMPUTED_VALUE"""),1081.0)</f>
        <v>1081</v>
      </c>
      <c r="K14" s="4">
        <f>IFERROR(__xludf.DUMMYFUNCTION("""COMPUTED_VALUE"""),1171.0)</f>
        <v>1171</v>
      </c>
      <c r="L14" s="1">
        <f>IFERROR(__xludf.DUMMYFUNCTION("""COMPUTED_VALUE"""),843.0)</f>
        <v>843</v>
      </c>
      <c r="M14" s="1">
        <f>IFERROR(__xludf.DUMMYFUNCTION("""COMPUTED_VALUE"""),693.0)</f>
        <v>693</v>
      </c>
      <c r="N14" s="1">
        <f>IFERROR(__xludf.DUMMYFUNCTION("""COMPUTED_VALUE"""),964.0)</f>
        <v>964</v>
      </c>
    </row>
    <row r="15">
      <c r="A15" s="1" t="str">
        <f>vlookup(B15:B318,split_names!A14:B925,2,0)</f>
        <v>Audi</v>
      </c>
      <c r="B15" s="1" t="str">
        <f>IFERROR(__xludf.DUMMYFUNCTION("""COMPUTED_VALUE"""),"Audi A7")</f>
        <v>Audi A7</v>
      </c>
      <c r="C15" s="1">
        <f>IFERROR(__xludf.DUMMYFUNCTION("""COMPUTED_VALUE"""),211.0)</f>
        <v>211</v>
      </c>
      <c r="D15" s="1">
        <f>IFERROR(__xludf.DUMMYFUNCTION("""COMPUTED_VALUE"""),273.0)</f>
        <v>273</v>
      </c>
      <c r="E15" s="1">
        <f>IFERROR(__xludf.DUMMYFUNCTION("""COMPUTED_VALUE"""),165.0)</f>
        <v>165</v>
      </c>
      <c r="F15" s="1">
        <f>IFERROR(__xludf.DUMMYFUNCTION("""COMPUTED_VALUE"""),107.0)</f>
        <v>107</v>
      </c>
      <c r="G15" s="1">
        <f>IFERROR(__xludf.DUMMYFUNCTION("""COMPUTED_VALUE"""),238.0)</f>
        <v>238</v>
      </c>
      <c r="H15" s="1">
        <f>IFERROR(__xludf.DUMMYFUNCTION("""COMPUTED_VALUE"""),250.0)</f>
        <v>250</v>
      </c>
      <c r="I15" s="1">
        <f>IFERROR(__xludf.DUMMYFUNCTION("""COMPUTED_VALUE"""),263.0)</f>
        <v>263</v>
      </c>
      <c r="J15" s="1">
        <f>IFERROR(__xludf.DUMMYFUNCTION("""COMPUTED_VALUE"""),233.0)</f>
        <v>233</v>
      </c>
      <c r="K15" s="1">
        <f>IFERROR(__xludf.DUMMYFUNCTION("""COMPUTED_VALUE"""),253.0)</f>
        <v>253</v>
      </c>
      <c r="L15" s="1">
        <f>IFERROR(__xludf.DUMMYFUNCTION("""COMPUTED_VALUE"""),292.0)</f>
        <v>292</v>
      </c>
      <c r="M15" s="1">
        <f>IFERROR(__xludf.DUMMYFUNCTION("""COMPUTED_VALUE"""),240.0)</f>
        <v>240</v>
      </c>
      <c r="N15" s="1">
        <f>IFERROR(__xludf.DUMMYFUNCTION("""COMPUTED_VALUE"""),334.0)</f>
        <v>334</v>
      </c>
    </row>
    <row r="16">
      <c r="A16" s="1" t="str">
        <f>vlookup(B16:B319,split_names!A15:B926,2,0)</f>
        <v>Audi</v>
      </c>
      <c r="B16" s="1" t="str">
        <f>IFERROR(__xludf.DUMMYFUNCTION("""COMPUTED_VALUE"""),"Audi A8")</f>
        <v>Audi A8</v>
      </c>
      <c r="C16" s="1">
        <f>IFERROR(__xludf.DUMMYFUNCTION("""COMPUTED_VALUE"""),180.0)</f>
        <v>180</v>
      </c>
      <c r="D16" s="1">
        <f>IFERROR(__xludf.DUMMYFUNCTION("""COMPUTED_VALUE"""),233.0)</f>
        <v>233</v>
      </c>
      <c r="E16" s="1">
        <f>IFERROR(__xludf.DUMMYFUNCTION("""COMPUTED_VALUE"""),141.0)</f>
        <v>141</v>
      </c>
      <c r="F16" s="1">
        <f>IFERROR(__xludf.DUMMYFUNCTION("""COMPUTED_VALUE"""),83.0)</f>
        <v>83</v>
      </c>
      <c r="G16" s="1">
        <f>IFERROR(__xludf.DUMMYFUNCTION("""COMPUTED_VALUE"""),185.0)</f>
        <v>185</v>
      </c>
      <c r="H16" s="1">
        <f>IFERROR(__xludf.DUMMYFUNCTION("""COMPUTED_VALUE"""),194.0)</f>
        <v>194</v>
      </c>
      <c r="I16" s="1">
        <f>IFERROR(__xludf.DUMMYFUNCTION("""COMPUTED_VALUE"""),230.0)</f>
        <v>230</v>
      </c>
      <c r="J16" s="1">
        <f>IFERROR(__xludf.DUMMYFUNCTION("""COMPUTED_VALUE"""),204.0)</f>
        <v>204</v>
      </c>
      <c r="K16" s="1">
        <f>IFERROR(__xludf.DUMMYFUNCTION("""COMPUTED_VALUE"""),222.0)</f>
        <v>222</v>
      </c>
      <c r="L16" s="1">
        <f>IFERROR(__xludf.DUMMYFUNCTION("""COMPUTED_VALUE"""),237.0)</f>
        <v>237</v>
      </c>
      <c r="M16" s="1">
        <f>IFERROR(__xludf.DUMMYFUNCTION("""COMPUTED_VALUE"""),195.0)</f>
        <v>195</v>
      </c>
      <c r="N16" s="1">
        <f>IFERROR(__xludf.DUMMYFUNCTION("""COMPUTED_VALUE"""),271.0)</f>
        <v>271</v>
      </c>
    </row>
    <row r="17">
      <c r="A17" s="1" t="str">
        <f>vlookup(B17:B320,split_names!A16:B927,2,0)</f>
        <v>Audi</v>
      </c>
      <c r="B17" s="1" t="str">
        <f>IFERROR(__xludf.DUMMYFUNCTION("""COMPUTED_VALUE"""),"Audi eTron")</f>
        <v>Audi eTron</v>
      </c>
      <c r="C17" s="1">
        <f>IFERROR(__xludf.DUMMYFUNCTION("""COMPUTED_VALUE"""),556.0)</f>
        <v>556</v>
      </c>
      <c r="D17" s="1">
        <f>IFERROR(__xludf.DUMMYFUNCTION("""COMPUTED_VALUE"""),719.0)</f>
        <v>719</v>
      </c>
      <c r="E17" s="1">
        <f>IFERROR(__xludf.DUMMYFUNCTION("""COMPUTED_VALUE"""),436.0)</f>
        <v>436</v>
      </c>
      <c r="F17" s="1">
        <f>IFERROR(__xludf.DUMMYFUNCTION("""COMPUTED_VALUE"""),209.0)</f>
        <v>209</v>
      </c>
      <c r="G17" s="1">
        <f>IFERROR(__xludf.DUMMYFUNCTION("""COMPUTED_VALUE"""),464.0)</f>
        <v>464</v>
      </c>
      <c r="H17" s="1">
        <f>IFERROR(__xludf.DUMMYFUNCTION("""COMPUTED_VALUE"""),488.0)</f>
        <v>488</v>
      </c>
      <c r="I17" s="1">
        <f>IFERROR(__xludf.DUMMYFUNCTION("""COMPUTED_VALUE"""),805.0)</f>
        <v>805</v>
      </c>
      <c r="J17" s="1">
        <f>IFERROR(__xludf.DUMMYFUNCTION("""COMPUTED_VALUE"""),716.0)</f>
        <v>716</v>
      </c>
      <c r="K17" s="1">
        <f>IFERROR(__xludf.DUMMYFUNCTION("""COMPUTED_VALUE"""),775.0)</f>
        <v>775</v>
      </c>
      <c r="L17" s="1">
        <f>IFERROR(__xludf.DUMMYFUNCTION("""COMPUTED_VALUE"""),686.0)</f>
        <v>686</v>
      </c>
      <c r="M17" s="1">
        <f>IFERROR(__xludf.DUMMYFUNCTION("""COMPUTED_VALUE"""),564.0)</f>
        <v>564</v>
      </c>
      <c r="N17" s="1">
        <f>IFERROR(__xludf.DUMMYFUNCTION("""COMPUTED_VALUE"""),784.0)</f>
        <v>784</v>
      </c>
    </row>
    <row r="18">
      <c r="A18" s="1" t="str">
        <f>vlookup(B18:B321,split_names!A17:B928,2,0)</f>
        <v>Audi</v>
      </c>
      <c r="B18" s="1" t="str">
        <f>IFERROR(__xludf.DUMMYFUNCTION("""COMPUTED_VALUE"""),"Audi Q3")</f>
        <v>Audi Q3</v>
      </c>
      <c r="C18" s="4">
        <f>IFERROR(__xludf.DUMMYFUNCTION("""COMPUTED_VALUE"""),1805.0)</f>
        <v>1805</v>
      </c>
      <c r="D18" s="4">
        <f>IFERROR(__xludf.DUMMYFUNCTION("""COMPUTED_VALUE"""),2336.0)</f>
        <v>2336</v>
      </c>
      <c r="E18" s="4">
        <f>IFERROR(__xludf.DUMMYFUNCTION("""COMPUTED_VALUE"""),1415.0)</f>
        <v>1415</v>
      </c>
      <c r="F18" s="1">
        <f>IFERROR(__xludf.DUMMYFUNCTION("""COMPUTED_VALUE"""),794.0)</f>
        <v>794</v>
      </c>
      <c r="G18" s="4">
        <f>IFERROR(__xludf.DUMMYFUNCTION("""COMPUTED_VALUE"""),1764.0)</f>
        <v>1764</v>
      </c>
      <c r="H18" s="4">
        <f>IFERROR(__xludf.DUMMYFUNCTION("""COMPUTED_VALUE"""),1853.0)</f>
        <v>1853</v>
      </c>
      <c r="I18" s="4">
        <f>IFERROR(__xludf.DUMMYFUNCTION("""COMPUTED_VALUE"""),2571.0)</f>
        <v>2571</v>
      </c>
      <c r="J18" s="4">
        <f>IFERROR(__xludf.DUMMYFUNCTION("""COMPUTED_VALUE"""),2286.0)</f>
        <v>2286</v>
      </c>
      <c r="K18" s="4">
        <f>IFERROR(__xludf.DUMMYFUNCTION("""COMPUTED_VALUE"""),2476.0)</f>
        <v>2476</v>
      </c>
      <c r="L18" s="4">
        <f>IFERROR(__xludf.DUMMYFUNCTION("""COMPUTED_VALUE"""),3357.0)</f>
        <v>3357</v>
      </c>
      <c r="M18" s="4">
        <f>IFERROR(__xludf.DUMMYFUNCTION("""COMPUTED_VALUE"""),2758.0)</f>
        <v>2758</v>
      </c>
      <c r="N18" s="4">
        <f>IFERROR(__xludf.DUMMYFUNCTION("""COMPUTED_VALUE"""),3837.0)</f>
        <v>3837</v>
      </c>
    </row>
    <row r="19">
      <c r="A19" s="1" t="str">
        <f>vlookup(B19:B322,split_names!A18:B929,2,0)</f>
        <v>Audi</v>
      </c>
      <c r="B19" s="1" t="str">
        <f>IFERROR(__xludf.DUMMYFUNCTION("""COMPUTED_VALUE"""),"Audi Q5")</f>
        <v>Audi Q5</v>
      </c>
      <c r="C19" s="4">
        <f>IFERROR(__xludf.DUMMYFUNCTION("""COMPUTED_VALUE"""),3235.0)</f>
        <v>3235</v>
      </c>
      <c r="D19" s="4">
        <f>IFERROR(__xludf.DUMMYFUNCTION("""COMPUTED_VALUE"""),4188.0)</f>
        <v>4188</v>
      </c>
      <c r="E19" s="4">
        <f>IFERROR(__xludf.DUMMYFUNCTION("""COMPUTED_VALUE"""),2537.0)</f>
        <v>2537</v>
      </c>
      <c r="F19" s="4">
        <f>IFERROR(__xludf.DUMMYFUNCTION("""COMPUTED_VALUE"""),1453.0)</f>
        <v>1453</v>
      </c>
      <c r="G19" s="4">
        <f>IFERROR(__xludf.DUMMYFUNCTION("""COMPUTED_VALUE"""),3229.0)</f>
        <v>3229</v>
      </c>
      <c r="H19" s="4">
        <f>IFERROR(__xludf.DUMMYFUNCTION("""COMPUTED_VALUE"""),3390.0)</f>
        <v>3390</v>
      </c>
      <c r="I19" s="4">
        <f>IFERROR(__xludf.DUMMYFUNCTION("""COMPUTED_VALUE"""),3976.0)</f>
        <v>3976</v>
      </c>
      <c r="J19" s="4">
        <f>IFERROR(__xludf.DUMMYFUNCTION("""COMPUTED_VALUE"""),3534.0)</f>
        <v>3534</v>
      </c>
      <c r="K19" s="4">
        <f>IFERROR(__xludf.DUMMYFUNCTION("""COMPUTED_VALUE"""),3829.0)</f>
        <v>3829</v>
      </c>
      <c r="L19" s="4">
        <f>IFERROR(__xludf.DUMMYFUNCTION("""COMPUTED_VALUE"""),7106.0)</f>
        <v>7106</v>
      </c>
      <c r="M19" s="4">
        <f>IFERROR(__xludf.DUMMYFUNCTION("""COMPUTED_VALUE"""),5837.0)</f>
        <v>5837</v>
      </c>
      <c r="N19" s="4">
        <f>IFERROR(__xludf.DUMMYFUNCTION("""COMPUTED_VALUE"""),8121.0)</f>
        <v>8121</v>
      </c>
    </row>
    <row r="20">
      <c r="A20" s="1" t="str">
        <f>vlookup(B20:B323,split_names!A19:B930,2,0)</f>
        <v>Audi</v>
      </c>
      <c r="B20" s="1" t="str">
        <f>IFERROR(__xludf.DUMMYFUNCTION("""COMPUTED_VALUE"""),"Audi Q7")</f>
        <v>Audi Q7</v>
      </c>
      <c r="C20" s="4">
        <f>IFERROR(__xludf.DUMMYFUNCTION("""COMPUTED_VALUE"""),2024.0)</f>
        <v>2024</v>
      </c>
      <c r="D20" s="4">
        <f>IFERROR(__xludf.DUMMYFUNCTION("""COMPUTED_VALUE"""),2621.0)</f>
        <v>2621</v>
      </c>
      <c r="E20" s="4">
        <f>IFERROR(__xludf.DUMMYFUNCTION("""COMPUTED_VALUE"""),1587.0)</f>
        <v>1587</v>
      </c>
      <c r="F20" s="1">
        <f>IFERROR(__xludf.DUMMYFUNCTION("""COMPUTED_VALUE"""),795.0)</f>
        <v>795</v>
      </c>
      <c r="G20" s="4">
        <f>IFERROR(__xludf.DUMMYFUNCTION("""COMPUTED_VALUE"""),1767.0)</f>
        <v>1767</v>
      </c>
      <c r="H20" s="4">
        <f>IFERROR(__xludf.DUMMYFUNCTION("""COMPUTED_VALUE"""),1856.0)</f>
        <v>1856</v>
      </c>
      <c r="I20" s="4">
        <f>IFERROR(__xludf.DUMMYFUNCTION("""COMPUTED_VALUE"""),2151.0)</f>
        <v>2151</v>
      </c>
      <c r="J20" s="4">
        <f>IFERROR(__xludf.DUMMYFUNCTION("""COMPUTED_VALUE"""),1912.0)</f>
        <v>1912</v>
      </c>
      <c r="K20" s="4">
        <f>IFERROR(__xludf.DUMMYFUNCTION("""COMPUTED_VALUE"""),2071.0)</f>
        <v>2071</v>
      </c>
      <c r="L20" s="4">
        <f>IFERROR(__xludf.DUMMYFUNCTION("""COMPUTED_VALUE"""),2897.0)</f>
        <v>2897</v>
      </c>
      <c r="M20" s="4">
        <f>IFERROR(__xludf.DUMMYFUNCTION("""COMPUTED_VALUE"""),2380.0)</f>
        <v>2380</v>
      </c>
      <c r="N20" s="4">
        <f>IFERROR(__xludf.DUMMYFUNCTION("""COMPUTED_VALUE"""),3311.0)</f>
        <v>3311</v>
      </c>
    </row>
    <row r="21">
      <c r="A21" s="1" t="str">
        <f>vlookup(B21:B324,split_names!A20:B931,2,0)</f>
        <v>Audi</v>
      </c>
      <c r="B21" s="1" t="str">
        <f>IFERROR(__xludf.DUMMYFUNCTION("""COMPUTED_VALUE"""),"Audi Q8")</f>
        <v>Audi Q8</v>
      </c>
      <c r="C21" s="1">
        <f>IFERROR(__xludf.DUMMYFUNCTION("""COMPUTED_VALUE"""),791.0)</f>
        <v>791</v>
      </c>
      <c r="D21" s="4">
        <f>IFERROR(__xludf.DUMMYFUNCTION("""COMPUTED_VALUE"""),1024.0)</f>
        <v>1024</v>
      </c>
      <c r="E21" s="1">
        <f>IFERROR(__xludf.DUMMYFUNCTION("""COMPUTED_VALUE"""),620.0)</f>
        <v>620</v>
      </c>
      <c r="F21" s="1">
        <f>IFERROR(__xludf.DUMMYFUNCTION("""COMPUTED_VALUE"""),357.0)</f>
        <v>357</v>
      </c>
      <c r="G21" s="1">
        <f>IFERROR(__xludf.DUMMYFUNCTION("""COMPUTED_VALUE"""),794.0)</f>
        <v>794</v>
      </c>
      <c r="H21" s="1">
        <f>IFERROR(__xludf.DUMMYFUNCTION("""COMPUTED_VALUE"""),834.0)</f>
        <v>834</v>
      </c>
      <c r="I21" s="4">
        <f>IFERROR(__xludf.DUMMYFUNCTION("""COMPUTED_VALUE"""),1142.0)</f>
        <v>1142</v>
      </c>
      <c r="J21" s="4">
        <f>IFERROR(__xludf.DUMMYFUNCTION("""COMPUTED_VALUE"""),1015.0)</f>
        <v>1015</v>
      </c>
      <c r="K21" s="4">
        <f>IFERROR(__xludf.DUMMYFUNCTION("""COMPUTED_VALUE"""),1100.0)</f>
        <v>1100</v>
      </c>
      <c r="L21" s="4">
        <f>IFERROR(__xludf.DUMMYFUNCTION("""COMPUTED_VALUE"""),1483.0)</f>
        <v>1483</v>
      </c>
      <c r="M21" s="4">
        <f>IFERROR(__xludf.DUMMYFUNCTION("""COMPUTED_VALUE"""),1218.0)</f>
        <v>1218</v>
      </c>
      <c r="N21" s="4">
        <f>IFERROR(__xludf.DUMMYFUNCTION("""COMPUTED_VALUE"""),1694.0)</f>
        <v>1694</v>
      </c>
    </row>
    <row r="22">
      <c r="A22" s="1" t="str">
        <f>vlookup(B22:B325,split_names!A21:B932,2,0)</f>
        <v>Audi</v>
      </c>
      <c r="B22" s="1" t="str">
        <f>IFERROR(__xludf.DUMMYFUNCTION("""COMPUTED_VALUE"""),"Audi R8")</f>
        <v>Audi R8</v>
      </c>
      <c r="C22" s="1">
        <f>IFERROR(__xludf.DUMMYFUNCTION("""COMPUTED_VALUE"""),32.0)</f>
        <v>32</v>
      </c>
      <c r="D22" s="1">
        <f>IFERROR(__xludf.DUMMYFUNCTION("""COMPUTED_VALUE"""),41.0)</f>
        <v>41</v>
      </c>
      <c r="E22" s="1">
        <f>IFERROR(__xludf.DUMMYFUNCTION("""COMPUTED_VALUE"""),25.0)</f>
        <v>25</v>
      </c>
      <c r="F22" s="1">
        <f>IFERROR(__xludf.DUMMYFUNCTION("""COMPUTED_VALUE"""),18.0)</f>
        <v>18</v>
      </c>
      <c r="G22" s="1">
        <f>IFERROR(__xludf.DUMMYFUNCTION("""COMPUTED_VALUE"""),41.0)</f>
        <v>41</v>
      </c>
      <c r="H22" s="1">
        <f>IFERROR(__xludf.DUMMYFUNCTION("""COMPUTED_VALUE"""),43.0)</f>
        <v>43</v>
      </c>
      <c r="I22" s="1">
        <f>IFERROR(__xludf.DUMMYFUNCTION("""COMPUTED_VALUE"""),69.0)</f>
        <v>69</v>
      </c>
      <c r="J22" s="1">
        <f>IFERROR(__xludf.DUMMYFUNCTION("""COMPUTED_VALUE"""),61.0)</f>
        <v>61</v>
      </c>
      <c r="K22" s="1">
        <f>IFERROR(__xludf.DUMMYFUNCTION("""COMPUTED_VALUE"""),66.0)</f>
        <v>66</v>
      </c>
      <c r="L22" s="1">
        <f>IFERROR(__xludf.DUMMYFUNCTION("""COMPUTED_VALUE"""),63.0)</f>
        <v>63</v>
      </c>
      <c r="M22" s="1">
        <f>IFERROR(__xludf.DUMMYFUNCTION("""COMPUTED_VALUE"""),52.0)</f>
        <v>52</v>
      </c>
      <c r="N22" s="1">
        <f>IFERROR(__xludf.DUMMYFUNCTION("""COMPUTED_VALUE"""),72.0)</f>
        <v>72</v>
      </c>
    </row>
    <row r="23">
      <c r="A23" s="1" t="str">
        <f>vlookup(B23:B326,split_names!A22:B933,2,0)</f>
        <v>Audi</v>
      </c>
      <c r="B23" s="1" t="str">
        <f>IFERROR(__xludf.DUMMYFUNCTION("""COMPUTED_VALUE"""),"Audi TT")</f>
        <v>Audi TT</v>
      </c>
      <c r="C23" s="1">
        <f>IFERROR(__xludf.DUMMYFUNCTION("""COMPUTED_VALUE"""),57.0)</f>
        <v>57</v>
      </c>
      <c r="D23" s="1">
        <f>IFERROR(__xludf.DUMMYFUNCTION("""COMPUTED_VALUE"""),74.0)</f>
        <v>74</v>
      </c>
      <c r="E23" s="1">
        <f>IFERROR(__xludf.DUMMYFUNCTION("""COMPUTED_VALUE"""),45.0)</f>
        <v>45</v>
      </c>
      <c r="F23" s="1">
        <f>IFERROR(__xludf.DUMMYFUNCTION("""COMPUTED_VALUE"""),45.0)</f>
        <v>45</v>
      </c>
      <c r="G23" s="1">
        <f>IFERROR(__xludf.DUMMYFUNCTION("""COMPUTED_VALUE"""),100.0)</f>
        <v>100</v>
      </c>
      <c r="H23" s="1">
        <f>IFERROR(__xludf.DUMMYFUNCTION("""COMPUTED_VALUE"""),105.0)</f>
        <v>105</v>
      </c>
      <c r="I23" s="1">
        <f>IFERROR(__xludf.DUMMYFUNCTION("""COMPUTED_VALUE"""),83.0)</f>
        <v>83</v>
      </c>
      <c r="J23" s="1">
        <f>IFERROR(__xludf.DUMMYFUNCTION("""COMPUTED_VALUE"""),74.0)</f>
        <v>74</v>
      </c>
      <c r="K23" s="1">
        <f>IFERROR(__xludf.DUMMYFUNCTION("""COMPUTED_VALUE"""),80.0)</f>
        <v>80</v>
      </c>
      <c r="L23" s="1">
        <f>IFERROR(__xludf.DUMMYFUNCTION("""COMPUTED_VALUE"""),57.0)</f>
        <v>57</v>
      </c>
      <c r="M23" s="1">
        <f>IFERROR(__xludf.DUMMYFUNCTION("""COMPUTED_VALUE"""),47.0)</f>
        <v>47</v>
      </c>
      <c r="N23" s="1">
        <f>IFERROR(__xludf.DUMMYFUNCTION("""COMPUTED_VALUE"""),65.0)</f>
        <v>65</v>
      </c>
    </row>
    <row r="24">
      <c r="A24" s="1" t="str">
        <f>vlookup(B24:B327,split_names!A23:B934,2,0)</f>
        <v>BMW</v>
      </c>
      <c r="B24" s="1" t="str">
        <f>IFERROR(__xludf.DUMMYFUNCTION("""COMPUTED_VALUE"""),"BMW 2-Series")</f>
        <v>BMW 2-Series</v>
      </c>
      <c r="C24" s="1">
        <f>IFERROR(__xludf.DUMMYFUNCTION("""COMPUTED_VALUE"""),576.0)</f>
        <v>576</v>
      </c>
      <c r="D24" s="1">
        <f>IFERROR(__xludf.DUMMYFUNCTION("""COMPUTED_VALUE"""),745.0)</f>
        <v>745</v>
      </c>
      <c r="E24" s="1">
        <f>IFERROR(__xludf.DUMMYFUNCTION("""COMPUTED_VALUE"""),451.0)</f>
        <v>451</v>
      </c>
      <c r="F24" s="1">
        <f>IFERROR(__xludf.DUMMYFUNCTION("""COMPUTED_VALUE"""),685.0)</f>
        <v>685</v>
      </c>
      <c r="G24" s="4">
        <f>IFERROR(__xludf.DUMMYFUNCTION("""COMPUTED_VALUE"""),1522.0)</f>
        <v>1522</v>
      </c>
      <c r="H24" s="4">
        <f>IFERROR(__xludf.DUMMYFUNCTION("""COMPUTED_VALUE"""),1598.0)</f>
        <v>1598</v>
      </c>
      <c r="I24" s="4">
        <f>IFERROR(__xludf.DUMMYFUNCTION("""COMPUTED_VALUE"""),1467.0)</f>
        <v>1467</v>
      </c>
      <c r="J24" s="4">
        <f>IFERROR(__xludf.DUMMYFUNCTION("""COMPUTED_VALUE"""),1299.0)</f>
        <v>1299</v>
      </c>
      <c r="K24" s="1">
        <f>IFERROR(__xludf.DUMMYFUNCTION("""COMPUTED_VALUE"""),16.0)</f>
        <v>16</v>
      </c>
      <c r="L24" s="4">
        <f>IFERROR(__xludf.DUMMYFUNCTION("""COMPUTED_VALUE"""),1636.0)</f>
        <v>1636</v>
      </c>
      <c r="M24" s="4">
        <f>IFERROR(__xludf.DUMMYFUNCTION("""COMPUTED_VALUE"""),1344.0)</f>
        <v>1344</v>
      </c>
      <c r="N24" s="4">
        <f>IFERROR(__xludf.DUMMYFUNCTION("""COMPUTED_VALUE"""),1870.0)</f>
        <v>1870</v>
      </c>
    </row>
    <row r="25">
      <c r="A25" s="1" t="str">
        <f>vlookup(B25:B328,split_names!A24:B935,2,0)</f>
        <v>BMW</v>
      </c>
      <c r="B25" s="1" t="str">
        <f>IFERROR(__xludf.DUMMYFUNCTION("""COMPUTED_VALUE"""),"BMW 3-Series")</f>
        <v>BMW 3-Series</v>
      </c>
      <c r="C25" s="4">
        <f>IFERROR(__xludf.DUMMYFUNCTION("""COMPUTED_VALUE"""),3447.0)</f>
        <v>3447</v>
      </c>
      <c r="D25" s="4">
        <f>IFERROR(__xludf.DUMMYFUNCTION("""COMPUTED_VALUE"""),4463.0)</f>
        <v>4463</v>
      </c>
      <c r="E25" s="4">
        <f>IFERROR(__xludf.DUMMYFUNCTION("""COMPUTED_VALUE"""),2703.0)</f>
        <v>2703</v>
      </c>
      <c r="F25" s="4">
        <f>IFERROR(__xludf.DUMMYFUNCTION("""COMPUTED_VALUE"""),1388.0)</f>
        <v>1388</v>
      </c>
      <c r="G25" s="4">
        <f>IFERROR(__xludf.DUMMYFUNCTION("""COMPUTED_VALUE"""),3085.0)</f>
        <v>3085</v>
      </c>
      <c r="H25" s="4">
        <f>IFERROR(__xludf.DUMMYFUNCTION("""COMPUTED_VALUE"""),3239.0)</f>
        <v>3239</v>
      </c>
      <c r="I25" s="4">
        <f>IFERROR(__xludf.DUMMYFUNCTION("""COMPUTED_VALUE"""),3638.0)</f>
        <v>3638</v>
      </c>
      <c r="J25" s="4">
        <f>IFERROR(__xludf.DUMMYFUNCTION("""COMPUTED_VALUE"""),3222.0)</f>
        <v>3222</v>
      </c>
      <c r="K25" s="4">
        <f>IFERROR(__xludf.DUMMYFUNCTION("""COMPUTED_VALUE"""),1383.0)</f>
        <v>1383</v>
      </c>
      <c r="L25" s="4">
        <f>IFERROR(__xludf.DUMMYFUNCTION("""COMPUTED_VALUE"""),4292.0)</f>
        <v>4292</v>
      </c>
      <c r="M25" s="4">
        <f>IFERROR(__xludf.DUMMYFUNCTION("""COMPUTED_VALUE"""),3525.0)</f>
        <v>3525</v>
      </c>
      <c r="N25" s="4">
        <f>IFERROR(__xludf.DUMMYFUNCTION("""COMPUTED_VALUE"""),4905.0)</f>
        <v>4905</v>
      </c>
    </row>
    <row r="26">
      <c r="A26" s="1" t="str">
        <f>vlookup(B26:B329,split_names!A25:B936,2,0)</f>
        <v>BMW</v>
      </c>
      <c r="B26" s="1" t="str">
        <f>IFERROR(__xludf.DUMMYFUNCTION("""COMPUTED_VALUE"""),"BMW 4-Series")</f>
        <v>BMW 4-Series</v>
      </c>
      <c r="C26" s="1">
        <f>IFERROR(__xludf.DUMMYFUNCTION("""COMPUTED_VALUE"""),714.0)</f>
        <v>714</v>
      </c>
      <c r="D26" s="1">
        <f>IFERROR(__xludf.DUMMYFUNCTION("""COMPUTED_VALUE"""),924.0)</f>
        <v>924</v>
      </c>
      <c r="E26" s="1">
        <f>IFERROR(__xludf.DUMMYFUNCTION("""COMPUTED_VALUE"""),560.0)</f>
        <v>560</v>
      </c>
      <c r="F26" s="1">
        <f>IFERROR(__xludf.DUMMYFUNCTION("""COMPUTED_VALUE"""),317.0)</f>
        <v>317</v>
      </c>
      <c r="G26" s="1">
        <f>IFERROR(__xludf.DUMMYFUNCTION("""COMPUTED_VALUE"""),704.0)</f>
        <v>704</v>
      </c>
      <c r="H26" s="1">
        <f>IFERROR(__xludf.DUMMYFUNCTION("""COMPUTED_VALUE"""),739.0)</f>
        <v>739</v>
      </c>
      <c r="I26" s="1">
        <f>IFERROR(__xludf.DUMMYFUNCTION("""COMPUTED_VALUE"""),587.0)</f>
        <v>587</v>
      </c>
      <c r="J26" s="1">
        <f>IFERROR(__xludf.DUMMYFUNCTION("""COMPUTED_VALUE"""),520.0)</f>
        <v>520</v>
      </c>
      <c r="K26" s="4">
        <f>IFERROR(__xludf.DUMMYFUNCTION("""COMPUTED_VALUE"""),3430.0)</f>
        <v>3430</v>
      </c>
      <c r="L26" s="4">
        <f>IFERROR(__xludf.DUMMYFUNCTION("""COMPUTED_VALUE"""),1303.0)</f>
        <v>1303</v>
      </c>
      <c r="M26" s="4">
        <f>IFERROR(__xludf.DUMMYFUNCTION("""COMPUTED_VALUE"""),1070.0)</f>
        <v>1070</v>
      </c>
      <c r="N26" s="4">
        <f>IFERROR(__xludf.DUMMYFUNCTION("""COMPUTED_VALUE"""),1489.0)</f>
        <v>1489</v>
      </c>
    </row>
    <row r="27">
      <c r="A27" s="1" t="str">
        <f>vlookup(B27:B330,split_names!A26:B937,2,0)</f>
        <v>BMW</v>
      </c>
      <c r="B27" s="1" t="str">
        <f>IFERROR(__xludf.DUMMYFUNCTION("""COMPUTED_VALUE"""),"BMW 5-Series")</f>
        <v>BMW 5-Series</v>
      </c>
      <c r="C27" s="4">
        <f>IFERROR(__xludf.DUMMYFUNCTION("""COMPUTED_VALUE"""),1752.0)</f>
        <v>1752</v>
      </c>
      <c r="D27" s="4">
        <f>IFERROR(__xludf.DUMMYFUNCTION("""COMPUTED_VALUE"""),2269.0)</f>
        <v>2269</v>
      </c>
      <c r="E27" s="4">
        <f>IFERROR(__xludf.DUMMYFUNCTION("""COMPUTED_VALUE"""),1374.0)</f>
        <v>1374</v>
      </c>
      <c r="F27" s="1">
        <f>IFERROR(__xludf.DUMMYFUNCTION("""COMPUTED_VALUE"""),889.0)</f>
        <v>889</v>
      </c>
      <c r="G27" s="4">
        <f>IFERROR(__xludf.DUMMYFUNCTION("""COMPUTED_VALUE"""),1976.0)</f>
        <v>1976</v>
      </c>
      <c r="H27" s="4">
        <f>IFERROR(__xludf.DUMMYFUNCTION("""COMPUTED_VALUE"""),2075.0)</f>
        <v>2075</v>
      </c>
      <c r="I27" s="4">
        <f>IFERROR(__xludf.DUMMYFUNCTION("""COMPUTED_VALUE"""),1877.0)</f>
        <v>1877</v>
      </c>
      <c r="J27" s="4">
        <f>IFERROR(__xludf.DUMMYFUNCTION("""COMPUTED_VALUE"""),1663.0)</f>
        <v>1663</v>
      </c>
      <c r="K27" s="1">
        <f>IFERROR(__xludf.DUMMYFUNCTION("""COMPUTED_VALUE"""),553.0)</f>
        <v>553</v>
      </c>
      <c r="L27" s="4">
        <f>IFERROR(__xludf.DUMMYFUNCTION("""COMPUTED_VALUE"""),3740.0)</f>
        <v>3740</v>
      </c>
      <c r="M27" s="4">
        <f>IFERROR(__xludf.DUMMYFUNCTION("""COMPUTED_VALUE"""),3072.0)</f>
        <v>3072</v>
      </c>
      <c r="N27" s="4">
        <f>IFERROR(__xludf.DUMMYFUNCTION("""COMPUTED_VALUE"""),4275.0)</f>
        <v>4275</v>
      </c>
    </row>
    <row r="28">
      <c r="A28" s="1" t="str">
        <f>vlookup(B28:B331,split_names!A27:B938,2,0)</f>
        <v>BMW</v>
      </c>
      <c r="B28" s="1" t="str">
        <f>IFERROR(__xludf.DUMMYFUNCTION("""COMPUTED_VALUE"""),"BMW 6-Series")</f>
        <v>BMW 6-Series</v>
      </c>
      <c r="C28" s="1">
        <f>IFERROR(__xludf.DUMMYFUNCTION("""COMPUTED_VALUE"""),17.0)</f>
        <v>17</v>
      </c>
      <c r="D28" s="1">
        <f>IFERROR(__xludf.DUMMYFUNCTION("""COMPUTED_VALUE"""),22.0)</f>
        <v>22</v>
      </c>
      <c r="E28" s="1">
        <f>IFERROR(__xludf.DUMMYFUNCTION("""COMPUTED_VALUE"""),13.0)</f>
        <v>13</v>
      </c>
      <c r="F28" s="1">
        <f>IFERROR(__xludf.DUMMYFUNCTION("""COMPUTED_VALUE"""),12.0)</f>
        <v>12</v>
      </c>
      <c r="G28" s="1">
        <f>IFERROR(__xludf.DUMMYFUNCTION("""COMPUTED_VALUE"""),26.0)</f>
        <v>26</v>
      </c>
      <c r="H28" s="1">
        <f>IFERROR(__xludf.DUMMYFUNCTION("""COMPUTED_VALUE"""),28.0)</f>
        <v>28</v>
      </c>
      <c r="I28" s="1">
        <f>IFERROR(__xludf.DUMMYFUNCTION("""COMPUTED_VALUE"""),9.0)</f>
        <v>9</v>
      </c>
      <c r="J28" s="1">
        <f>IFERROR(__xludf.DUMMYFUNCTION("""COMPUTED_VALUE"""),8.0)</f>
        <v>8</v>
      </c>
      <c r="K28" s="4">
        <f>IFERROR(__xludf.DUMMYFUNCTION("""COMPUTED_VALUE"""),1770.0)</f>
        <v>1770</v>
      </c>
      <c r="L28" s="1">
        <f>IFERROR(__xludf.DUMMYFUNCTION("""COMPUTED_VALUE"""),19.0)</f>
        <v>19</v>
      </c>
      <c r="M28" s="1">
        <f>IFERROR(__xludf.DUMMYFUNCTION("""COMPUTED_VALUE"""),15.0)</f>
        <v>15</v>
      </c>
      <c r="N28" s="1">
        <f>IFERROR(__xludf.DUMMYFUNCTION("""COMPUTED_VALUE"""),21.0)</f>
        <v>21</v>
      </c>
    </row>
    <row r="29">
      <c r="A29" s="1" t="str">
        <f>vlookup(B29:B332,split_names!A28:B939,2,0)</f>
        <v>BMW</v>
      </c>
      <c r="B29" s="1" t="str">
        <f>IFERROR(__xludf.DUMMYFUNCTION("""COMPUTED_VALUE"""),"BMW 7-Series")</f>
        <v>BMW 7-Series</v>
      </c>
      <c r="C29" s="1">
        <f>IFERROR(__xludf.DUMMYFUNCTION("""COMPUTED_VALUE"""),547.0)</f>
        <v>547</v>
      </c>
      <c r="D29" s="1">
        <f>IFERROR(__xludf.DUMMYFUNCTION("""COMPUTED_VALUE"""),709.0)</f>
        <v>709</v>
      </c>
      <c r="E29" s="1">
        <f>IFERROR(__xludf.DUMMYFUNCTION("""COMPUTED_VALUE"""),429.0)</f>
        <v>429</v>
      </c>
      <c r="F29" s="1">
        <f>IFERROR(__xludf.DUMMYFUNCTION("""COMPUTED_VALUE"""),209.0)</f>
        <v>209</v>
      </c>
      <c r="G29" s="1">
        <f>IFERROR(__xludf.DUMMYFUNCTION("""COMPUTED_VALUE"""),465.0)</f>
        <v>465</v>
      </c>
      <c r="H29" s="1">
        <f>IFERROR(__xludf.DUMMYFUNCTION("""COMPUTED_VALUE"""),488.0)</f>
        <v>488</v>
      </c>
      <c r="I29" s="1">
        <f>IFERROR(__xludf.DUMMYFUNCTION("""COMPUTED_VALUE"""),479.0)</f>
        <v>479</v>
      </c>
      <c r="J29" s="1">
        <f>IFERROR(__xludf.DUMMYFUNCTION("""COMPUTED_VALUE"""),424.0)</f>
        <v>424</v>
      </c>
      <c r="K29" s="1">
        <f>IFERROR(__xludf.DUMMYFUNCTION("""COMPUTED_VALUE"""),9.0)</f>
        <v>9</v>
      </c>
      <c r="L29" s="1">
        <f>IFERROR(__xludf.DUMMYFUNCTION("""COMPUTED_VALUE"""),751.0)</f>
        <v>751</v>
      </c>
      <c r="M29" s="1">
        <f>IFERROR(__xludf.DUMMYFUNCTION("""COMPUTED_VALUE"""),617.0)</f>
        <v>617</v>
      </c>
      <c r="N29" s="1">
        <f>IFERROR(__xludf.DUMMYFUNCTION("""COMPUTED_VALUE"""),858.0)</f>
        <v>858</v>
      </c>
    </row>
    <row r="30">
      <c r="A30" s="1" t="str">
        <f>vlookup(B30:B333,split_names!A29:B940,2,0)</f>
        <v>BMW</v>
      </c>
      <c r="B30" s="1" t="str">
        <f>IFERROR(__xludf.DUMMYFUNCTION("""COMPUTED_VALUE"""),"BMW 8-Series")</f>
        <v>BMW 8-Series</v>
      </c>
      <c r="C30" s="1">
        <f>IFERROR(__xludf.DUMMYFUNCTION("""COMPUTED_VALUE"""),550.0)</f>
        <v>550</v>
      </c>
      <c r="D30" s="1">
        <f>IFERROR(__xludf.DUMMYFUNCTION("""COMPUTED_VALUE"""),712.0)</f>
        <v>712</v>
      </c>
      <c r="E30" s="1">
        <f>IFERROR(__xludf.DUMMYFUNCTION("""COMPUTED_VALUE"""),431.0)</f>
        <v>431</v>
      </c>
      <c r="F30" s="1">
        <f>IFERROR(__xludf.DUMMYFUNCTION("""COMPUTED_VALUE"""),314.0)</f>
        <v>314</v>
      </c>
      <c r="G30" s="1">
        <f>IFERROR(__xludf.DUMMYFUNCTION("""COMPUTED_VALUE"""),699.0)</f>
        <v>699</v>
      </c>
      <c r="H30" s="1">
        <f>IFERROR(__xludf.DUMMYFUNCTION("""COMPUTED_VALUE"""),734.0)</f>
        <v>734</v>
      </c>
      <c r="I30" s="1">
        <f>IFERROR(__xludf.DUMMYFUNCTION("""COMPUTED_VALUE"""),742.0)</f>
        <v>742</v>
      </c>
      <c r="J30" s="1">
        <f>IFERROR(__xludf.DUMMYFUNCTION("""COMPUTED_VALUE"""),657.0)</f>
        <v>657</v>
      </c>
      <c r="K30" s="1">
        <f>IFERROR(__xludf.DUMMYFUNCTION("""COMPUTED_VALUE"""),699.0)</f>
        <v>699</v>
      </c>
      <c r="L30" s="1">
        <f>IFERROR(__xludf.DUMMYFUNCTION("""COMPUTED_VALUE"""),734.0)</f>
        <v>734</v>
      </c>
      <c r="M30" s="1">
        <f>IFERROR(__xludf.DUMMYFUNCTION("""COMPUTED_VALUE"""),603.0)</f>
        <v>603</v>
      </c>
      <c r="N30" s="1">
        <f>IFERROR(__xludf.DUMMYFUNCTION("""COMPUTED_VALUE"""),839.0)</f>
        <v>839</v>
      </c>
    </row>
    <row r="31">
      <c r="A31" s="1" t="str">
        <f>vlookup(B31:B334,split_names!A30:B941,2,0)</f>
        <v>BMW</v>
      </c>
      <c r="B31" s="1" t="str">
        <f>IFERROR(__xludf.DUMMYFUNCTION("""COMPUTED_VALUE"""),"BMW i3")</f>
        <v>BMW i3</v>
      </c>
      <c r="C31" s="1">
        <f>IFERROR(__xludf.DUMMYFUNCTION("""COMPUTED_VALUE"""),21.0)</f>
        <v>21</v>
      </c>
      <c r="D31" s="1">
        <f>IFERROR(__xludf.DUMMYFUNCTION("""COMPUTED_VALUE"""),27.0)</f>
        <v>27</v>
      </c>
      <c r="E31" s="1">
        <f>IFERROR(__xludf.DUMMYFUNCTION("""COMPUTED_VALUE"""),16.0)</f>
        <v>16</v>
      </c>
      <c r="F31" s="1">
        <f>IFERROR(__xludf.DUMMYFUNCTION("""COMPUTED_VALUE"""),34.0)</f>
        <v>34</v>
      </c>
      <c r="G31" s="1">
        <f>IFERROR(__xludf.DUMMYFUNCTION("""COMPUTED_VALUE"""),75.0)</f>
        <v>75</v>
      </c>
      <c r="H31" s="1">
        <f>IFERROR(__xludf.DUMMYFUNCTION("""COMPUTED_VALUE"""),79.0)</f>
        <v>79</v>
      </c>
      <c r="I31" s="1">
        <f>IFERROR(__xludf.DUMMYFUNCTION("""COMPUTED_VALUE"""),216.0)</f>
        <v>216</v>
      </c>
      <c r="J31" s="1">
        <f>IFERROR(__xludf.DUMMYFUNCTION("""COMPUTED_VALUE"""),191.0)</f>
        <v>191</v>
      </c>
      <c r="K31" s="1">
        <f>IFERROR(__xludf.DUMMYFUNCTION("""COMPUTED_VALUE"""),203.0)</f>
        <v>203</v>
      </c>
      <c r="L31" s="1">
        <f>IFERROR(__xludf.DUMMYFUNCTION("""COMPUTED_VALUE"""),216.0)</f>
        <v>216</v>
      </c>
      <c r="M31" s="1">
        <f>IFERROR(__xludf.DUMMYFUNCTION("""COMPUTED_VALUE"""),177.0)</f>
        <v>177</v>
      </c>
      <c r="N31" s="1">
        <f>IFERROR(__xludf.DUMMYFUNCTION("""COMPUTED_VALUE"""),247.0)</f>
        <v>247</v>
      </c>
    </row>
    <row r="32">
      <c r="A32" s="1" t="str">
        <f>vlookup(B32:B335,split_names!A31:B942,2,0)</f>
        <v>BMW</v>
      </c>
      <c r="B32" s="1" t="str">
        <f>IFERROR(__xludf.DUMMYFUNCTION("""COMPUTED_VALUE"""),"BMW i8")</f>
        <v>BMW i8</v>
      </c>
      <c r="C32" s="1">
        <f>IFERROR(__xludf.DUMMYFUNCTION("""COMPUTED_VALUE"""),21.0)</f>
        <v>21</v>
      </c>
      <c r="D32" s="1">
        <f>IFERROR(__xludf.DUMMYFUNCTION("""COMPUTED_VALUE"""),28.0)</f>
        <v>28</v>
      </c>
      <c r="E32" s="1">
        <f>IFERROR(__xludf.DUMMYFUNCTION("""COMPUTED_VALUE"""),17.0)</f>
        <v>17</v>
      </c>
      <c r="F32" s="1">
        <f>IFERROR(__xludf.DUMMYFUNCTION("""COMPUTED_VALUE"""),9.0)</f>
        <v>9</v>
      </c>
      <c r="G32" s="1">
        <f>IFERROR(__xludf.DUMMYFUNCTION("""COMPUTED_VALUE"""),20.0)</f>
        <v>20</v>
      </c>
      <c r="H32" s="1">
        <f>IFERROR(__xludf.DUMMYFUNCTION("""COMPUTED_VALUE"""),21.0)</f>
        <v>21</v>
      </c>
      <c r="I32" s="1">
        <f>IFERROR(__xludf.DUMMYFUNCTION("""COMPUTED_VALUE"""),17.0)</f>
        <v>17</v>
      </c>
      <c r="J32" s="1">
        <f>IFERROR(__xludf.DUMMYFUNCTION("""COMPUTED_VALUE"""),15.0)</f>
        <v>15</v>
      </c>
      <c r="K32" s="1">
        <f>IFERROR(__xludf.DUMMYFUNCTION("""COMPUTED_VALUE"""),16.0)</f>
        <v>16</v>
      </c>
      <c r="L32" s="1">
        <f>IFERROR(__xludf.DUMMYFUNCTION("""COMPUTED_VALUE"""),9.0)</f>
        <v>9</v>
      </c>
      <c r="M32" s="1">
        <f>IFERROR(__xludf.DUMMYFUNCTION("""COMPUTED_VALUE"""),8.0)</f>
        <v>8</v>
      </c>
      <c r="N32" s="1">
        <f>IFERROR(__xludf.DUMMYFUNCTION("""COMPUTED_VALUE"""),11.0)</f>
        <v>11</v>
      </c>
    </row>
    <row r="33">
      <c r="A33" s="1" t="str">
        <f>vlookup(B33:B336,split_names!A32:B943,2,0)</f>
        <v>BMW</v>
      </c>
      <c r="B33" s="1" t="str">
        <f>IFERROR(__xludf.DUMMYFUNCTION("""COMPUTED_VALUE"""),"BMW X1")</f>
        <v>BMW X1</v>
      </c>
      <c r="C33" s="4">
        <f>IFERROR(__xludf.DUMMYFUNCTION("""COMPUTED_VALUE"""),1342.0)</f>
        <v>1342</v>
      </c>
      <c r="D33" s="4">
        <f>IFERROR(__xludf.DUMMYFUNCTION("""COMPUTED_VALUE"""),1738.0)</f>
        <v>1738</v>
      </c>
      <c r="E33" s="4">
        <f>IFERROR(__xludf.DUMMYFUNCTION("""COMPUTED_VALUE"""),1053.0)</f>
        <v>1053</v>
      </c>
      <c r="F33" s="1">
        <f>IFERROR(__xludf.DUMMYFUNCTION("""COMPUTED_VALUE"""),415.0)</f>
        <v>415</v>
      </c>
      <c r="G33" s="1">
        <f>IFERROR(__xludf.DUMMYFUNCTION("""COMPUTED_VALUE"""),923.0)</f>
        <v>923</v>
      </c>
      <c r="H33" s="1">
        <f>IFERROR(__xludf.DUMMYFUNCTION("""COMPUTED_VALUE"""),969.0)</f>
        <v>969</v>
      </c>
      <c r="I33" s="4">
        <f>IFERROR(__xludf.DUMMYFUNCTION("""COMPUTED_VALUE"""),1275.0)</f>
        <v>1275</v>
      </c>
      <c r="J33" s="4">
        <f>IFERROR(__xludf.DUMMYFUNCTION("""COMPUTED_VALUE"""),1129.0)</f>
        <v>1129</v>
      </c>
      <c r="K33" s="4">
        <f>IFERROR(__xludf.DUMMYFUNCTION("""COMPUTED_VALUE"""),1202.0)</f>
        <v>1202</v>
      </c>
      <c r="L33" s="4">
        <f>IFERROR(__xludf.DUMMYFUNCTION("""COMPUTED_VALUE"""),1458.0)</f>
        <v>1458</v>
      </c>
      <c r="M33" s="4">
        <f>IFERROR(__xludf.DUMMYFUNCTION("""COMPUTED_VALUE"""),1198.0)</f>
        <v>1198</v>
      </c>
      <c r="N33" s="4">
        <f>IFERROR(__xludf.DUMMYFUNCTION("""COMPUTED_VALUE"""),1666.0)</f>
        <v>1666</v>
      </c>
    </row>
    <row r="34">
      <c r="A34" s="1" t="str">
        <f>vlookup(B34:B337,split_names!A33:B944,2,0)</f>
        <v>BMW</v>
      </c>
      <c r="B34" s="1" t="str">
        <f>IFERROR(__xludf.DUMMYFUNCTION("""COMPUTED_VALUE"""),"BMW X2")</f>
        <v>BMW X2</v>
      </c>
      <c r="C34" s="1">
        <f>IFERROR(__xludf.DUMMYFUNCTION("""COMPUTED_VALUE"""),742.0)</f>
        <v>742</v>
      </c>
      <c r="D34" s="1">
        <f>IFERROR(__xludf.DUMMYFUNCTION("""COMPUTED_VALUE"""),961.0)</f>
        <v>961</v>
      </c>
      <c r="E34" s="1">
        <f>IFERROR(__xludf.DUMMYFUNCTION("""COMPUTED_VALUE"""),582.0)</f>
        <v>582</v>
      </c>
      <c r="F34" s="1">
        <f>IFERROR(__xludf.DUMMYFUNCTION("""COMPUTED_VALUE"""),318.0)</f>
        <v>318</v>
      </c>
      <c r="G34" s="1">
        <f>IFERROR(__xludf.DUMMYFUNCTION("""COMPUTED_VALUE"""),707.0)</f>
        <v>707</v>
      </c>
      <c r="H34" s="1">
        <f>IFERROR(__xludf.DUMMYFUNCTION("""COMPUTED_VALUE"""),743.0)</f>
        <v>743</v>
      </c>
      <c r="I34" s="1">
        <f>IFERROR(__xludf.DUMMYFUNCTION("""COMPUTED_VALUE"""),613.0)</f>
        <v>613</v>
      </c>
      <c r="J34" s="1">
        <f>IFERROR(__xludf.DUMMYFUNCTION("""COMPUTED_VALUE"""),543.0)</f>
        <v>543</v>
      </c>
      <c r="K34" s="1">
        <f>IFERROR(__xludf.DUMMYFUNCTION("""COMPUTED_VALUE"""),578.0)</f>
        <v>578</v>
      </c>
      <c r="L34" s="1">
        <f>IFERROR(__xludf.DUMMYFUNCTION("""COMPUTED_VALUE"""),533.0)</f>
        <v>533</v>
      </c>
      <c r="M34" s="1">
        <f>IFERROR(__xludf.DUMMYFUNCTION("""COMPUTED_VALUE"""),438.0)</f>
        <v>438</v>
      </c>
      <c r="N34" s="1">
        <f>IFERROR(__xludf.DUMMYFUNCTION("""COMPUTED_VALUE"""),610.0)</f>
        <v>610</v>
      </c>
    </row>
    <row r="35">
      <c r="A35" s="1" t="str">
        <f>vlookup(B35:B338,split_names!A34:B945,2,0)</f>
        <v>BMW</v>
      </c>
      <c r="B35" s="1" t="str">
        <f>IFERROR(__xludf.DUMMYFUNCTION("""COMPUTED_VALUE"""),"BMW X3")</f>
        <v>BMW X3</v>
      </c>
      <c r="C35" s="4">
        <f>IFERROR(__xludf.DUMMYFUNCTION("""COMPUTED_VALUE"""),3447.0)</f>
        <v>3447</v>
      </c>
      <c r="D35" s="4">
        <f>IFERROR(__xludf.DUMMYFUNCTION("""COMPUTED_VALUE"""),4463.0)</f>
        <v>4463</v>
      </c>
      <c r="E35" s="4">
        <f>IFERROR(__xludf.DUMMYFUNCTION("""COMPUTED_VALUE"""),2703.0)</f>
        <v>2703</v>
      </c>
      <c r="F35" s="4">
        <f>IFERROR(__xludf.DUMMYFUNCTION("""COMPUTED_VALUE"""),1703.0)</f>
        <v>1703</v>
      </c>
      <c r="G35" s="4">
        <f>IFERROR(__xludf.DUMMYFUNCTION("""COMPUTED_VALUE"""),3784.0)</f>
        <v>3784</v>
      </c>
      <c r="H35" s="4">
        <f>IFERROR(__xludf.DUMMYFUNCTION("""COMPUTED_VALUE"""),3973.0)</f>
        <v>3973</v>
      </c>
      <c r="I35" s="4">
        <f>IFERROR(__xludf.DUMMYFUNCTION("""COMPUTED_VALUE"""),5714.0)</f>
        <v>5714</v>
      </c>
      <c r="J35" s="4">
        <f>IFERROR(__xludf.DUMMYFUNCTION("""COMPUTED_VALUE"""),5061.0)</f>
        <v>5061</v>
      </c>
      <c r="K35" s="4">
        <f>IFERROR(__xludf.DUMMYFUNCTION("""COMPUTED_VALUE"""),5388.0)</f>
        <v>5388</v>
      </c>
      <c r="L35" s="4">
        <f>IFERROR(__xludf.DUMMYFUNCTION("""COMPUTED_VALUE"""),7942.0)</f>
        <v>7942</v>
      </c>
      <c r="M35" s="4">
        <f>IFERROR(__xludf.DUMMYFUNCTION("""COMPUTED_VALUE"""),6523.0)</f>
        <v>6523</v>
      </c>
      <c r="N35" s="4">
        <f>IFERROR(__xludf.DUMMYFUNCTION("""COMPUTED_VALUE"""),9076.0)</f>
        <v>9076</v>
      </c>
    </row>
    <row r="36">
      <c r="A36" s="1" t="str">
        <f>vlookup(B36:B339,split_names!A35:B946,2,0)</f>
        <v>BMW</v>
      </c>
      <c r="B36" s="1" t="str">
        <f>IFERROR(__xludf.DUMMYFUNCTION("""COMPUTED_VALUE"""),"BMW X4")</f>
        <v>BMW X4</v>
      </c>
      <c r="C36" s="1">
        <f>IFERROR(__xludf.DUMMYFUNCTION("""COMPUTED_VALUE"""),581.0)</f>
        <v>581</v>
      </c>
      <c r="D36" s="1">
        <f>IFERROR(__xludf.DUMMYFUNCTION("""COMPUTED_VALUE"""),752.0)</f>
        <v>752</v>
      </c>
      <c r="E36" s="1">
        <f>IFERROR(__xludf.DUMMYFUNCTION("""COMPUTED_VALUE"""),455.0)</f>
        <v>455</v>
      </c>
      <c r="F36" s="1">
        <f>IFERROR(__xludf.DUMMYFUNCTION("""COMPUTED_VALUE"""),247.0)</f>
        <v>247</v>
      </c>
      <c r="G36" s="1">
        <f>IFERROR(__xludf.DUMMYFUNCTION("""COMPUTED_VALUE"""),549.0)</f>
        <v>549</v>
      </c>
      <c r="H36" s="1">
        <f>IFERROR(__xludf.DUMMYFUNCTION("""COMPUTED_VALUE"""),577.0)</f>
        <v>577</v>
      </c>
      <c r="I36" s="1">
        <f>IFERROR(__xludf.DUMMYFUNCTION("""COMPUTED_VALUE"""),567.0)</f>
        <v>567</v>
      </c>
      <c r="J36" s="1">
        <f>IFERROR(__xludf.DUMMYFUNCTION("""COMPUTED_VALUE"""),502.0)</f>
        <v>502</v>
      </c>
      <c r="K36" s="1">
        <f>IFERROR(__xludf.DUMMYFUNCTION("""COMPUTED_VALUE"""),535.0)</f>
        <v>535</v>
      </c>
      <c r="L36" s="1">
        <f>IFERROR(__xludf.DUMMYFUNCTION("""COMPUTED_VALUE"""),977.0)</f>
        <v>977</v>
      </c>
      <c r="M36" s="1">
        <f>IFERROR(__xludf.DUMMYFUNCTION("""COMPUTED_VALUE"""),803.0)</f>
        <v>803</v>
      </c>
      <c r="N36" s="4">
        <f>IFERROR(__xludf.DUMMYFUNCTION("""COMPUTED_VALUE"""),1117.0)</f>
        <v>1117</v>
      </c>
    </row>
    <row r="37">
      <c r="A37" s="1" t="str">
        <f>vlookup(B37:B340,split_names!A36:B947,2,0)</f>
        <v>BMW</v>
      </c>
      <c r="B37" s="1" t="str">
        <f>IFERROR(__xludf.DUMMYFUNCTION("""COMPUTED_VALUE"""),"BMW X5")</f>
        <v>BMW X5</v>
      </c>
      <c r="C37" s="4">
        <f>IFERROR(__xludf.DUMMYFUNCTION("""COMPUTED_VALUE"""),3455.0)</f>
        <v>3455</v>
      </c>
      <c r="D37" s="4">
        <f>IFERROR(__xludf.DUMMYFUNCTION("""COMPUTED_VALUE"""),4473.0)</f>
        <v>4473</v>
      </c>
      <c r="E37" s="4">
        <f>IFERROR(__xludf.DUMMYFUNCTION("""COMPUTED_VALUE"""),2709.0)</f>
        <v>2709</v>
      </c>
      <c r="F37" s="4">
        <f>IFERROR(__xludf.DUMMYFUNCTION("""COMPUTED_VALUE"""),1533.0)</f>
        <v>1533</v>
      </c>
      <c r="G37" s="4">
        <f>IFERROR(__xludf.DUMMYFUNCTION("""COMPUTED_VALUE"""),3407.0)</f>
        <v>3407</v>
      </c>
      <c r="H37" s="4">
        <f>IFERROR(__xludf.DUMMYFUNCTION("""COMPUTED_VALUE"""),3577.0)</f>
        <v>3577</v>
      </c>
      <c r="I37" s="4">
        <f>IFERROR(__xludf.DUMMYFUNCTION("""COMPUTED_VALUE"""),4491.0)</f>
        <v>4491</v>
      </c>
      <c r="J37" s="4">
        <f>IFERROR(__xludf.DUMMYFUNCTION("""COMPUTED_VALUE"""),3977.0)</f>
        <v>3977</v>
      </c>
      <c r="K37" s="4">
        <f>IFERROR(__xludf.DUMMYFUNCTION("""COMPUTED_VALUE"""),4234.0)</f>
        <v>4234</v>
      </c>
      <c r="L37" s="4">
        <f>IFERROR(__xludf.DUMMYFUNCTION("""COMPUTED_VALUE"""),6294.0)</f>
        <v>6294</v>
      </c>
      <c r="M37" s="4">
        <f>IFERROR(__xludf.DUMMYFUNCTION("""COMPUTED_VALUE"""),5170.0)</f>
        <v>5170</v>
      </c>
      <c r="N37" s="4">
        <f>IFERROR(__xludf.DUMMYFUNCTION("""COMPUTED_VALUE"""),7193.0)</f>
        <v>7193</v>
      </c>
    </row>
    <row r="38">
      <c r="A38" s="1" t="str">
        <f>vlookup(B38:B341,split_names!A37:B948,2,0)</f>
        <v>BMW</v>
      </c>
      <c r="B38" s="1" t="str">
        <f>IFERROR(__xludf.DUMMYFUNCTION("""COMPUTED_VALUE"""),"BMW X6")</f>
        <v>BMW X6</v>
      </c>
      <c r="C38" s="1">
        <f>IFERROR(__xludf.DUMMYFUNCTION("""COMPUTED_VALUE"""),406.0)</f>
        <v>406</v>
      </c>
      <c r="D38" s="1">
        <f>IFERROR(__xludf.DUMMYFUNCTION("""COMPUTED_VALUE"""),526.0)</f>
        <v>526</v>
      </c>
      <c r="E38" s="1">
        <f>IFERROR(__xludf.DUMMYFUNCTION("""COMPUTED_VALUE"""),319.0)</f>
        <v>319</v>
      </c>
      <c r="F38" s="1">
        <f>IFERROR(__xludf.DUMMYFUNCTION("""COMPUTED_VALUE"""),216.0)</f>
        <v>216</v>
      </c>
      <c r="G38" s="1">
        <f>IFERROR(__xludf.DUMMYFUNCTION("""COMPUTED_VALUE"""),480.0)</f>
        <v>480</v>
      </c>
      <c r="H38" s="1">
        <f>IFERROR(__xludf.DUMMYFUNCTION("""COMPUTED_VALUE"""),504.0)</f>
        <v>504</v>
      </c>
      <c r="I38" s="1">
        <f>IFERROR(__xludf.DUMMYFUNCTION("""COMPUTED_VALUE"""),698.0)</f>
        <v>698</v>
      </c>
      <c r="J38" s="1">
        <f>IFERROR(__xludf.DUMMYFUNCTION("""COMPUTED_VALUE"""),618.0)</f>
        <v>618</v>
      </c>
      <c r="K38" s="1">
        <f>IFERROR(__xludf.DUMMYFUNCTION("""COMPUTED_VALUE"""),658.0)</f>
        <v>658</v>
      </c>
      <c r="L38" s="1">
        <f>IFERROR(__xludf.DUMMYFUNCTION("""COMPUTED_VALUE"""),967.0)</f>
        <v>967</v>
      </c>
      <c r="M38" s="1">
        <f>IFERROR(__xludf.DUMMYFUNCTION("""COMPUTED_VALUE"""),794.0)</f>
        <v>794</v>
      </c>
      <c r="N38" s="4">
        <f>IFERROR(__xludf.DUMMYFUNCTION("""COMPUTED_VALUE"""),1105.0)</f>
        <v>1105</v>
      </c>
    </row>
    <row r="39">
      <c r="A39" s="1" t="str">
        <f>vlookup(B39:B342,split_names!A38:B949,2,0)</f>
        <v>BMW</v>
      </c>
      <c r="B39" s="1" t="str">
        <f>IFERROR(__xludf.DUMMYFUNCTION("""COMPUTED_VALUE"""),"BMW X7")</f>
        <v>BMW X7</v>
      </c>
      <c r="C39" s="4">
        <f>IFERROR(__xludf.DUMMYFUNCTION("""COMPUTED_VALUE"""),4188.0)</f>
        <v>4188</v>
      </c>
      <c r="D39" s="4">
        <f>IFERROR(__xludf.DUMMYFUNCTION("""COMPUTED_VALUE"""),1927.0)</f>
        <v>1927</v>
      </c>
      <c r="E39" s="4">
        <f>IFERROR(__xludf.DUMMYFUNCTION("""COMPUTED_VALUE"""),1167.0)</f>
        <v>1167</v>
      </c>
      <c r="F39" s="1">
        <f>IFERROR(__xludf.DUMMYFUNCTION("""COMPUTED_VALUE"""),733.0)</f>
        <v>733</v>
      </c>
      <c r="G39" s="4">
        <f>IFERROR(__xludf.DUMMYFUNCTION("""COMPUTED_VALUE"""),1628.0)</f>
        <v>1628</v>
      </c>
      <c r="H39" s="4">
        <f>IFERROR(__xludf.DUMMYFUNCTION("""COMPUTED_VALUE"""),1710.0)</f>
        <v>1710</v>
      </c>
      <c r="I39" s="4">
        <f>IFERROR(__xludf.DUMMYFUNCTION("""COMPUTED_VALUE"""),1709.0)</f>
        <v>1709</v>
      </c>
      <c r="J39" s="4">
        <f>IFERROR(__xludf.DUMMYFUNCTION("""COMPUTED_VALUE"""),1513.0)</f>
        <v>1513</v>
      </c>
      <c r="K39" s="4">
        <f>IFERROR(__xludf.DUMMYFUNCTION("""COMPUTED_VALUE"""),1611.0)</f>
        <v>1611</v>
      </c>
      <c r="L39" s="4">
        <f>IFERROR(__xludf.DUMMYFUNCTION("""COMPUTED_VALUE"""),2376.0)</f>
        <v>2376</v>
      </c>
      <c r="M39" s="4">
        <f>IFERROR(__xludf.DUMMYFUNCTION("""COMPUTED_VALUE"""),1952.0)</f>
        <v>1952</v>
      </c>
      <c r="N39" s="4">
        <f>IFERROR(__xludf.DUMMYFUNCTION("""COMPUTED_VALUE"""),2716.0)</f>
        <v>2716</v>
      </c>
    </row>
    <row r="40">
      <c r="A40" s="1" t="str">
        <f>vlookup(B40:B343,split_names!A39:B950,2,0)</f>
        <v>BMW</v>
      </c>
      <c r="B40" s="1" t="str">
        <f>IFERROR(__xludf.DUMMYFUNCTION("""COMPUTED_VALUE"""),"BMW Z4")</f>
        <v>BMW Z4</v>
      </c>
      <c r="C40" s="1">
        <f>IFERROR(__xludf.DUMMYFUNCTION("""COMPUTED_VALUE"""),203.0)</f>
        <v>203</v>
      </c>
      <c r="D40" s="1">
        <f>IFERROR(__xludf.DUMMYFUNCTION("""COMPUTED_VALUE"""),263.0)</f>
        <v>263</v>
      </c>
      <c r="E40" s="1">
        <f>IFERROR(__xludf.DUMMYFUNCTION("""COMPUTED_VALUE"""),159.0)</f>
        <v>159</v>
      </c>
      <c r="F40" s="1">
        <f>IFERROR(__xludf.DUMMYFUNCTION("""COMPUTED_VALUE"""),149.0)</f>
        <v>149</v>
      </c>
      <c r="G40" s="1">
        <f>IFERROR(__xludf.DUMMYFUNCTION("""COMPUTED_VALUE"""),332.0)</f>
        <v>332</v>
      </c>
      <c r="H40" s="1">
        <f>IFERROR(__xludf.DUMMYFUNCTION("""COMPUTED_VALUE"""),349.0)</f>
        <v>349</v>
      </c>
      <c r="I40" s="1">
        <f>IFERROR(__xludf.DUMMYFUNCTION("""COMPUTED_VALUE"""),252.0)</f>
        <v>252</v>
      </c>
      <c r="J40" s="1">
        <f>IFERROR(__xludf.DUMMYFUNCTION("""COMPUTED_VALUE"""),223.0)</f>
        <v>223</v>
      </c>
      <c r="K40" s="1">
        <f>IFERROR(__xludf.DUMMYFUNCTION("""COMPUTED_VALUE"""),238.0)</f>
        <v>238</v>
      </c>
      <c r="L40" s="1">
        <f>IFERROR(__xludf.DUMMYFUNCTION("""COMPUTED_VALUE"""),66.0)</f>
        <v>66</v>
      </c>
      <c r="M40" s="1">
        <f>IFERROR(__xludf.DUMMYFUNCTION("""COMPUTED_VALUE"""),54.0)</f>
        <v>54</v>
      </c>
      <c r="N40" s="1">
        <f>IFERROR(__xludf.DUMMYFUNCTION("""COMPUTED_VALUE"""),76.0)</f>
        <v>76</v>
      </c>
    </row>
    <row r="41">
      <c r="A41" s="1" t="str">
        <f>vlookup(B41:B344,split_names!A40:B951,2,0)</f>
        <v>Buick</v>
      </c>
      <c r="B41" s="1" t="str">
        <f>IFERROR(__xludf.DUMMYFUNCTION("""COMPUTED_VALUE"""),"Buick Cascada")</f>
        <v>Buick Cascada</v>
      </c>
      <c r="C41" s="1">
        <f>IFERROR(__xludf.DUMMYFUNCTION("""COMPUTED_VALUE"""),2.0)</f>
        <v>2</v>
      </c>
      <c r="D41" s="1">
        <f>IFERROR(__xludf.DUMMYFUNCTION("""COMPUTED_VALUE"""),3.0)</f>
        <v>3</v>
      </c>
      <c r="E41" s="1">
        <f>IFERROR(__xludf.DUMMYFUNCTION("""COMPUTED_VALUE"""),2.0)</f>
        <v>2</v>
      </c>
      <c r="F41" s="1">
        <f>IFERROR(__xludf.DUMMYFUNCTION("""COMPUTED_VALUE"""),1.0)</f>
        <v>1</v>
      </c>
      <c r="G41" s="1">
        <f>IFERROR(__xludf.DUMMYFUNCTION("""COMPUTED_VALUE"""),2.0)</f>
        <v>2</v>
      </c>
      <c r="H41" s="1">
        <f>IFERROR(__xludf.DUMMYFUNCTION("""COMPUTED_VALUE"""),2.0)</f>
        <v>2</v>
      </c>
      <c r="I41" s="1">
        <f>IFERROR(__xludf.DUMMYFUNCTION("""COMPUTED_VALUE"""),0.0)</f>
        <v>0</v>
      </c>
      <c r="J41" s="1">
        <f>IFERROR(__xludf.DUMMYFUNCTION("""COMPUTED_VALUE"""),0.0)</f>
        <v>0</v>
      </c>
      <c r="K41" s="1">
        <f>IFERROR(__xludf.DUMMYFUNCTION("""COMPUTED_VALUE"""),0.0)</f>
        <v>0</v>
      </c>
      <c r="L41" s="1">
        <f>IFERROR(__xludf.DUMMYFUNCTION("""COMPUTED_VALUE"""),0.0)</f>
        <v>0</v>
      </c>
      <c r="M41" s="1">
        <f>IFERROR(__xludf.DUMMYFUNCTION("""COMPUTED_VALUE"""),0.0)</f>
        <v>0</v>
      </c>
      <c r="N41" s="1">
        <f>IFERROR(__xludf.DUMMYFUNCTION("""COMPUTED_VALUE"""),0.0)</f>
        <v>0</v>
      </c>
    </row>
    <row r="42">
      <c r="A42" s="1" t="str">
        <f>vlookup(B42:B345,split_names!A41:B952,2,0)</f>
        <v>Buick</v>
      </c>
      <c r="B42" s="1" t="str">
        <f>IFERROR(__xludf.DUMMYFUNCTION("""COMPUTED_VALUE"""),"Buick Enclave")</f>
        <v>Buick Enclave</v>
      </c>
      <c r="C42" s="4">
        <f>IFERROR(__xludf.DUMMYFUNCTION("""COMPUTED_VALUE"""),2843.0)</f>
        <v>2843</v>
      </c>
      <c r="D42" s="4">
        <f>IFERROR(__xludf.DUMMYFUNCTION("""COMPUTED_VALUE"""),3680.0)</f>
        <v>3680</v>
      </c>
      <c r="E42" s="4">
        <f>IFERROR(__xludf.DUMMYFUNCTION("""COMPUTED_VALUE"""),2229.0)</f>
        <v>2229</v>
      </c>
      <c r="F42" s="4">
        <f>IFERROR(__xludf.DUMMYFUNCTION("""COMPUTED_VALUE"""),1342.0)</f>
        <v>1342</v>
      </c>
      <c r="G42" s="4">
        <f>IFERROR(__xludf.DUMMYFUNCTION("""COMPUTED_VALUE"""),2981.0)</f>
        <v>2981</v>
      </c>
      <c r="H42" s="4">
        <f>IFERROR(__xludf.DUMMYFUNCTION("""COMPUTED_VALUE"""),3130.0)</f>
        <v>3130</v>
      </c>
      <c r="I42" s="4">
        <f>IFERROR(__xludf.DUMMYFUNCTION("""COMPUTED_VALUE"""),3484.0)</f>
        <v>3484</v>
      </c>
      <c r="J42" s="4">
        <f>IFERROR(__xludf.DUMMYFUNCTION("""COMPUTED_VALUE"""),3097.0)</f>
        <v>3097</v>
      </c>
      <c r="K42" s="4">
        <f>IFERROR(__xludf.DUMMYFUNCTION("""COMPUTED_VALUE"""),3355.0)</f>
        <v>3355</v>
      </c>
      <c r="L42" s="4">
        <f>IFERROR(__xludf.DUMMYFUNCTION("""COMPUTED_VALUE"""),4162.0)</f>
        <v>4162</v>
      </c>
      <c r="M42" s="4">
        <f>IFERROR(__xludf.DUMMYFUNCTION("""COMPUTED_VALUE"""),3419.0)</f>
        <v>3419</v>
      </c>
      <c r="N42" s="4">
        <f>IFERROR(__xludf.DUMMYFUNCTION("""COMPUTED_VALUE"""),4757.0)</f>
        <v>4757</v>
      </c>
    </row>
    <row r="43">
      <c r="A43" s="1" t="str">
        <f>vlookup(B43:B346,split_names!A42:B953,2,0)</f>
        <v>Buick</v>
      </c>
      <c r="B43" s="1" t="str">
        <f>IFERROR(__xludf.DUMMYFUNCTION("""COMPUTED_VALUE"""),"Buick Encore")</f>
        <v>Buick Encore</v>
      </c>
      <c r="C43" s="4">
        <f>IFERROR(__xludf.DUMMYFUNCTION("""COMPUTED_VALUE"""),5469.0)</f>
        <v>5469</v>
      </c>
      <c r="D43" s="4">
        <f>IFERROR(__xludf.DUMMYFUNCTION("""COMPUTED_VALUE"""),7081.0)</f>
        <v>7081</v>
      </c>
      <c r="E43" s="4">
        <f>IFERROR(__xludf.DUMMYFUNCTION("""COMPUTED_VALUE"""),4289.0)</f>
        <v>4289</v>
      </c>
      <c r="F43" s="4">
        <f>IFERROR(__xludf.DUMMYFUNCTION("""COMPUTED_VALUE"""),1806.0)</f>
        <v>1806</v>
      </c>
      <c r="G43" s="4">
        <f>IFERROR(__xludf.DUMMYFUNCTION("""COMPUTED_VALUE"""),4013.0)</f>
        <v>4013</v>
      </c>
      <c r="H43" s="4">
        <f>IFERROR(__xludf.DUMMYFUNCTION("""COMPUTED_VALUE"""),4214.0)</f>
        <v>4214</v>
      </c>
      <c r="I43" s="4">
        <f>IFERROR(__xludf.DUMMYFUNCTION("""COMPUTED_VALUE"""),3907.0)</f>
        <v>3907</v>
      </c>
      <c r="J43" s="4">
        <f>IFERROR(__xludf.DUMMYFUNCTION("""COMPUTED_VALUE"""),3473.0)</f>
        <v>3473</v>
      </c>
      <c r="K43" s="4">
        <f>IFERROR(__xludf.DUMMYFUNCTION("""COMPUTED_VALUE"""),3763.0)</f>
        <v>3763</v>
      </c>
      <c r="L43" s="4">
        <f>IFERROR(__xludf.DUMMYFUNCTION("""COMPUTED_VALUE"""),2138.0)</f>
        <v>2138</v>
      </c>
      <c r="M43" s="4">
        <f>IFERROR(__xludf.DUMMYFUNCTION("""COMPUTED_VALUE"""),1756.0)</f>
        <v>1756</v>
      </c>
      <c r="N43" s="4">
        <f>IFERROR(__xludf.DUMMYFUNCTION("""COMPUTED_VALUE"""),2444.0)</f>
        <v>2444</v>
      </c>
    </row>
    <row r="44">
      <c r="A44" s="1" t="str">
        <f>vlookup(B44:B347,split_names!A43:B954,2,0)</f>
        <v>Buick</v>
      </c>
      <c r="B44" s="1" t="str">
        <f>IFERROR(__xludf.DUMMYFUNCTION("""COMPUTED_VALUE"""),"Buick Encore GX")</f>
        <v>Buick Encore GX</v>
      </c>
      <c r="C44" s="1">
        <f>IFERROR(__xludf.DUMMYFUNCTION("""COMPUTED_VALUE"""),0.0)</f>
        <v>0</v>
      </c>
      <c r="D44" s="1">
        <f>IFERROR(__xludf.DUMMYFUNCTION("""COMPUTED_VALUE"""),0.0)</f>
        <v>0</v>
      </c>
      <c r="E44" s="1">
        <f>IFERROR(__xludf.DUMMYFUNCTION("""COMPUTED_VALUE"""),0.0)</f>
        <v>0</v>
      </c>
      <c r="F44" s="4">
        <f>IFERROR(__xludf.DUMMYFUNCTION("""COMPUTED_VALUE"""),1666.0)</f>
        <v>1666</v>
      </c>
      <c r="G44" s="4">
        <f>IFERROR(__xludf.DUMMYFUNCTION("""COMPUTED_VALUE"""),3702.0)</f>
        <v>3702</v>
      </c>
      <c r="H44" s="4">
        <f>IFERROR(__xludf.DUMMYFUNCTION("""COMPUTED_VALUE"""),3888.0)</f>
        <v>3888</v>
      </c>
      <c r="I44" s="4">
        <f>IFERROR(__xludf.DUMMYFUNCTION("""COMPUTED_VALUE"""),5617.0)</f>
        <v>5617</v>
      </c>
      <c r="J44" s="4">
        <f>IFERROR(__xludf.DUMMYFUNCTION("""COMPUTED_VALUE"""),4993.0)</f>
        <v>4993</v>
      </c>
      <c r="K44" s="4">
        <f>IFERROR(__xludf.DUMMYFUNCTION("""COMPUTED_VALUE"""),5409.0)</f>
        <v>5409</v>
      </c>
      <c r="L44" s="4">
        <f>IFERROR(__xludf.DUMMYFUNCTION("""COMPUTED_VALUE"""),5723.0)</f>
        <v>5723</v>
      </c>
      <c r="M44" s="4">
        <f>IFERROR(__xludf.DUMMYFUNCTION("""COMPUTED_VALUE"""),4701.0)</f>
        <v>4701</v>
      </c>
      <c r="N44" s="4">
        <f>IFERROR(__xludf.DUMMYFUNCTION("""COMPUTED_VALUE"""),6541.0)</f>
        <v>6541</v>
      </c>
    </row>
    <row r="45">
      <c r="A45" s="1" t="str">
        <f>vlookup(B45:B348,split_names!A44:B955,2,0)</f>
        <v>Buick</v>
      </c>
      <c r="B45" s="1" t="str">
        <f>IFERROR(__xludf.DUMMYFUNCTION("""COMPUTED_VALUE"""),"Buick Envision")</f>
        <v>Buick Envision</v>
      </c>
      <c r="C45" s="4">
        <f>IFERROR(__xludf.DUMMYFUNCTION("""COMPUTED_VALUE"""),2252.0)</f>
        <v>2252</v>
      </c>
      <c r="D45" s="4">
        <f>IFERROR(__xludf.DUMMYFUNCTION("""COMPUTED_VALUE"""),2915.0)</f>
        <v>2915</v>
      </c>
      <c r="E45" s="4">
        <f>IFERROR(__xludf.DUMMYFUNCTION("""COMPUTED_VALUE"""),1766.0)</f>
        <v>1766</v>
      </c>
      <c r="F45" s="4">
        <f>IFERROR(__xludf.DUMMYFUNCTION("""COMPUTED_VALUE"""),1419.0)</f>
        <v>1419</v>
      </c>
      <c r="G45" s="4">
        <f>IFERROR(__xludf.DUMMYFUNCTION("""COMPUTED_VALUE"""),3152.0)</f>
        <v>3152</v>
      </c>
      <c r="H45" s="4">
        <f>IFERROR(__xludf.DUMMYFUNCTION("""COMPUTED_VALUE"""),3310.0)</f>
        <v>3310</v>
      </c>
      <c r="I45" s="4">
        <f>IFERROR(__xludf.DUMMYFUNCTION("""COMPUTED_VALUE"""),4087.0)</f>
        <v>4087</v>
      </c>
      <c r="J45" s="4">
        <f>IFERROR(__xludf.DUMMYFUNCTION("""COMPUTED_VALUE"""),3633.0)</f>
        <v>3633</v>
      </c>
      <c r="K45" s="4">
        <f>IFERROR(__xludf.DUMMYFUNCTION("""COMPUTED_VALUE"""),3935.0)</f>
        <v>3935</v>
      </c>
      <c r="L45" s="4">
        <f>IFERROR(__xludf.DUMMYFUNCTION("""COMPUTED_VALUE"""),2859.0)</f>
        <v>2859</v>
      </c>
      <c r="M45" s="4">
        <f>IFERROR(__xludf.DUMMYFUNCTION("""COMPUTED_VALUE"""),2348.0)</f>
        <v>2348</v>
      </c>
      <c r="N45" s="4">
        <f>IFERROR(__xludf.DUMMYFUNCTION("""COMPUTED_VALUE"""),3267.0)</f>
        <v>3267</v>
      </c>
    </row>
    <row r="46">
      <c r="A46" s="1" t="str">
        <f>vlookup(B46:B349,split_names!A45:B956,2,0)</f>
        <v>Buick</v>
      </c>
      <c r="B46" s="1" t="str">
        <f>IFERROR(__xludf.DUMMYFUNCTION("""COMPUTED_VALUE"""),"Buick LaCrosse")</f>
        <v>Buick LaCrosse</v>
      </c>
      <c r="C46" s="1">
        <f>IFERROR(__xludf.DUMMYFUNCTION("""COMPUTED_VALUE"""),45.0)</f>
        <v>45</v>
      </c>
      <c r="D46" s="1">
        <f>IFERROR(__xludf.DUMMYFUNCTION("""COMPUTED_VALUE"""),58.0)</f>
        <v>58</v>
      </c>
      <c r="E46" s="1">
        <f>IFERROR(__xludf.DUMMYFUNCTION("""COMPUTED_VALUE"""),35.0)</f>
        <v>35</v>
      </c>
      <c r="F46" s="1">
        <f>IFERROR(__xludf.DUMMYFUNCTION("""COMPUTED_VALUE"""),13.0)</f>
        <v>13</v>
      </c>
      <c r="G46" s="1">
        <f>IFERROR(__xludf.DUMMYFUNCTION("""COMPUTED_VALUE"""),28.0)</f>
        <v>28</v>
      </c>
      <c r="H46" s="1">
        <f>IFERROR(__xludf.DUMMYFUNCTION("""COMPUTED_VALUE"""),30.0)</f>
        <v>30</v>
      </c>
      <c r="I46" s="1">
        <f>IFERROR(__xludf.DUMMYFUNCTION("""COMPUTED_VALUE"""),2.0)</f>
        <v>2</v>
      </c>
      <c r="J46" s="1">
        <f>IFERROR(__xludf.DUMMYFUNCTION("""COMPUTED_VALUE"""),2.0)</f>
        <v>2</v>
      </c>
      <c r="K46" s="1">
        <f>IFERROR(__xludf.DUMMYFUNCTION("""COMPUTED_VALUE"""),2.0)</f>
        <v>2</v>
      </c>
      <c r="L46" s="1">
        <f>IFERROR(__xludf.DUMMYFUNCTION("""COMPUTED_VALUE"""),5.0)</f>
        <v>5</v>
      </c>
      <c r="M46" s="1">
        <f>IFERROR(__xludf.DUMMYFUNCTION("""COMPUTED_VALUE"""),4.0)</f>
        <v>4</v>
      </c>
      <c r="N46" s="1">
        <f>IFERROR(__xludf.DUMMYFUNCTION("""COMPUTED_VALUE"""),5.0)</f>
        <v>5</v>
      </c>
    </row>
    <row r="47">
      <c r="A47" s="1" t="str">
        <f>vlookup(B47:B350,split_names!A46:B957,2,0)</f>
        <v>Buick</v>
      </c>
      <c r="B47" s="1" t="str">
        <f>IFERROR(__xludf.DUMMYFUNCTION("""COMPUTED_VALUE"""),"Buick Regal")</f>
        <v>Buick Regal</v>
      </c>
      <c r="C47" s="1">
        <f>IFERROR(__xludf.DUMMYFUNCTION("""COMPUTED_VALUE"""),390.0)</f>
        <v>390</v>
      </c>
      <c r="D47" s="1">
        <f>IFERROR(__xludf.DUMMYFUNCTION("""COMPUTED_VALUE"""),505.0)</f>
        <v>505</v>
      </c>
      <c r="E47" s="1">
        <f>IFERROR(__xludf.DUMMYFUNCTION("""COMPUTED_VALUE"""),306.0)</f>
        <v>306</v>
      </c>
      <c r="F47" s="1">
        <f>IFERROR(__xludf.DUMMYFUNCTION("""COMPUTED_VALUE"""),148.0)</f>
        <v>148</v>
      </c>
      <c r="G47" s="1">
        <f>IFERROR(__xludf.DUMMYFUNCTION("""COMPUTED_VALUE"""),329.0)</f>
        <v>329</v>
      </c>
      <c r="H47" s="1">
        <f>IFERROR(__xludf.DUMMYFUNCTION("""COMPUTED_VALUE"""),345.0)</f>
        <v>345</v>
      </c>
      <c r="I47" s="1">
        <f>IFERROR(__xludf.DUMMYFUNCTION("""COMPUTED_VALUE"""),141.0)</f>
        <v>141</v>
      </c>
      <c r="J47" s="1">
        <f>IFERROR(__xludf.DUMMYFUNCTION("""COMPUTED_VALUE"""),135.0)</f>
        <v>135</v>
      </c>
      <c r="K47" s="1">
        <f>IFERROR(__xludf.DUMMYFUNCTION("""COMPUTED_VALUE"""),135.0)</f>
        <v>135</v>
      </c>
      <c r="L47" s="1">
        <f>IFERROR(__xludf.DUMMYFUNCTION("""COMPUTED_VALUE"""),20.0)</f>
        <v>20</v>
      </c>
      <c r="M47" s="1">
        <f>IFERROR(__xludf.DUMMYFUNCTION("""COMPUTED_VALUE"""),16.0)</f>
        <v>16</v>
      </c>
      <c r="N47" s="1">
        <f>IFERROR(__xludf.DUMMYFUNCTION("""COMPUTED_VALUE"""),23.0)</f>
        <v>23</v>
      </c>
    </row>
    <row r="48">
      <c r="A48" s="1" t="str">
        <f>vlookup(B48:B351,split_names!A47:B958,2,0)</f>
        <v>Cadillac</v>
      </c>
      <c r="B48" s="1" t="str">
        <f>IFERROR(__xludf.DUMMYFUNCTION("""COMPUTED_VALUE"""),"Cadillac ATS")</f>
        <v>Cadillac ATS</v>
      </c>
      <c r="C48" s="1">
        <f>IFERROR(__xludf.DUMMYFUNCTION("""COMPUTED_VALUE"""),15.0)</f>
        <v>15</v>
      </c>
      <c r="D48" s="1">
        <f>IFERROR(__xludf.DUMMYFUNCTION("""COMPUTED_VALUE"""),20.0)</f>
        <v>20</v>
      </c>
      <c r="E48" s="1">
        <f>IFERROR(__xludf.DUMMYFUNCTION("""COMPUTED_VALUE"""),12.0)</f>
        <v>12</v>
      </c>
      <c r="F48" s="1">
        <f>IFERROR(__xludf.DUMMYFUNCTION("""COMPUTED_VALUE"""),8.0)</f>
        <v>8</v>
      </c>
      <c r="G48" s="1">
        <f>IFERROR(__xludf.DUMMYFUNCTION("""COMPUTED_VALUE"""),18.0)</f>
        <v>18</v>
      </c>
      <c r="H48" s="1">
        <f>IFERROR(__xludf.DUMMYFUNCTION("""COMPUTED_VALUE"""),19.0)</f>
        <v>19</v>
      </c>
      <c r="I48" s="1">
        <f>IFERROR(__xludf.DUMMYFUNCTION("""COMPUTED_VALUE"""),6.0)</f>
        <v>6</v>
      </c>
      <c r="J48" s="1">
        <f>IFERROR(__xludf.DUMMYFUNCTION("""COMPUTED_VALUE"""),5.0)</f>
        <v>5</v>
      </c>
      <c r="K48" s="1">
        <f>IFERROR(__xludf.DUMMYFUNCTION("""COMPUTED_VALUE"""),6.0)</f>
        <v>6</v>
      </c>
      <c r="L48" s="1">
        <f>IFERROR(__xludf.DUMMYFUNCTION("""COMPUTED_VALUE"""),2.0)</f>
        <v>2</v>
      </c>
      <c r="M48" s="1">
        <f>IFERROR(__xludf.DUMMYFUNCTION("""COMPUTED_VALUE"""),2.0)</f>
        <v>2</v>
      </c>
      <c r="N48" s="1">
        <f>IFERROR(__xludf.DUMMYFUNCTION("""COMPUTED_VALUE"""),2.0)</f>
        <v>2</v>
      </c>
    </row>
    <row r="49">
      <c r="A49" s="1" t="str">
        <f>vlookup(B49:B352,split_names!A48:B959,2,0)</f>
        <v>Cadillac</v>
      </c>
      <c r="B49" s="1" t="str">
        <f>IFERROR(__xludf.DUMMYFUNCTION("""COMPUTED_VALUE"""),"Cadillac CT4")</f>
        <v>Cadillac CT4</v>
      </c>
      <c r="C49" s="1">
        <f>IFERROR(__xludf.DUMMYFUNCTION("""COMPUTED_VALUE"""),13.0)</f>
        <v>13</v>
      </c>
      <c r="D49" s="1">
        <f>IFERROR(__xludf.DUMMYFUNCTION("""COMPUTED_VALUE"""),17.0)</f>
        <v>17</v>
      </c>
      <c r="E49" s="1">
        <f>IFERROR(__xludf.DUMMYFUNCTION("""COMPUTED_VALUE"""),10.0)</f>
        <v>10</v>
      </c>
      <c r="F49" s="1">
        <f>IFERROR(__xludf.DUMMYFUNCTION("""COMPUTED_VALUE"""),106.0)</f>
        <v>106</v>
      </c>
      <c r="G49" s="1">
        <f>IFERROR(__xludf.DUMMYFUNCTION("""COMPUTED_VALUE"""),236.0)</f>
        <v>236</v>
      </c>
      <c r="H49" s="1">
        <f>IFERROR(__xludf.DUMMYFUNCTION("""COMPUTED_VALUE"""),248.0)</f>
        <v>248</v>
      </c>
      <c r="I49" s="1">
        <f>IFERROR(__xludf.DUMMYFUNCTION("""COMPUTED_VALUE"""),539.0)</f>
        <v>539</v>
      </c>
      <c r="J49" s="1">
        <f>IFERROR(__xludf.DUMMYFUNCTION("""COMPUTED_VALUE"""),479.0)</f>
        <v>479</v>
      </c>
      <c r="K49" s="1">
        <f>IFERROR(__xludf.DUMMYFUNCTION("""COMPUTED_VALUE"""),519.0)</f>
        <v>519</v>
      </c>
      <c r="L49" s="1">
        <f>IFERROR(__xludf.DUMMYFUNCTION("""COMPUTED_VALUE"""),918.0)</f>
        <v>918</v>
      </c>
      <c r="M49" s="1">
        <f>IFERROR(__xludf.DUMMYFUNCTION("""COMPUTED_VALUE"""),754.0)</f>
        <v>754</v>
      </c>
      <c r="N49" s="4">
        <f>IFERROR(__xludf.DUMMYFUNCTION("""COMPUTED_VALUE"""),1049.0)</f>
        <v>1049</v>
      </c>
    </row>
    <row r="50">
      <c r="A50" s="1" t="str">
        <f>vlookup(B50:B353,split_names!A49:B960,2,0)</f>
        <v>Cadillac</v>
      </c>
      <c r="B50" s="1" t="str">
        <f>IFERROR(__xludf.DUMMYFUNCTION("""COMPUTED_VALUE"""),"Cadillac CT5")</f>
        <v>Cadillac CT5</v>
      </c>
      <c r="C50" s="1">
        <f>IFERROR(__xludf.DUMMYFUNCTION("""COMPUTED_VALUE"""),974.0)</f>
        <v>974</v>
      </c>
      <c r="D50" s="4">
        <f>IFERROR(__xludf.DUMMYFUNCTION("""COMPUTED_VALUE"""),1262.0)</f>
        <v>1262</v>
      </c>
      <c r="E50" s="1">
        <f>IFERROR(__xludf.DUMMYFUNCTION("""COMPUTED_VALUE"""),764.0)</f>
        <v>764</v>
      </c>
      <c r="F50" s="1">
        <f>IFERROR(__xludf.DUMMYFUNCTION("""COMPUTED_VALUE"""),464.0)</f>
        <v>464</v>
      </c>
      <c r="G50" s="4">
        <f>IFERROR(__xludf.DUMMYFUNCTION("""COMPUTED_VALUE"""),1030.0)</f>
        <v>1030</v>
      </c>
      <c r="H50" s="4">
        <f>IFERROR(__xludf.DUMMYFUNCTION("""COMPUTED_VALUE"""),1082.0)</f>
        <v>1082</v>
      </c>
      <c r="I50" s="4">
        <f>IFERROR(__xludf.DUMMYFUNCTION("""COMPUTED_VALUE"""),1403.0)</f>
        <v>1403</v>
      </c>
      <c r="J50" s="4">
        <f>IFERROR(__xludf.DUMMYFUNCTION("""COMPUTED_VALUE"""),1247.0)</f>
        <v>1247</v>
      </c>
      <c r="K50" s="4">
        <f>IFERROR(__xludf.DUMMYFUNCTION("""COMPUTED_VALUE"""),1351.0)</f>
        <v>1351</v>
      </c>
      <c r="L50" s="4">
        <f>IFERROR(__xludf.DUMMYFUNCTION("""COMPUTED_VALUE"""),1732.0)</f>
        <v>1732</v>
      </c>
      <c r="M50" s="4">
        <f>IFERROR(__xludf.DUMMYFUNCTION("""COMPUTED_VALUE"""),1423.0)</f>
        <v>1423</v>
      </c>
      <c r="N50" s="4">
        <f>IFERROR(__xludf.DUMMYFUNCTION("""COMPUTED_VALUE"""),1980.0)</f>
        <v>1980</v>
      </c>
    </row>
    <row r="51">
      <c r="A51" s="1" t="str">
        <f>vlookup(B51:B354,split_names!A50:B961,2,0)</f>
        <v>Cadillac</v>
      </c>
      <c r="B51" s="1" t="str">
        <f>IFERROR(__xludf.DUMMYFUNCTION("""COMPUTED_VALUE"""),"Cadillac CT6")</f>
        <v>Cadillac CT6</v>
      </c>
      <c r="C51" s="1">
        <f>IFERROR(__xludf.DUMMYFUNCTION("""COMPUTED_VALUE"""),560.0)</f>
        <v>560</v>
      </c>
      <c r="D51" s="1">
        <f>IFERROR(__xludf.DUMMYFUNCTION("""COMPUTED_VALUE"""),725.0)</f>
        <v>725</v>
      </c>
      <c r="E51" s="1">
        <f>IFERROR(__xludf.DUMMYFUNCTION("""COMPUTED_VALUE"""),439.0)</f>
        <v>439</v>
      </c>
      <c r="F51" s="1">
        <f>IFERROR(__xludf.DUMMYFUNCTION("""COMPUTED_VALUE"""),149.0)</f>
        <v>149</v>
      </c>
      <c r="G51" s="1">
        <f>IFERROR(__xludf.DUMMYFUNCTION("""COMPUTED_VALUE"""),330.0)</f>
        <v>330</v>
      </c>
      <c r="H51" s="1">
        <f>IFERROR(__xludf.DUMMYFUNCTION("""COMPUTED_VALUE"""),347.0)</f>
        <v>347</v>
      </c>
      <c r="I51" s="1">
        <f>IFERROR(__xludf.DUMMYFUNCTION("""COMPUTED_VALUE"""),148.0)</f>
        <v>148</v>
      </c>
      <c r="J51" s="1">
        <f>IFERROR(__xludf.DUMMYFUNCTION("""COMPUTED_VALUE"""),132.0)</f>
        <v>132</v>
      </c>
      <c r="K51" s="1">
        <f>IFERROR(__xludf.DUMMYFUNCTION("""COMPUTED_VALUE"""),142.0)</f>
        <v>142</v>
      </c>
      <c r="L51" s="1">
        <f>IFERROR(__xludf.DUMMYFUNCTION("""COMPUTED_VALUE"""),49.0)</f>
        <v>49</v>
      </c>
      <c r="M51" s="1">
        <f>IFERROR(__xludf.DUMMYFUNCTION("""COMPUTED_VALUE"""),40.0)</f>
        <v>40</v>
      </c>
      <c r="N51" s="1">
        <f>IFERROR(__xludf.DUMMYFUNCTION("""COMPUTED_VALUE"""),56.0)</f>
        <v>56</v>
      </c>
    </row>
    <row r="52">
      <c r="A52" s="1" t="str">
        <f>vlookup(B52:B355,split_names!A51:B962,2,0)</f>
        <v>Cadillac</v>
      </c>
      <c r="B52" s="1" t="str">
        <f>IFERROR(__xludf.DUMMYFUNCTION("""COMPUTED_VALUE"""),"Cadillac CTS")</f>
        <v>Cadillac CTS</v>
      </c>
      <c r="C52" s="1">
        <f>IFERROR(__xludf.DUMMYFUNCTION("""COMPUTED_VALUE"""),52.0)</f>
        <v>52</v>
      </c>
      <c r="D52" s="1">
        <f>IFERROR(__xludf.DUMMYFUNCTION("""COMPUTED_VALUE"""),67.0)</f>
        <v>67</v>
      </c>
      <c r="E52" s="1">
        <f>IFERROR(__xludf.DUMMYFUNCTION("""COMPUTED_VALUE"""),41.0)</f>
        <v>41</v>
      </c>
      <c r="F52" s="1">
        <f>IFERROR(__xludf.DUMMYFUNCTION("""COMPUTED_VALUE"""),30.0)</f>
        <v>30</v>
      </c>
      <c r="G52" s="1">
        <f>IFERROR(__xludf.DUMMYFUNCTION("""COMPUTED_VALUE"""),67.0)</f>
        <v>67</v>
      </c>
      <c r="H52" s="1">
        <f>IFERROR(__xludf.DUMMYFUNCTION("""COMPUTED_VALUE"""),71.0)</f>
        <v>71</v>
      </c>
      <c r="I52" s="1">
        <f>IFERROR(__xludf.DUMMYFUNCTION("""COMPUTED_VALUE"""),52.0)</f>
        <v>52</v>
      </c>
      <c r="J52" s="1">
        <f>IFERROR(__xludf.DUMMYFUNCTION("""COMPUTED_VALUE"""),46.0)</f>
        <v>46</v>
      </c>
      <c r="K52" s="1">
        <f>IFERROR(__xludf.DUMMYFUNCTION("""COMPUTED_VALUE"""),50.0)</f>
        <v>50</v>
      </c>
      <c r="L52" s="1">
        <f>IFERROR(__xludf.DUMMYFUNCTION("""COMPUTED_VALUE"""),46.0)</f>
        <v>46</v>
      </c>
      <c r="M52" s="1">
        <f>IFERROR(__xludf.DUMMYFUNCTION("""COMPUTED_VALUE"""),37.0)</f>
        <v>37</v>
      </c>
      <c r="N52" s="1">
        <f>IFERROR(__xludf.DUMMYFUNCTION("""COMPUTED_VALUE"""),52.0)</f>
        <v>52</v>
      </c>
    </row>
    <row r="53">
      <c r="A53" s="1" t="str">
        <f>vlookup(B53:B356,split_names!A52:B963,2,0)</f>
        <v>Cadillac</v>
      </c>
      <c r="B53" s="1" t="str">
        <f>IFERROR(__xludf.DUMMYFUNCTION("""COMPUTED_VALUE"""),"Cadillac Escalade")</f>
        <v>Cadillac Escalade</v>
      </c>
      <c r="C53" s="4">
        <f>IFERROR(__xludf.DUMMYFUNCTION("""COMPUTED_VALUE"""),1825.0)</f>
        <v>1825</v>
      </c>
      <c r="D53" s="4">
        <f>IFERROR(__xludf.DUMMYFUNCTION("""COMPUTED_VALUE"""),2363.0)</f>
        <v>2363</v>
      </c>
      <c r="E53" s="4">
        <f>IFERROR(__xludf.DUMMYFUNCTION("""COMPUTED_VALUE"""),1431.0)</f>
        <v>1431</v>
      </c>
      <c r="F53" s="1">
        <f>IFERROR(__xludf.DUMMYFUNCTION("""COMPUTED_VALUE"""),888.0)</f>
        <v>888</v>
      </c>
      <c r="G53" s="4">
        <f>IFERROR(__xludf.DUMMYFUNCTION("""COMPUTED_VALUE"""),1974.0)</f>
        <v>1974</v>
      </c>
      <c r="H53" s="4">
        <f>IFERROR(__xludf.DUMMYFUNCTION("""COMPUTED_VALUE"""),2073.0)</f>
        <v>2073</v>
      </c>
      <c r="I53" s="4">
        <f>IFERROR(__xludf.DUMMYFUNCTION("""COMPUTED_VALUE"""),1591.0)</f>
        <v>1591</v>
      </c>
      <c r="J53" s="4">
        <f>IFERROR(__xludf.DUMMYFUNCTION("""COMPUTED_VALUE"""),1414.0)</f>
        <v>1414</v>
      </c>
      <c r="K53" s="4">
        <f>IFERROR(__xludf.DUMMYFUNCTION("""COMPUTED_VALUE"""),1532.0)</f>
        <v>1532</v>
      </c>
      <c r="L53" s="4">
        <f>IFERROR(__xludf.DUMMYFUNCTION("""COMPUTED_VALUE"""),3189.0)</f>
        <v>3189</v>
      </c>
      <c r="M53" s="4">
        <f>IFERROR(__xludf.DUMMYFUNCTION("""COMPUTED_VALUE"""),2620.0)</f>
        <v>2620</v>
      </c>
      <c r="N53" s="4">
        <f>IFERROR(__xludf.DUMMYFUNCTION("""COMPUTED_VALUE"""),3645.0)</f>
        <v>3645</v>
      </c>
    </row>
    <row r="54">
      <c r="A54" s="1" t="str">
        <f>vlookup(B54:B357,split_names!A53:B964,2,0)</f>
        <v>Cadillac</v>
      </c>
      <c r="B54" s="1" t="str">
        <f>IFERROR(__xludf.DUMMYFUNCTION("""COMPUTED_VALUE"""),"Cadillac XT4")</f>
        <v>Cadillac XT4</v>
      </c>
      <c r="C54" s="4">
        <f>IFERROR(__xludf.DUMMYFUNCTION("""COMPUTED_VALUE"""),1677.0)</f>
        <v>1677</v>
      </c>
      <c r="D54" s="4">
        <f>IFERROR(__xludf.DUMMYFUNCTION("""COMPUTED_VALUE"""),2171.0)</f>
        <v>2171</v>
      </c>
      <c r="E54" s="4">
        <f>IFERROR(__xludf.DUMMYFUNCTION("""COMPUTED_VALUE"""),1315.0)</f>
        <v>1315</v>
      </c>
      <c r="F54" s="1">
        <f>IFERROR(__xludf.DUMMYFUNCTION("""COMPUTED_VALUE"""),716.0)</f>
        <v>716</v>
      </c>
      <c r="G54" s="4">
        <f>IFERROR(__xludf.DUMMYFUNCTION("""COMPUTED_VALUE"""),1591.0)</f>
        <v>1591</v>
      </c>
      <c r="H54" s="4">
        <f>IFERROR(__xludf.DUMMYFUNCTION("""COMPUTED_VALUE"""),1671.0)</f>
        <v>1671</v>
      </c>
      <c r="I54" s="4">
        <f>IFERROR(__xludf.DUMMYFUNCTION("""COMPUTED_VALUE"""),2225.0)</f>
        <v>2225</v>
      </c>
      <c r="J54" s="4">
        <f>IFERROR(__xludf.DUMMYFUNCTION("""COMPUTED_VALUE"""),1978.0)</f>
        <v>1978</v>
      </c>
      <c r="K54" s="4">
        <f>IFERROR(__xludf.DUMMYFUNCTION("""COMPUTED_VALUE"""),2142.0)</f>
        <v>2142</v>
      </c>
      <c r="L54" s="4">
        <f>IFERROR(__xludf.DUMMYFUNCTION("""COMPUTED_VALUE"""),2357.0)</f>
        <v>2357</v>
      </c>
      <c r="M54" s="4">
        <f>IFERROR(__xludf.DUMMYFUNCTION("""COMPUTED_VALUE"""),1936.0)</f>
        <v>1936</v>
      </c>
      <c r="N54" s="4">
        <f>IFERROR(__xludf.DUMMYFUNCTION("""COMPUTED_VALUE"""),2694.0)</f>
        <v>2694</v>
      </c>
    </row>
    <row r="55">
      <c r="A55" s="1" t="str">
        <f>vlookup(B55:B358,split_names!A54:B965,2,0)</f>
        <v>Cadillac</v>
      </c>
      <c r="B55" s="1" t="str">
        <f>IFERROR(__xludf.DUMMYFUNCTION("""COMPUTED_VALUE"""),"Cadillac XT5")</f>
        <v>Cadillac XT5</v>
      </c>
      <c r="C55" s="4">
        <f>IFERROR(__xludf.DUMMYFUNCTION("""COMPUTED_VALUE"""),2931.0)</f>
        <v>2931</v>
      </c>
      <c r="D55" s="4">
        <f>IFERROR(__xludf.DUMMYFUNCTION("""COMPUTED_VALUE"""),3794.0)</f>
        <v>3794</v>
      </c>
      <c r="E55" s="4">
        <f>IFERROR(__xludf.DUMMYFUNCTION("""COMPUTED_VALUE"""),2298.0)</f>
        <v>2298</v>
      </c>
      <c r="F55" s="4">
        <f>IFERROR(__xludf.DUMMYFUNCTION("""COMPUTED_VALUE"""),1041.0)</f>
        <v>1041</v>
      </c>
      <c r="G55" s="4">
        <f>IFERROR(__xludf.DUMMYFUNCTION("""COMPUTED_VALUE"""),2313.0)</f>
        <v>2313</v>
      </c>
      <c r="H55" s="4">
        <f>IFERROR(__xludf.DUMMYFUNCTION("""COMPUTED_VALUE"""),2429.0)</f>
        <v>2429</v>
      </c>
      <c r="I55" s="4">
        <f>IFERROR(__xludf.DUMMYFUNCTION("""COMPUTED_VALUE"""),3320.0)</f>
        <v>3320</v>
      </c>
      <c r="J55" s="4">
        <f>IFERROR(__xludf.DUMMYFUNCTION("""COMPUTED_VALUE"""),2951.0)</f>
        <v>2951</v>
      </c>
      <c r="K55" s="4">
        <f>IFERROR(__xludf.DUMMYFUNCTION("""COMPUTED_VALUE"""),3197.0)</f>
        <v>3197</v>
      </c>
      <c r="L55" s="4">
        <f>IFERROR(__xludf.DUMMYFUNCTION("""COMPUTED_VALUE"""),3694.0)</f>
        <v>3694</v>
      </c>
      <c r="M55" s="4">
        <f>IFERROR(__xludf.DUMMYFUNCTION("""COMPUTED_VALUE"""),3034.0)</f>
        <v>3034</v>
      </c>
      <c r="N55" s="4">
        <f>IFERROR(__xludf.DUMMYFUNCTION("""COMPUTED_VALUE"""),4222.0)</f>
        <v>4222</v>
      </c>
    </row>
    <row r="56">
      <c r="A56" s="1" t="str">
        <f>vlookup(B56:B359,split_names!A55:B966,2,0)</f>
        <v>Cadillac</v>
      </c>
      <c r="B56" s="1" t="str">
        <f>IFERROR(__xludf.DUMMYFUNCTION("""COMPUTED_VALUE"""),"Cadillac XT6")</f>
        <v>Cadillac XT6</v>
      </c>
      <c r="C56" s="4">
        <f>IFERROR(__xludf.DUMMYFUNCTION("""COMPUTED_VALUE"""),1648.0)</f>
        <v>1648</v>
      </c>
      <c r="D56" s="4">
        <f>IFERROR(__xludf.DUMMYFUNCTION("""COMPUTED_VALUE"""),2134.0)</f>
        <v>2134</v>
      </c>
      <c r="E56" s="4">
        <f>IFERROR(__xludf.DUMMYFUNCTION("""COMPUTED_VALUE"""),1292.0)</f>
        <v>1292</v>
      </c>
      <c r="F56" s="1">
        <f>IFERROR(__xludf.DUMMYFUNCTION("""COMPUTED_VALUE"""),744.0)</f>
        <v>744</v>
      </c>
      <c r="G56" s="4">
        <f>IFERROR(__xludf.DUMMYFUNCTION("""COMPUTED_VALUE"""),1652.0)</f>
        <v>1652</v>
      </c>
      <c r="H56" s="4">
        <f>IFERROR(__xludf.DUMMYFUNCTION("""COMPUTED_VALUE"""),1735.0)</f>
        <v>1735</v>
      </c>
      <c r="I56" s="4">
        <f>IFERROR(__xludf.DUMMYFUNCTION("""COMPUTED_VALUE"""),2191.0)</f>
        <v>2191</v>
      </c>
      <c r="J56" s="4">
        <f>IFERROR(__xludf.DUMMYFUNCTION("""COMPUTED_VALUE"""),1948.0)</f>
        <v>1948</v>
      </c>
      <c r="K56" s="4">
        <f>IFERROR(__xludf.DUMMYFUNCTION("""COMPUTED_VALUE"""),2110.0)</f>
        <v>2110</v>
      </c>
      <c r="L56" s="4">
        <f>IFERROR(__xludf.DUMMYFUNCTION("""COMPUTED_VALUE"""),2414.0)</f>
        <v>2414</v>
      </c>
      <c r="M56" s="4">
        <f>IFERROR(__xludf.DUMMYFUNCTION("""COMPUTED_VALUE"""),1983.0)</f>
        <v>1983</v>
      </c>
      <c r="N56" s="4">
        <f>IFERROR(__xludf.DUMMYFUNCTION("""COMPUTED_VALUE"""),2759.0)</f>
        <v>2759</v>
      </c>
    </row>
    <row r="57">
      <c r="A57" s="1" t="str">
        <f>vlookup(B57:B360,split_names!A56:B967,2,0)</f>
        <v>Cadillac</v>
      </c>
      <c r="B57" s="1" t="str">
        <f>IFERROR(__xludf.DUMMYFUNCTION("""COMPUTED_VALUE"""),"Cadillac XTS")</f>
        <v>Cadillac XTS</v>
      </c>
      <c r="C57" s="1">
        <f>IFERROR(__xludf.DUMMYFUNCTION("""COMPUTED_VALUE"""),154.0)</f>
        <v>154</v>
      </c>
      <c r="D57" s="1">
        <f>IFERROR(__xludf.DUMMYFUNCTION("""COMPUTED_VALUE"""),199.0)</f>
        <v>199</v>
      </c>
      <c r="E57" s="1">
        <f>IFERROR(__xludf.DUMMYFUNCTION("""COMPUTED_VALUE"""),120.0)</f>
        <v>120</v>
      </c>
      <c r="F57" s="1">
        <f>IFERROR(__xludf.DUMMYFUNCTION("""COMPUTED_VALUE"""),48.0)</f>
        <v>48</v>
      </c>
      <c r="G57" s="1">
        <f>IFERROR(__xludf.DUMMYFUNCTION("""COMPUTED_VALUE"""),106.0)</f>
        <v>106</v>
      </c>
      <c r="H57" s="1">
        <f>IFERROR(__xludf.DUMMYFUNCTION("""COMPUTED_VALUE"""),111.0)</f>
        <v>111</v>
      </c>
      <c r="I57" s="1">
        <f>IFERROR(__xludf.DUMMYFUNCTION("""COMPUTED_VALUE"""),85.0)</f>
        <v>85</v>
      </c>
      <c r="J57" s="1">
        <f>IFERROR(__xludf.DUMMYFUNCTION("""COMPUTED_VALUE"""),75.0)</f>
        <v>75</v>
      </c>
      <c r="K57" s="1">
        <f>IFERROR(__xludf.DUMMYFUNCTION("""COMPUTED_VALUE"""),82.0)</f>
        <v>82</v>
      </c>
      <c r="L57" s="1">
        <f>IFERROR(__xludf.DUMMYFUNCTION("""COMPUTED_VALUE"""),74.0)</f>
        <v>74</v>
      </c>
      <c r="M57" s="1">
        <f>IFERROR(__xludf.DUMMYFUNCTION("""COMPUTED_VALUE"""),61.0)</f>
        <v>61</v>
      </c>
      <c r="N57" s="1">
        <f>IFERROR(__xludf.DUMMYFUNCTION("""COMPUTED_VALUE"""),85.0)</f>
        <v>85</v>
      </c>
    </row>
    <row r="58">
      <c r="A58" s="1" t="str">
        <f>vlookup(B58:B361,split_names!A57:B968,2,0)</f>
        <v>Chevrolet</v>
      </c>
      <c r="B58" s="1" t="str">
        <f>IFERROR(__xludf.DUMMYFUNCTION("""COMPUTED_VALUE"""),"Chevrolet Blazer")</f>
        <v>Chevrolet Blazer</v>
      </c>
      <c r="C58" s="4">
        <f>IFERROR(__xludf.DUMMYFUNCTION("""COMPUTED_VALUE"""),7192.0)</f>
        <v>7192</v>
      </c>
      <c r="D58" s="4">
        <f>IFERROR(__xludf.DUMMYFUNCTION("""COMPUTED_VALUE"""),9312.0)</f>
        <v>9312</v>
      </c>
      <c r="E58" s="4">
        <f>IFERROR(__xludf.DUMMYFUNCTION("""COMPUTED_VALUE"""),5640.0)</f>
        <v>5640</v>
      </c>
      <c r="F58" s="4">
        <f>IFERROR(__xludf.DUMMYFUNCTION("""COMPUTED_VALUE"""),3551.0)</f>
        <v>3551</v>
      </c>
      <c r="G58" s="4">
        <f>IFERROR(__xludf.DUMMYFUNCTION("""COMPUTED_VALUE"""),7890.0)</f>
        <v>7890</v>
      </c>
      <c r="H58" s="4">
        <f>IFERROR(__xludf.DUMMYFUNCTION("""COMPUTED_VALUE"""),8285.0)</f>
        <v>8285</v>
      </c>
      <c r="I58" s="4">
        <f>IFERROR(__xludf.DUMMYFUNCTION("""COMPUTED_VALUE"""),10339.0)</f>
        <v>10339</v>
      </c>
      <c r="J58" s="4">
        <f>IFERROR(__xludf.DUMMYFUNCTION("""COMPUTED_VALUE"""),9190.0)</f>
        <v>9190</v>
      </c>
      <c r="K58" s="4">
        <f>IFERROR(__xludf.DUMMYFUNCTION("""COMPUTED_VALUE"""),9956.0)</f>
        <v>9956</v>
      </c>
      <c r="L58" s="4">
        <f>IFERROR(__xludf.DUMMYFUNCTION("""COMPUTED_VALUE"""),7841.0)</f>
        <v>7841</v>
      </c>
      <c r="M58" s="4">
        <f>IFERROR(__xludf.DUMMYFUNCTION("""COMPUTED_VALUE"""),6441.0)</f>
        <v>6441</v>
      </c>
      <c r="N58" s="4">
        <f>IFERROR(__xludf.DUMMYFUNCTION("""COMPUTED_VALUE"""),8961.0)</f>
        <v>8961</v>
      </c>
    </row>
    <row r="59">
      <c r="A59" s="1" t="str">
        <f>vlookup(B59:B362,split_names!A58:B969,2,0)</f>
        <v>Chevrolet</v>
      </c>
      <c r="B59" s="1" t="str">
        <f>IFERROR(__xludf.DUMMYFUNCTION("""COMPUTED_VALUE"""),"Chevrolet Bolt")</f>
        <v>Chevrolet Bolt</v>
      </c>
      <c r="C59" s="4">
        <f>IFERROR(__xludf.DUMMYFUNCTION("""COMPUTED_VALUE"""),1908.0)</f>
        <v>1908</v>
      </c>
      <c r="D59" s="4">
        <f>IFERROR(__xludf.DUMMYFUNCTION("""COMPUTED_VALUE"""),2470.0)</f>
        <v>2470</v>
      </c>
      <c r="E59" s="4">
        <f>IFERROR(__xludf.DUMMYFUNCTION("""COMPUTED_VALUE"""),1496.0)</f>
        <v>1496</v>
      </c>
      <c r="F59" s="1">
        <f>IFERROR(__xludf.DUMMYFUNCTION("""COMPUTED_VALUE"""),449.0)</f>
        <v>449</v>
      </c>
      <c r="G59" s="1">
        <f>IFERROR(__xludf.DUMMYFUNCTION("""COMPUTED_VALUE"""),998.0)</f>
        <v>998</v>
      </c>
      <c r="H59" s="4">
        <f>IFERROR(__xludf.DUMMYFUNCTION("""COMPUTED_VALUE"""),1048.0)</f>
        <v>1048</v>
      </c>
      <c r="I59" s="4">
        <f>IFERROR(__xludf.DUMMYFUNCTION("""COMPUTED_VALUE"""),1992.0)</f>
        <v>1992</v>
      </c>
      <c r="J59" s="4">
        <f>IFERROR(__xludf.DUMMYFUNCTION("""COMPUTED_VALUE"""),1771.0)</f>
        <v>1771</v>
      </c>
      <c r="K59" s="4">
        <f>IFERROR(__xludf.DUMMYFUNCTION("""COMPUTED_VALUE"""),1919.0)</f>
        <v>1919</v>
      </c>
      <c r="L59" s="4">
        <f>IFERROR(__xludf.DUMMYFUNCTION("""COMPUTED_VALUE"""),2261.0)</f>
        <v>2261</v>
      </c>
      <c r="M59" s="4">
        <f>IFERROR(__xludf.DUMMYFUNCTION("""COMPUTED_VALUE"""),1857.0)</f>
        <v>1857</v>
      </c>
      <c r="N59" s="4">
        <f>IFERROR(__xludf.DUMMYFUNCTION("""COMPUTED_VALUE"""),2584.0)</f>
        <v>2584</v>
      </c>
    </row>
    <row r="60">
      <c r="A60" s="1" t="str">
        <f>vlookup(B60:B363,split_names!A59:B970,2,0)</f>
        <v>Chevrolet</v>
      </c>
      <c r="B60" s="1" t="str">
        <f>IFERROR(__xludf.DUMMYFUNCTION("""COMPUTED_VALUE"""),"Chevrolet Camaro")</f>
        <v>Chevrolet Camaro</v>
      </c>
      <c r="C60" s="4">
        <f>IFERROR(__xludf.DUMMYFUNCTION("""COMPUTED_VALUE"""),2334.0)</f>
        <v>2334</v>
      </c>
      <c r="D60" s="4">
        <f>IFERROR(__xludf.DUMMYFUNCTION("""COMPUTED_VALUE"""),3021.0)</f>
        <v>3021</v>
      </c>
      <c r="E60" s="4">
        <f>IFERROR(__xludf.DUMMYFUNCTION("""COMPUTED_VALUE"""),1830.0)</f>
        <v>1830</v>
      </c>
      <c r="F60" s="4">
        <f>IFERROR(__xludf.DUMMYFUNCTION("""COMPUTED_VALUE"""),1202.0)</f>
        <v>1202</v>
      </c>
      <c r="G60" s="4">
        <f>IFERROR(__xludf.DUMMYFUNCTION("""COMPUTED_VALUE"""),2670.0)</f>
        <v>2670</v>
      </c>
      <c r="H60" s="4">
        <f>IFERROR(__xludf.DUMMYFUNCTION("""COMPUTED_VALUE"""),2804.0)</f>
        <v>2804</v>
      </c>
      <c r="I60" s="4">
        <f>IFERROR(__xludf.DUMMYFUNCTION("""COMPUTED_VALUE"""),2934.0)</f>
        <v>2934</v>
      </c>
      <c r="J60" s="4">
        <f>IFERROR(__xludf.DUMMYFUNCTION("""COMPUTED_VALUE"""),2608.0)</f>
        <v>2608</v>
      </c>
      <c r="K60" s="4">
        <f>IFERROR(__xludf.DUMMYFUNCTION("""COMPUTED_VALUE"""),2825.0)</f>
        <v>2825</v>
      </c>
      <c r="L60" s="4">
        <f>IFERROR(__xludf.DUMMYFUNCTION("""COMPUTED_VALUE"""),2547.0)</f>
        <v>2547</v>
      </c>
      <c r="M60" s="4">
        <f>IFERROR(__xludf.DUMMYFUNCTION("""COMPUTED_VALUE"""),2092.0)</f>
        <v>2092</v>
      </c>
      <c r="N60" s="4">
        <f>IFERROR(__xludf.DUMMYFUNCTION("""COMPUTED_VALUE"""),2910.0)</f>
        <v>2910</v>
      </c>
    </row>
    <row r="61">
      <c r="A61" s="1" t="str">
        <f>vlookup(B61:B364,split_names!A60:B971,2,0)</f>
        <v>Chevrolet</v>
      </c>
      <c r="B61" s="1" t="str">
        <f>IFERROR(__xludf.DUMMYFUNCTION("""COMPUTED_VALUE"""),"Chevrolet Colorado")</f>
        <v>Chevrolet Colorado</v>
      </c>
      <c r="C61" s="4">
        <f>IFERROR(__xludf.DUMMYFUNCTION("""COMPUTED_VALUE"""),6960.0)</f>
        <v>6960</v>
      </c>
      <c r="D61" s="4">
        <f>IFERROR(__xludf.DUMMYFUNCTION("""COMPUTED_VALUE"""),9011.0)</f>
        <v>9011</v>
      </c>
      <c r="E61" s="4">
        <f>IFERROR(__xludf.DUMMYFUNCTION("""COMPUTED_VALUE"""),5458.0)</f>
        <v>5458</v>
      </c>
      <c r="F61" s="4">
        <f>IFERROR(__xludf.DUMMYFUNCTION("""COMPUTED_VALUE"""),3572.0)</f>
        <v>3572</v>
      </c>
      <c r="G61" s="4">
        <f>IFERROR(__xludf.DUMMYFUNCTION("""COMPUTED_VALUE"""),7937.0)</f>
        <v>7937</v>
      </c>
      <c r="H61" s="4">
        <f>IFERROR(__xludf.DUMMYFUNCTION("""COMPUTED_VALUE"""),8334.0)</f>
        <v>8334</v>
      </c>
      <c r="I61" s="4">
        <f>IFERROR(__xludf.DUMMYFUNCTION("""COMPUTED_VALUE"""),9557.0)</f>
        <v>9557</v>
      </c>
      <c r="J61" s="4">
        <f>IFERROR(__xludf.DUMMYFUNCTION("""COMPUTED_VALUE"""),8495.0)</f>
        <v>8495</v>
      </c>
      <c r="K61" s="4">
        <f>IFERROR(__xludf.DUMMYFUNCTION("""COMPUTED_VALUE"""),9203.0)</f>
        <v>9203</v>
      </c>
      <c r="L61" s="4">
        <f>IFERROR(__xludf.DUMMYFUNCTION("""COMPUTED_VALUE"""),9348.0)</f>
        <v>9348</v>
      </c>
      <c r="M61" s="4">
        <f>IFERROR(__xludf.DUMMYFUNCTION("""COMPUTED_VALUE"""),7678.0)</f>
        <v>7678</v>
      </c>
      <c r="N61" s="4">
        <f>IFERROR(__xludf.DUMMYFUNCTION("""COMPUTED_VALUE"""),10683.0)</f>
        <v>10683</v>
      </c>
    </row>
    <row r="62">
      <c r="A62" s="1" t="str">
        <f>vlookup(B62:B365,split_names!A61:B972,2,0)</f>
        <v>Chevrolet</v>
      </c>
      <c r="B62" s="1" t="str">
        <f>IFERROR(__xludf.DUMMYFUNCTION("""COMPUTED_VALUE"""),"Chevrolet Corvette")</f>
        <v>Chevrolet Corvette</v>
      </c>
      <c r="C62" s="4">
        <f>IFERROR(__xludf.DUMMYFUNCTION("""COMPUTED_VALUE"""),1241.0)</f>
        <v>1241</v>
      </c>
      <c r="D62" s="4">
        <f>IFERROR(__xludf.DUMMYFUNCTION("""COMPUTED_VALUE"""),1606.0)</f>
        <v>1606</v>
      </c>
      <c r="E62" s="1">
        <f>IFERROR(__xludf.DUMMYFUNCTION("""COMPUTED_VALUE"""),973.0)</f>
        <v>973</v>
      </c>
      <c r="F62" s="1">
        <f>IFERROR(__xludf.DUMMYFUNCTION("""COMPUTED_VALUE"""),443.0)</f>
        <v>443</v>
      </c>
      <c r="G62" s="1">
        <f>IFERROR(__xludf.DUMMYFUNCTION("""COMPUTED_VALUE"""),984.0)</f>
        <v>984</v>
      </c>
      <c r="H62" s="4">
        <f>IFERROR(__xludf.DUMMYFUNCTION("""COMPUTED_VALUE"""),1033.0)</f>
        <v>1033</v>
      </c>
      <c r="I62" s="4">
        <f>IFERROR(__xludf.DUMMYFUNCTION("""COMPUTED_VALUE"""),2228.0)</f>
        <v>2228</v>
      </c>
      <c r="J62" s="4">
        <f>IFERROR(__xludf.DUMMYFUNCTION("""COMPUTED_VALUE"""),1981.0)</f>
        <v>1981</v>
      </c>
      <c r="K62" s="4">
        <f>IFERROR(__xludf.DUMMYFUNCTION("""COMPUTED_VALUE"""),2146.0)</f>
        <v>2146</v>
      </c>
      <c r="L62" s="4">
        <f>IFERROR(__xludf.DUMMYFUNCTION("""COMPUTED_VALUE"""),3033.0)</f>
        <v>3033</v>
      </c>
      <c r="M62" s="4">
        <f>IFERROR(__xludf.DUMMYFUNCTION("""COMPUTED_VALUE"""),2492.0)</f>
        <v>2492</v>
      </c>
      <c r="N62" s="4">
        <f>IFERROR(__xludf.DUMMYFUNCTION("""COMPUTED_VALUE"""),3467.0)</f>
        <v>3467</v>
      </c>
    </row>
    <row r="63">
      <c r="A63" s="1" t="str">
        <f>vlookup(B63:B366,split_names!A62:B973,2,0)</f>
        <v>Chevrolet</v>
      </c>
      <c r="B63" s="1" t="str">
        <f>IFERROR(__xludf.DUMMYFUNCTION("""COMPUTED_VALUE"""),"Chevrolet Cruze")</f>
        <v>Chevrolet Cruze</v>
      </c>
      <c r="C63" s="1">
        <f>IFERROR(__xludf.DUMMYFUNCTION("""COMPUTED_VALUE"""),132.0)</f>
        <v>132</v>
      </c>
      <c r="D63" s="1">
        <f>IFERROR(__xludf.DUMMYFUNCTION("""COMPUTED_VALUE"""),170.0)</f>
        <v>170</v>
      </c>
      <c r="E63" s="1">
        <f>IFERROR(__xludf.DUMMYFUNCTION("""COMPUTED_VALUE"""),103.0)</f>
        <v>103</v>
      </c>
      <c r="F63" s="1">
        <f>IFERROR(__xludf.DUMMYFUNCTION("""COMPUTED_VALUE"""),50.0)</f>
        <v>50</v>
      </c>
      <c r="G63" s="1">
        <f>IFERROR(__xludf.DUMMYFUNCTION("""COMPUTED_VALUE"""),111.0)</f>
        <v>111</v>
      </c>
      <c r="H63" s="1">
        <f>IFERROR(__xludf.DUMMYFUNCTION("""COMPUTED_VALUE"""),116.0)</f>
        <v>116</v>
      </c>
      <c r="I63" s="1">
        <f>IFERROR(__xludf.DUMMYFUNCTION("""COMPUTED_VALUE"""),25.0)</f>
        <v>25</v>
      </c>
      <c r="J63" s="1">
        <f>IFERROR(__xludf.DUMMYFUNCTION("""COMPUTED_VALUE"""),22.0)</f>
        <v>22</v>
      </c>
      <c r="K63" s="1">
        <f>IFERROR(__xludf.DUMMYFUNCTION("""COMPUTED_VALUE"""),24.0)</f>
        <v>24</v>
      </c>
      <c r="L63" s="1">
        <f>IFERROR(__xludf.DUMMYFUNCTION("""COMPUTED_VALUE"""),10.0)</f>
        <v>10</v>
      </c>
      <c r="M63" s="1">
        <f>IFERROR(__xludf.DUMMYFUNCTION("""COMPUTED_VALUE"""),8.0)</f>
        <v>8</v>
      </c>
      <c r="N63" s="1">
        <f>IFERROR(__xludf.DUMMYFUNCTION("""COMPUTED_VALUE"""),12.0)</f>
        <v>12</v>
      </c>
    </row>
    <row r="64">
      <c r="A64" s="1" t="str">
        <f>vlookup(B64:B367,split_names!A63:B974,2,0)</f>
        <v>Chevrolet</v>
      </c>
      <c r="B64" s="1" t="str">
        <f>IFERROR(__xludf.DUMMYFUNCTION("""COMPUTED_VALUE"""),"Chevrolet Equinox")</f>
        <v>Chevrolet Equinox</v>
      </c>
      <c r="C64" s="4">
        <f>IFERROR(__xludf.DUMMYFUNCTION("""COMPUTED_VALUE"""),23858.0)</f>
        <v>23858</v>
      </c>
      <c r="D64" s="4">
        <f>IFERROR(__xludf.DUMMYFUNCTION("""COMPUTED_VALUE"""),30887.0)</f>
        <v>30887</v>
      </c>
      <c r="E64" s="4">
        <f>IFERROR(__xludf.DUMMYFUNCTION("""COMPUTED_VALUE"""),18708.0)</f>
        <v>18708</v>
      </c>
      <c r="F64" s="4">
        <f>IFERROR(__xludf.DUMMYFUNCTION("""COMPUTED_VALUE"""),9144.0)</f>
        <v>9144</v>
      </c>
      <c r="G64" s="4">
        <f>IFERROR(__xludf.DUMMYFUNCTION("""COMPUTED_VALUE"""),20319.0)</f>
        <v>20319</v>
      </c>
      <c r="H64" s="4">
        <f>IFERROR(__xludf.DUMMYFUNCTION("""COMPUTED_VALUE"""),21335.0)</f>
        <v>21335</v>
      </c>
      <c r="I64" s="4">
        <f>IFERROR(__xludf.DUMMYFUNCTION("""COMPUTED_VALUE"""),23660.0)</f>
        <v>23660</v>
      </c>
      <c r="J64" s="4">
        <f>IFERROR(__xludf.DUMMYFUNCTION("""COMPUTED_VALUE"""),21031.0)</f>
        <v>21031</v>
      </c>
      <c r="K64" s="4">
        <f>IFERROR(__xludf.DUMMYFUNCTION("""COMPUTED_VALUE"""),22784.0)</f>
        <v>22784</v>
      </c>
      <c r="L64" s="4">
        <f>IFERROR(__xludf.DUMMYFUNCTION("""COMPUTED_VALUE"""),26741.0)</f>
        <v>26741</v>
      </c>
      <c r="M64" s="4">
        <f>IFERROR(__xludf.DUMMYFUNCTION("""COMPUTED_VALUE"""),21966.0)</f>
        <v>21966</v>
      </c>
      <c r="N64" s="4">
        <f>IFERROR(__xludf.DUMMYFUNCTION("""COMPUTED_VALUE"""),30561.0)</f>
        <v>30561</v>
      </c>
    </row>
    <row r="65">
      <c r="A65" s="1" t="str">
        <f>vlookup(B65:B368,split_names!A64:B975,2,0)</f>
        <v>Chevrolet</v>
      </c>
      <c r="B65" s="1" t="str">
        <f>IFERROR(__xludf.DUMMYFUNCTION("""COMPUTED_VALUE"""),"Chevrolet Express")</f>
        <v>Chevrolet Express</v>
      </c>
      <c r="C65" s="4">
        <f>IFERROR(__xludf.DUMMYFUNCTION("""COMPUTED_VALUE"""),4323.0)</f>
        <v>4323</v>
      </c>
      <c r="D65" s="4">
        <f>IFERROR(__xludf.DUMMYFUNCTION("""COMPUTED_VALUE"""),5596.0)</f>
        <v>5596</v>
      </c>
      <c r="E65" s="4">
        <f>IFERROR(__xludf.DUMMYFUNCTION("""COMPUTED_VALUE"""),3390.0)</f>
        <v>3390</v>
      </c>
      <c r="F65" s="4">
        <f>IFERROR(__xludf.DUMMYFUNCTION("""COMPUTED_VALUE"""),1621.0)</f>
        <v>1621</v>
      </c>
      <c r="G65" s="4">
        <f>IFERROR(__xludf.DUMMYFUNCTION("""COMPUTED_VALUE"""),3602.0)</f>
        <v>3602</v>
      </c>
      <c r="H65" s="4">
        <f>IFERROR(__xludf.DUMMYFUNCTION("""COMPUTED_VALUE"""),3783.0)</f>
        <v>3783</v>
      </c>
      <c r="I65" s="4">
        <f>IFERROR(__xludf.DUMMYFUNCTION("""COMPUTED_VALUE"""),5184.0)</f>
        <v>5184</v>
      </c>
      <c r="J65" s="4">
        <f>IFERROR(__xludf.DUMMYFUNCTION("""COMPUTED_VALUE"""),4608.0)</f>
        <v>4608</v>
      </c>
      <c r="K65" s="4">
        <f>IFERROR(__xludf.DUMMYFUNCTION("""COMPUTED_VALUE"""),4992.0)</f>
        <v>4992</v>
      </c>
      <c r="L65" s="4">
        <f>IFERROR(__xludf.DUMMYFUNCTION("""COMPUTED_VALUE"""),6052.0)</f>
        <v>6052</v>
      </c>
      <c r="M65" s="4">
        <f>IFERROR(__xludf.DUMMYFUNCTION("""COMPUTED_VALUE"""),4972.0)</f>
        <v>4972</v>
      </c>
      <c r="N65" s="4">
        <f>IFERROR(__xludf.DUMMYFUNCTION("""COMPUTED_VALUE"""),6917.0)</f>
        <v>6917</v>
      </c>
    </row>
    <row r="66">
      <c r="A66" s="1" t="str">
        <f>vlookup(B66:B369,split_names!A65:B976,2,0)</f>
        <v>Chevrolet</v>
      </c>
      <c r="B66" s="1" t="str">
        <f>IFERROR(__xludf.DUMMYFUNCTION("""COMPUTED_VALUE"""),"Chevrolet Impala")</f>
        <v>Chevrolet Impala</v>
      </c>
      <c r="C66" s="4">
        <f>IFERROR(__xludf.DUMMYFUNCTION("""COMPUTED_VALUE"""),1613.0)</f>
        <v>1613</v>
      </c>
      <c r="D66" s="4">
        <f>IFERROR(__xludf.DUMMYFUNCTION("""COMPUTED_VALUE"""),2088.0)</f>
        <v>2088</v>
      </c>
      <c r="E66" s="4">
        <f>IFERROR(__xludf.DUMMYFUNCTION("""COMPUTED_VALUE"""),1265.0)</f>
        <v>1265</v>
      </c>
      <c r="F66" s="1">
        <f>IFERROR(__xludf.DUMMYFUNCTION("""COMPUTED_VALUE"""),366.0)</f>
        <v>366</v>
      </c>
      <c r="G66" s="1">
        <f>IFERROR(__xludf.DUMMYFUNCTION("""COMPUTED_VALUE"""),813.0)</f>
        <v>813</v>
      </c>
      <c r="H66" s="1">
        <f>IFERROR(__xludf.DUMMYFUNCTION("""COMPUTED_VALUE"""),854.0)</f>
        <v>854</v>
      </c>
      <c r="I66" s="1">
        <f>IFERROR(__xludf.DUMMYFUNCTION("""COMPUTED_VALUE"""),672.0)</f>
        <v>672</v>
      </c>
      <c r="J66" s="1">
        <f>IFERROR(__xludf.DUMMYFUNCTION("""COMPUTED_VALUE"""),597.0)</f>
        <v>597</v>
      </c>
      <c r="K66" s="1">
        <f>IFERROR(__xludf.DUMMYFUNCTION("""COMPUTED_VALUE"""),647.0)</f>
        <v>647</v>
      </c>
      <c r="L66" s="1">
        <f>IFERROR(__xludf.DUMMYFUNCTION("""COMPUTED_VALUE"""),347.0)</f>
        <v>347</v>
      </c>
      <c r="M66" s="1">
        <f>IFERROR(__xludf.DUMMYFUNCTION("""COMPUTED_VALUE"""),285.0)</f>
        <v>285</v>
      </c>
      <c r="N66" s="1">
        <f>IFERROR(__xludf.DUMMYFUNCTION("""COMPUTED_VALUE"""),396.0)</f>
        <v>396</v>
      </c>
    </row>
    <row r="67">
      <c r="A67" s="1" t="str">
        <f>vlookup(B67:B370,split_names!A66:B977,2,0)</f>
        <v>Chevrolet</v>
      </c>
      <c r="B67" s="1" t="str">
        <f>IFERROR(__xludf.DUMMYFUNCTION("""COMPUTED_VALUE"""),"Chevrolet Malibu")</f>
        <v>Chevrolet Malibu</v>
      </c>
      <c r="C67" s="4">
        <f>IFERROR(__xludf.DUMMYFUNCTION("""COMPUTED_VALUE"""),11460.0)</f>
        <v>11460</v>
      </c>
      <c r="D67" s="4">
        <f>IFERROR(__xludf.DUMMYFUNCTION("""COMPUTED_VALUE"""),14837.0)</f>
        <v>14837</v>
      </c>
      <c r="E67" s="4">
        <f>IFERROR(__xludf.DUMMYFUNCTION("""COMPUTED_VALUE"""),8987.0)</f>
        <v>8987</v>
      </c>
      <c r="F67" s="4">
        <f>IFERROR(__xludf.DUMMYFUNCTION("""COMPUTED_VALUE"""),2279.0)</f>
        <v>2279</v>
      </c>
      <c r="G67" s="4">
        <f>IFERROR(__xludf.DUMMYFUNCTION("""COMPUTED_VALUE"""),5064.0)</f>
        <v>5064</v>
      </c>
      <c r="H67" s="4">
        <f>IFERROR(__xludf.DUMMYFUNCTION("""COMPUTED_VALUE"""),5318.0)</f>
        <v>5318</v>
      </c>
      <c r="I67" s="4">
        <f>IFERROR(__xludf.DUMMYFUNCTION("""COMPUTED_VALUE"""),8926.0)</f>
        <v>8926</v>
      </c>
      <c r="J67" s="4">
        <f>IFERROR(__xludf.DUMMYFUNCTION("""COMPUTED_VALUE"""),7934.0)</f>
        <v>7934</v>
      </c>
      <c r="K67" s="4">
        <f>IFERROR(__xludf.DUMMYFUNCTION("""COMPUTED_VALUE"""),8595.0)</f>
        <v>8595</v>
      </c>
      <c r="L67" s="4">
        <f>IFERROR(__xludf.DUMMYFUNCTION("""COMPUTED_VALUE"""),9868.0)</f>
        <v>9868</v>
      </c>
      <c r="M67" s="4">
        <f>IFERROR(__xludf.DUMMYFUNCTION("""COMPUTED_VALUE"""),8106.0)</f>
        <v>8106</v>
      </c>
      <c r="N67" s="4">
        <f>IFERROR(__xludf.DUMMYFUNCTION("""COMPUTED_VALUE"""),11278.0)</f>
        <v>11278</v>
      </c>
    </row>
    <row r="68">
      <c r="A68" s="1" t="str">
        <f>vlookup(B68:B371,split_names!A67:B978,2,0)</f>
        <v>Chevrolet</v>
      </c>
      <c r="B68" s="1" t="str">
        <f>IFERROR(__xludf.DUMMYFUNCTION("""COMPUTED_VALUE"""),"Chevrolet Silverado")</f>
        <v>Chevrolet Silverado</v>
      </c>
      <c r="C68" s="4">
        <f>IFERROR(__xludf.DUMMYFUNCTION("""COMPUTED_VALUE"""),46673.0)</f>
        <v>46673</v>
      </c>
      <c r="D68" s="4">
        <f>IFERROR(__xludf.DUMMYFUNCTION("""COMPUTED_VALUE"""),60425.0)</f>
        <v>60425</v>
      </c>
      <c r="E68" s="4">
        <f>IFERROR(__xludf.DUMMYFUNCTION("""COMPUTED_VALUE"""),36600.0)</f>
        <v>36600</v>
      </c>
      <c r="F68" s="4">
        <f>IFERROR(__xludf.DUMMYFUNCTION("""COMPUTED_VALUE"""),22038.0)</f>
        <v>22038</v>
      </c>
      <c r="G68" s="4">
        <f>IFERROR(__xludf.DUMMYFUNCTION("""COMPUTED_VALUE"""),48973.0)</f>
        <v>48973</v>
      </c>
      <c r="H68" s="4">
        <f>IFERROR(__xludf.DUMMYFUNCTION("""COMPUTED_VALUE"""),51421.0)</f>
        <v>51421</v>
      </c>
      <c r="I68" s="4">
        <f>IFERROR(__xludf.DUMMYFUNCTION("""COMPUTED_VALUE"""),51715.0)</f>
        <v>51715</v>
      </c>
      <c r="J68" s="4">
        <f>IFERROR(__xludf.DUMMYFUNCTION("""COMPUTED_VALUE"""),45969.0)</f>
        <v>45969</v>
      </c>
      <c r="K68" s="4">
        <f>IFERROR(__xludf.DUMMYFUNCTION("""COMPUTED_VALUE"""),49800.0)</f>
        <v>49800</v>
      </c>
      <c r="L68" s="4">
        <f>IFERROR(__xludf.DUMMYFUNCTION("""COMPUTED_VALUE"""),60535.0)</f>
        <v>60535</v>
      </c>
      <c r="M68" s="4">
        <f>IFERROR(__xludf.DUMMYFUNCTION("""COMPUTED_VALUE"""),49725.0)</f>
        <v>49725</v>
      </c>
      <c r="N68" s="4">
        <f>IFERROR(__xludf.DUMMYFUNCTION("""COMPUTED_VALUE"""),69183.0)</f>
        <v>69183</v>
      </c>
    </row>
    <row r="69">
      <c r="A69" s="1" t="str">
        <f>vlookup(B69:B372,split_names!A68:B979,2,0)</f>
        <v>Chevrolet</v>
      </c>
      <c r="B69" s="1" t="str">
        <f>IFERROR(__xludf.DUMMYFUNCTION("""COMPUTED_VALUE"""),"Chevrolet Sonic")</f>
        <v>Chevrolet Sonic</v>
      </c>
      <c r="C69" s="4">
        <f>IFERROR(__xludf.DUMMYFUNCTION("""COMPUTED_VALUE"""),1410.0)</f>
        <v>1410</v>
      </c>
      <c r="D69" s="4">
        <f>IFERROR(__xludf.DUMMYFUNCTION("""COMPUTED_VALUE"""),1825.0)</f>
        <v>1825</v>
      </c>
      <c r="E69" s="4">
        <f>IFERROR(__xludf.DUMMYFUNCTION("""COMPUTED_VALUE"""),1106.0)</f>
        <v>1106</v>
      </c>
      <c r="F69" s="1">
        <f>IFERROR(__xludf.DUMMYFUNCTION("""COMPUTED_VALUE"""),380.0)</f>
        <v>380</v>
      </c>
      <c r="G69" s="1">
        <f>IFERROR(__xludf.DUMMYFUNCTION("""COMPUTED_VALUE"""),844.0)</f>
        <v>844</v>
      </c>
      <c r="H69" s="1">
        <f>IFERROR(__xludf.DUMMYFUNCTION("""COMPUTED_VALUE"""),887.0)</f>
        <v>887</v>
      </c>
      <c r="I69" s="4">
        <f>IFERROR(__xludf.DUMMYFUNCTION("""COMPUTED_VALUE"""),1524.0)</f>
        <v>1524</v>
      </c>
      <c r="J69" s="4">
        <f>IFERROR(__xludf.DUMMYFUNCTION("""COMPUTED_VALUE"""),1355.0)</f>
        <v>1355</v>
      </c>
      <c r="K69" s="4">
        <f>IFERROR(__xludf.DUMMYFUNCTION("""COMPUTED_VALUE"""),1468.0)</f>
        <v>1468</v>
      </c>
      <c r="L69" s="1">
        <f>IFERROR(__xludf.DUMMYFUNCTION("""COMPUTED_VALUE"""),745.0)</f>
        <v>745</v>
      </c>
      <c r="M69" s="1">
        <f>IFERROR(__xludf.DUMMYFUNCTION("""COMPUTED_VALUE"""),612.0)</f>
        <v>612</v>
      </c>
      <c r="N69" s="1">
        <f>IFERROR(__xludf.DUMMYFUNCTION("""COMPUTED_VALUE"""),851.0)</f>
        <v>851</v>
      </c>
    </row>
    <row r="70">
      <c r="A70" s="1" t="str">
        <f>vlookup(B70:B373,split_names!A69:B980,2,0)</f>
        <v>Chevrolet</v>
      </c>
      <c r="B70" s="1" t="str">
        <f>IFERROR(__xludf.DUMMYFUNCTION("""COMPUTED_VALUE"""),"Chevrolet Spark")</f>
        <v>Chevrolet Spark</v>
      </c>
      <c r="C70" s="4">
        <f>IFERROR(__xludf.DUMMYFUNCTION("""COMPUTED_VALUE"""),3038.0)</f>
        <v>3038</v>
      </c>
      <c r="D70" s="4">
        <f>IFERROR(__xludf.DUMMYFUNCTION("""COMPUTED_VALUE"""),3933.0)</f>
        <v>3933</v>
      </c>
      <c r="E70" s="4">
        <f>IFERROR(__xludf.DUMMYFUNCTION("""COMPUTED_VALUE"""),2382.0)</f>
        <v>2382</v>
      </c>
      <c r="F70" s="1">
        <f>IFERROR(__xludf.DUMMYFUNCTION("""COMPUTED_VALUE"""),956.0)</f>
        <v>956</v>
      </c>
      <c r="G70" s="4">
        <f>IFERROR(__xludf.DUMMYFUNCTION("""COMPUTED_VALUE"""),2124.0)</f>
        <v>2124</v>
      </c>
      <c r="H70" s="4">
        <f>IFERROR(__xludf.DUMMYFUNCTION("""COMPUTED_VALUE"""),2231.0)</f>
        <v>2231</v>
      </c>
      <c r="I70" s="4">
        <f>IFERROR(__xludf.DUMMYFUNCTION("""COMPUTED_VALUE"""),2936.0)</f>
        <v>2936</v>
      </c>
      <c r="J70" s="4">
        <f>IFERROR(__xludf.DUMMYFUNCTION("""COMPUTED_VALUE"""),2610.0)</f>
        <v>2610</v>
      </c>
      <c r="K70" s="4">
        <f>IFERROR(__xludf.DUMMYFUNCTION("""COMPUTED_VALUE"""),2827.0)</f>
        <v>2827</v>
      </c>
      <c r="L70" s="4">
        <f>IFERROR(__xludf.DUMMYFUNCTION("""COMPUTED_VALUE"""),3523.0)</f>
        <v>3523</v>
      </c>
      <c r="M70" s="4">
        <f>IFERROR(__xludf.DUMMYFUNCTION("""COMPUTED_VALUE"""),2894.0)</f>
        <v>2894</v>
      </c>
      <c r="N70" s="4">
        <f>IFERROR(__xludf.DUMMYFUNCTION("""COMPUTED_VALUE"""),4026.0)</f>
        <v>4026</v>
      </c>
    </row>
    <row r="71">
      <c r="A71" s="1" t="str">
        <f>vlookup(B71:B374,split_names!A70:B981,2,0)</f>
        <v>Chevrolet</v>
      </c>
      <c r="B71" s="1" t="str">
        <f>IFERROR(__xludf.DUMMYFUNCTION("""COMPUTED_VALUE"""),"Chevrolet Suburban")</f>
        <v>Chevrolet Suburban</v>
      </c>
      <c r="C71" s="4">
        <f>IFERROR(__xludf.DUMMYFUNCTION("""COMPUTED_VALUE"""),3084.0)</f>
        <v>3084</v>
      </c>
      <c r="D71" s="1">
        <f>IFERROR(__xludf.DUMMYFUNCTION("""COMPUTED_VALUE"""),0.0)</f>
        <v>0</v>
      </c>
      <c r="E71" s="4">
        <f>IFERROR(__xludf.DUMMYFUNCTION("""COMPUTED_VALUE"""),2418.0)</f>
        <v>2418</v>
      </c>
      <c r="F71" s="4">
        <f>IFERROR(__xludf.DUMMYFUNCTION("""COMPUTED_VALUE"""),1263.0)</f>
        <v>1263</v>
      </c>
      <c r="G71" s="4">
        <f>IFERROR(__xludf.DUMMYFUNCTION("""COMPUTED_VALUE"""),2806.0)</f>
        <v>2806</v>
      </c>
      <c r="H71" s="4">
        <f>IFERROR(__xludf.DUMMYFUNCTION("""COMPUTED_VALUE"""),2947.0)</f>
        <v>2947</v>
      </c>
      <c r="I71" s="4">
        <f>IFERROR(__xludf.DUMMYFUNCTION("""COMPUTED_VALUE"""),2647.0)</f>
        <v>2647</v>
      </c>
      <c r="J71" s="4">
        <f>IFERROR(__xludf.DUMMYFUNCTION("""COMPUTED_VALUE"""),2353.0)</f>
        <v>2353</v>
      </c>
      <c r="K71" s="4">
        <f>IFERROR(__xludf.DUMMYFUNCTION("""COMPUTED_VALUE"""),2549.0)</f>
        <v>2549</v>
      </c>
      <c r="L71" s="4">
        <f>IFERROR(__xludf.DUMMYFUNCTION("""COMPUTED_VALUE"""),4580.0)</f>
        <v>4580</v>
      </c>
      <c r="M71" s="4">
        <f>IFERROR(__xludf.DUMMYFUNCTION("""COMPUTED_VALUE"""),3762.0)</f>
        <v>3762</v>
      </c>
      <c r="N71" s="4">
        <f>IFERROR(__xludf.DUMMYFUNCTION("""COMPUTED_VALUE"""),5235.0)</f>
        <v>5235</v>
      </c>
    </row>
    <row r="72">
      <c r="A72" s="1" t="str">
        <f>vlookup(B72:B375,split_names!A71:B982,2,0)</f>
        <v>Chevrolet</v>
      </c>
      <c r="B72" s="1" t="str">
        <f>IFERROR(__xludf.DUMMYFUNCTION("""COMPUTED_VALUE"""),"Chevrolet Tahoe")</f>
        <v>Chevrolet Tahoe</v>
      </c>
      <c r="C72" s="4">
        <f>IFERROR(__xludf.DUMMYFUNCTION("""COMPUTED_VALUE"""),6627.0)</f>
        <v>6627</v>
      </c>
      <c r="D72" s="4">
        <f>IFERROR(__xludf.DUMMYFUNCTION("""COMPUTED_VALUE"""),8579.0)</f>
        <v>8579</v>
      </c>
      <c r="E72" s="4">
        <f>IFERROR(__xludf.DUMMYFUNCTION("""COMPUTED_VALUE"""),5197.0)</f>
        <v>5197</v>
      </c>
      <c r="F72" s="4">
        <f>IFERROR(__xludf.DUMMYFUNCTION("""COMPUTED_VALUE"""),2883.0)</f>
        <v>2883</v>
      </c>
      <c r="G72" s="4">
        <f>IFERROR(__xludf.DUMMYFUNCTION("""COMPUTED_VALUE"""),6406.0)</f>
        <v>6406</v>
      </c>
      <c r="H72" s="4">
        <f>IFERROR(__xludf.DUMMYFUNCTION("""COMPUTED_VALUE"""),6727.0)</f>
        <v>6727</v>
      </c>
      <c r="I72" s="4">
        <f>IFERROR(__xludf.DUMMYFUNCTION("""COMPUTED_VALUE"""),8107.0)</f>
        <v>8107</v>
      </c>
      <c r="J72" s="4">
        <f>IFERROR(__xludf.DUMMYFUNCTION("""COMPUTED_VALUE"""),7207.0)</f>
        <v>7207</v>
      </c>
      <c r="K72" s="4">
        <f>IFERROR(__xludf.DUMMYFUNCTION("""COMPUTED_VALUE"""),7807.0)</f>
        <v>7807</v>
      </c>
      <c r="L72" s="4">
        <f>IFERROR(__xludf.DUMMYFUNCTION("""COMPUTED_VALUE"""),9681.0)</f>
        <v>9681</v>
      </c>
      <c r="M72" s="4">
        <f>IFERROR(__xludf.DUMMYFUNCTION("""COMPUTED_VALUE"""),7952.0)</f>
        <v>7952</v>
      </c>
      <c r="N72" s="4">
        <f>IFERROR(__xludf.DUMMYFUNCTION("""COMPUTED_VALUE"""),11064.0)</f>
        <v>11064</v>
      </c>
    </row>
    <row r="73">
      <c r="A73" s="1" t="str">
        <f>vlookup(B73:B376,split_names!A72:B983,2,0)</f>
        <v>Chevrolet</v>
      </c>
      <c r="B73" s="1" t="str">
        <f>IFERROR(__xludf.DUMMYFUNCTION("""COMPUTED_VALUE"""),"Chevrolet TrailBlazer")</f>
        <v>Chevrolet TrailBlazer</v>
      </c>
      <c r="C73" s="1">
        <f>IFERROR(__xludf.DUMMYFUNCTION("""COMPUTED_VALUE"""),1.0)</f>
        <v>1</v>
      </c>
      <c r="D73" s="1">
        <f>IFERROR(__xludf.DUMMYFUNCTION("""COMPUTED_VALUE"""),1.0)</f>
        <v>1</v>
      </c>
      <c r="E73" s="1">
        <f>IFERROR(__xludf.DUMMYFUNCTION("""COMPUTED_VALUE"""),1.0)</f>
        <v>1</v>
      </c>
      <c r="F73" s="4">
        <f>IFERROR(__xludf.DUMMYFUNCTION("""COMPUTED_VALUE"""),1206.0)</f>
        <v>1206</v>
      </c>
      <c r="G73" s="4">
        <f>IFERROR(__xludf.DUMMYFUNCTION("""COMPUTED_VALUE"""),2680.0)</f>
        <v>2680</v>
      </c>
      <c r="H73" s="4">
        <f>IFERROR(__xludf.DUMMYFUNCTION("""COMPUTED_VALUE"""),2814.0)</f>
        <v>2814</v>
      </c>
      <c r="I73" s="4">
        <f>IFERROR(__xludf.DUMMYFUNCTION("""COMPUTED_VALUE"""),3619.0)</f>
        <v>3619</v>
      </c>
      <c r="J73" s="4">
        <f>IFERROR(__xludf.DUMMYFUNCTION("""COMPUTED_VALUE"""),3217.0)</f>
        <v>3217</v>
      </c>
      <c r="K73" s="4">
        <f>IFERROR(__xludf.DUMMYFUNCTION("""COMPUTED_VALUE"""),3485.0)</f>
        <v>3485</v>
      </c>
      <c r="L73" s="4">
        <f>IFERROR(__xludf.DUMMYFUNCTION("""COMPUTED_VALUE"""),5825.0)</f>
        <v>5825</v>
      </c>
      <c r="M73" s="4">
        <f>IFERROR(__xludf.DUMMYFUNCTION("""COMPUTED_VALUE"""),4785.0)</f>
        <v>4785</v>
      </c>
      <c r="N73" s="4">
        <f>IFERROR(__xludf.DUMMYFUNCTION("""COMPUTED_VALUE"""),6658.0)</f>
        <v>6658</v>
      </c>
    </row>
    <row r="74">
      <c r="A74" s="1" t="str">
        <f>vlookup(B74:B377,split_names!A73:B984,2,0)</f>
        <v>Chevrolet</v>
      </c>
      <c r="B74" s="1" t="str">
        <f>IFERROR(__xludf.DUMMYFUNCTION("""COMPUTED_VALUE"""),"Chevrolet Traverse")</f>
        <v>Chevrolet Traverse</v>
      </c>
      <c r="C74" s="4">
        <f>IFERROR(__xludf.DUMMYFUNCTION("""COMPUTED_VALUE"""),9775.0)</f>
        <v>9775</v>
      </c>
      <c r="D74" s="4">
        <f>IFERROR(__xludf.DUMMYFUNCTION("""COMPUTED_VALUE"""),12655.0)</f>
        <v>12655</v>
      </c>
      <c r="E74" s="4">
        <f>IFERROR(__xludf.DUMMYFUNCTION("""COMPUTED_VALUE"""),7665.0)</f>
        <v>7665</v>
      </c>
      <c r="F74" s="4">
        <f>IFERROR(__xludf.DUMMYFUNCTION("""COMPUTED_VALUE"""),4017.0)</f>
        <v>4017</v>
      </c>
      <c r="G74" s="4">
        <f>IFERROR(__xludf.DUMMYFUNCTION("""COMPUTED_VALUE"""),8926.0)</f>
        <v>8926</v>
      </c>
      <c r="H74" s="4">
        <f>IFERROR(__xludf.DUMMYFUNCTION("""COMPUTED_VALUE"""),9372.0)</f>
        <v>9372</v>
      </c>
      <c r="I74" s="4">
        <f>IFERROR(__xludf.DUMMYFUNCTION("""COMPUTED_VALUE"""),11082.0)</f>
        <v>11082</v>
      </c>
      <c r="J74" s="4">
        <f>IFERROR(__xludf.DUMMYFUNCTION("""COMPUTED_VALUE"""),9850.0)</f>
        <v>9850</v>
      </c>
      <c r="K74" s="4">
        <f>IFERROR(__xludf.DUMMYFUNCTION("""COMPUTED_VALUE"""),10671.0)</f>
        <v>10671</v>
      </c>
      <c r="L74" s="4">
        <f>IFERROR(__xludf.DUMMYFUNCTION("""COMPUTED_VALUE"""),14011.0)</f>
        <v>14011</v>
      </c>
      <c r="M74" s="4">
        <f>IFERROR(__xludf.DUMMYFUNCTION("""COMPUTED_VALUE"""),11509.0)</f>
        <v>11509</v>
      </c>
      <c r="N74" s="4">
        <f>IFERROR(__xludf.DUMMYFUNCTION("""COMPUTED_VALUE"""),16013.0)</f>
        <v>16013</v>
      </c>
    </row>
    <row r="75">
      <c r="A75" s="1" t="str">
        <f>vlookup(B75:B378,split_names!A74:B985,2,0)</f>
        <v>Chevrolet</v>
      </c>
      <c r="B75" s="1" t="str">
        <f>IFERROR(__xludf.DUMMYFUNCTION("""COMPUTED_VALUE"""),"Chevrolet Trax")</f>
        <v>Chevrolet Trax</v>
      </c>
      <c r="C75" s="4">
        <f>IFERROR(__xludf.DUMMYFUNCTION("""COMPUTED_VALUE"""),9173.0)</f>
        <v>9173</v>
      </c>
      <c r="D75" s="4">
        <f>IFERROR(__xludf.DUMMYFUNCTION("""COMPUTED_VALUE"""),11876.0)</f>
        <v>11876</v>
      </c>
      <c r="E75" s="4">
        <f>IFERROR(__xludf.DUMMYFUNCTION("""COMPUTED_VALUE"""),7193.0)</f>
        <v>7193</v>
      </c>
      <c r="F75" s="4">
        <f>IFERROR(__xludf.DUMMYFUNCTION("""COMPUTED_VALUE"""),4044.0)</f>
        <v>4044</v>
      </c>
      <c r="G75" s="4">
        <f>IFERROR(__xludf.DUMMYFUNCTION("""COMPUTED_VALUE"""),8986.0)</f>
        <v>8986</v>
      </c>
      <c r="H75" s="4">
        <f>IFERROR(__xludf.DUMMYFUNCTION("""COMPUTED_VALUE"""),9436.0)</f>
        <v>9436</v>
      </c>
      <c r="I75" s="4">
        <f>IFERROR(__xludf.DUMMYFUNCTION("""COMPUTED_VALUE"""),10339.0)</f>
        <v>10339</v>
      </c>
      <c r="J75" s="4">
        <f>IFERROR(__xludf.DUMMYFUNCTION("""COMPUTED_VALUE"""),9190.0)</f>
        <v>9190</v>
      </c>
      <c r="K75" s="4">
        <f>IFERROR(__xludf.DUMMYFUNCTION("""COMPUTED_VALUE"""),9956.0)</f>
        <v>9956</v>
      </c>
      <c r="L75" s="4">
        <f>IFERROR(__xludf.DUMMYFUNCTION("""COMPUTED_VALUE"""),8807.0)</f>
        <v>8807</v>
      </c>
      <c r="M75" s="4">
        <f>IFERROR(__xludf.DUMMYFUNCTION("""COMPUTED_VALUE"""),7234.0)</f>
        <v>7234</v>
      </c>
      <c r="N75" s="4">
        <f>IFERROR(__xludf.DUMMYFUNCTION("""COMPUTED_VALUE"""),10065.0)</f>
        <v>10065</v>
      </c>
    </row>
    <row r="76">
      <c r="A76" s="1" t="str">
        <f>vlookup(B76:B379,split_names!A75:B986,2,0)</f>
        <v>Chevrolet</v>
      </c>
      <c r="B76" s="1" t="str">
        <f>IFERROR(__xludf.DUMMYFUNCTION("""COMPUTED_VALUE"""),"Chevrolet Volt")</f>
        <v>Chevrolet Volt</v>
      </c>
      <c r="C76" s="1">
        <f>IFERROR(__xludf.DUMMYFUNCTION("""COMPUTED_VALUE"""),7.0)</f>
        <v>7</v>
      </c>
      <c r="D76" s="1">
        <f>IFERROR(__xludf.DUMMYFUNCTION("""COMPUTED_VALUE"""),10.0)</f>
        <v>10</v>
      </c>
      <c r="E76" s="1">
        <f>IFERROR(__xludf.DUMMYFUNCTION("""COMPUTED_VALUE"""),6.0)</f>
        <v>6</v>
      </c>
      <c r="F76" s="1">
        <f>IFERROR(__xludf.DUMMYFUNCTION("""COMPUTED_VALUE"""),7.0)</f>
        <v>7</v>
      </c>
      <c r="G76" s="1">
        <f>IFERROR(__xludf.DUMMYFUNCTION("""COMPUTED_VALUE"""),16.0)</f>
        <v>16</v>
      </c>
      <c r="H76" s="1">
        <f>IFERROR(__xludf.DUMMYFUNCTION("""COMPUTED_VALUE"""),16.0)</f>
        <v>16</v>
      </c>
      <c r="I76" s="1">
        <f>IFERROR(__xludf.DUMMYFUNCTION("""COMPUTED_VALUE"""),2.0)</f>
        <v>2</v>
      </c>
      <c r="J76" s="1">
        <f>IFERROR(__xludf.DUMMYFUNCTION("""COMPUTED_VALUE"""),2.0)</f>
        <v>2</v>
      </c>
      <c r="K76" s="1">
        <f>IFERROR(__xludf.DUMMYFUNCTION("""COMPUTED_VALUE"""),2.0)</f>
        <v>2</v>
      </c>
      <c r="L76" s="1">
        <f>IFERROR(__xludf.DUMMYFUNCTION("""COMPUTED_VALUE"""),0.0)</f>
        <v>0</v>
      </c>
      <c r="M76" s="1">
        <f>IFERROR(__xludf.DUMMYFUNCTION("""COMPUTED_VALUE"""),0.0)</f>
        <v>0</v>
      </c>
      <c r="N76" s="1">
        <f>IFERROR(__xludf.DUMMYFUNCTION("""COMPUTED_VALUE"""),0.0)</f>
        <v>0</v>
      </c>
    </row>
    <row r="77">
      <c r="A77" s="1" t="str">
        <f>vlookup(B77:B380,split_names!A76:B987,2,0)</f>
        <v>Chrysler</v>
      </c>
      <c r="B77" s="1" t="str">
        <f>IFERROR(__xludf.DUMMYFUNCTION("""COMPUTED_VALUE"""),"Chrysler 200")</f>
        <v>Chrysler 200</v>
      </c>
      <c r="C77" s="1">
        <f>IFERROR(__xludf.DUMMYFUNCTION("""COMPUTED_VALUE"""),1.0)</f>
        <v>1</v>
      </c>
      <c r="D77" s="1">
        <f>IFERROR(__xludf.DUMMYFUNCTION("""COMPUTED_VALUE"""),1.0)</f>
        <v>1</v>
      </c>
      <c r="E77" s="1">
        <f>IFERROR(__xludf.DUMMYFUNCTION("""COMPUTED_VALUE"""),1.0)</f>
        <v>1</v>
      </c>
      <c r="F77" s="1">
        <f>IFERROR(__xludf.DUMMYFUNCTION("""COMPUTED_VALUE"""),0.0)</f>
        <v>0</v>
      </c>
      <c r="G77" s="1">
        <f>IFERROR(__xludf.DUMMYFUNCTION("""COMPUTED_VALUE"""),0.0)</f>
        <v>0</v>
      </c>
      <c r="H77" s="1">
        <f>IFERROR(__xludf.DUMMYFUNCTION("""COMPUTED_VALUE"""),0.0)</f>
        <v>0</v>
      </c>
      <c r="I77" s="1">
        <f>IFERROR(__xludf.DUMMYFUNCTION("""COMPUTED_VALUE"""),1.0)</f>
        <v>1</v>
      </c>
      <c r="J77" s="1">
        <f>IFERROR(__xludf.DUMMYFUNCTION("""COMPUTED_VALUE"""),1.0)</f>
        <v>1</v>
      </c>
      <c r="K77" s="1">
        <f>IFERROR(__xludf.DUMMYFUNCTION("""COMPUTED_VALUE"""),1.0)</f>
        <v>1</v>
      </c>
      <c r="L77" s="1">
        <f>IFERROR(__xludf.DUMMYFUNCTION("""COMPUTED_VALUE"""),1.0)</f>
        <v>1</v>
      </c>
      <c r="M77" s="1">
        <f>IFERROR(__xludf.DUMMYFUNCTION("""COMPUTED_VALUE"""),1.0)</f>
        <v>1</v>
      </c>
      <c r="N77" s="1">
        <f>IFERROR(__xludf.DUMMYFUNCTION("""COMPUTED_VALUE"""),1.0)</f>
        <v>1</v>
      </c>
    </row>
    <row r="78">
      <c r="A78" s="1" t="str">
        <f>vlookup(B78:B381,split_names!A77:B988,2,0)</f>
        <v>Chrysler</v>
      </c>
      <c r="B78" s="1" t="str">
        <f>IFERROR(__xludf.DUMMYFUNCTION("""COMPUTED_VALUE"""),"Chrysler 300")</f>
        <v>Chrysler 300</v>
      </c>
      <c r="C78" s="4">
        <f>IFERROR(__xludf.DUMMYFUNCTION("""COMPUTED_VALUE"""),1818.0)</f>
        <v>1818</v>
      </c>
      <c r="D78" s="4">
        <f>IFERROR(__xludf.DUMMYFUNCTION("""COMPUTED_VALUE"""),2353.0)</f>
        <v>2353</v>
      </c>
      <c r="E78" s="4">
        <f>IFERROR(__xludf.DUMMYFUNCTION("""COMPUTED_VALUE"""),1245.0)</f>
        <v>1245</v>
      </c>
      <c r="F78" s="1">
        <f>IFERROR(__xludf.DUMMYFUNCTION("""COMPUTED_VALUE"""),502.0)</f>
        <v>502</v>
      </c>
      <c r="G78" s="4">
        <f>IFERROR(__xludf.DUMMYFUNCTION("""COMPUTED_VALUE"""),1115.0)</f>
        <v>1115</v>
      </c>
      <c r="H78" s="4">
        <f>IFERROR(__xludf.DUMMYFUNCTION("""COMPUTED_VALUE"""),1171.0)</f>
        <v>1171</v>
      </c>
      <c r="I78" s="4">
        <f>IFERROR(__xludf.DUMMYFUNCTION("""COMPUTED_VALUE"""),1112.0)</f>
        <v>1112</v>
      </c>
      <c r="J78" s="1">
        <f>IFERROR(__xludf.DUMMYFUNCTION("""COMPUTED_VALUE"""),988.0)</f>
        <v>988</v>
      </c>
      <c r="K78" s="4">
        <f>IFERROR(__xludf.DUMMYFUNCTION("""COMPUTED_VALUE"""),1070.0)</f>
        <v>1070</v>
      </c>
      <c r="L78" s="4">
        <f>IFERROR(__xludf.DUMMYFUNCTION("""COMPUTED_VALUE"""),1720.0)</f>
        <v>1720</v>
      </c>
      <c r="M78" s="4">
        <f>IFERROR(__xludf.DUMMYFUNCTION("""COMPUTED_VALUE"""),1413.0)</f>
        <v>1413</v>
      </c>
      <c r="N78" s="4">
        <f>IFERROR(__xludf.DUMMYFUNCTION("""COMPUTED_VALUE"""),1966.0)</f>
        <v>1966</v>
      </c>
    </row>
    <row r="79">
      <c r="A79" s="1" t="str">
        <f>vlookup(B79:B382,split_names!A78:B989,2,0)</f>
        <v>Chrysler</v>
      </c>
      <c r="B79" s="1" t="str">
        <f>IFERROR(__xludf.DUMMYFUNCTION("""COMPUTED_VALUE"""),"Chrysler Pacifica")</f>
        <v>Chrysler Pacifica</v>
      </c>
      <c r="C79" s="4">
        <f>IFERROR(__xludf.DUMMYFUNCTION("""COMPUTED_VALUE"""),7966.0)</f>
        <v>7966</v>
      </c>
      <c r="D79" s="4">
        <f>IFERROR(__xludf.DUMMYFUNCTION("""COMPUTED_VALUE"""),10313.0)</f>
        <v>10313</v>
      </c>
      <c r="E79" s="4">
        <f>IFERROR(__xludf.DUMMYFUNCTION("""COMPUTED_VALUE"""),6247.0)</f>
        <v>6247</v>
      </c>
      <c r="F79" s="4">
        <f>IFERROR(__xludf.DUMMYFUNCTION("""COMPUTED_VALUE"""),1992.0)</f>
        <v>1992</v>
      </c>
      <c r="G79" s="4">
        <f>IFERROR(__xludf.DUMMYFUNCTION("""COMPUTED_VALUE"""),4428.0)</f>
        <v>4428</v>
      </c>
      <c r="H79" s="4">
        <f>IFERROR(__xludf.DUMMYFUNCTION("""COMPUTED_VALUE"""),4649.0)</f>
        <v>4649</v>
      </c>
      <c r="I79" s="4">
        <f>IFERROR(__xludf.DUMMYFUNCTION("""COMPUTED_VALUE"""),10062.0)</f>
        <v>10062</v>
      </c>
      <c r="J79" s="4">
        <f>IFERROR(__xludf.DUMMYFUNCTION("""COMPUTED_VALUE"""),8944.0)</f>
        <v>8944</v>
      </c>
      <c r="K79" s="1">
        <f>IFERROR(__xludf.DUMMYFUNCTION("""COMPUTED_VALUE"""),0.0)</f>
        <v>0</v>
      </c>
      <c r="L79" s="4">
        <f>IFERROR(__xludf.DUMMYFUNCTION("""COMPUTED_VALUE"""),9956.0)</f>
        <v>9956</v>
      </c>
      <c r="M79" s="4">
        <f>IFERROR(__xludf.DUMMYFUNCTION("""COMPUTED_VALUE"""),8178.0)</f>
        <v>8178</v>
      </c>
      <c r="N79" s="4">
        <f>IFERROR(__xludf.DUMMYFUNCTION("""COMPUTED_VALUE"""),11378.0)</f>
        <v>11378</v>
      </c>
    </row>
    <row r="80">
      <c r="A80" s="1" t="str">
        <f>vlookup(B80:B383,split_names!A79:B990,2,0)</f>
        <v>Chrysler</v>
      </c>
      <c r="B80" s="1" t="str">
        <f>IFERROR(__xludf.DUMMYFUNCTION("""COMPUTED_VALUE"""),"Chrysler Town and Country")</f>
        <v>Chrysler Town and Country</v>
      </c>
      <c r="C80" s="1">
        <f>IFERROR(__xludf.DUMMYFUNCTION("""COMPUTED_VALUE"""),0.0)</f>
        <v>0</v>
      </c>
      <c r="D80" s="1">
        <f>IFERROR(__xludf.DUMMYFUNCTION("""COMPUTED_VALUE"""),0.0)</f>
        <v>0</v>
      </c>
      <c r="E80" s="1">
        <f>IFERROR(__xludf.DUMMYFUNCTION("""COMPUTED_VALUE"""),0.0)</f>
        <v>0</v>
      </c>
      <c r="F80" s="1">
        <f>IFERROR(__xludf.DUMMYFUNCTION("""COMPUTED_VALUE"""),0.0)</f>
        <v>0</v>
      </c>
      <c r="G80" s="1">
        <f>IFERROR(__xludf.DUMMYFUNCTION("""COMPUTED_VALUE"""),0.0)</f>
        <v>0</v>
      </c>
      <c r="H80" s="1">
        <f>IFERROR(__xludf.DUMMYFUNCTION("""COMPUTED_VALUE"""),0.0)</f>
        <v>0</v>
      </c>
      <c r="I80" s="1">
        <f>IFERROR(__xludf.DUMMYFUNCTION("""COMPUTED_VALUE"""),0.0)</f>
        <v>0</v>
      </c>
      <c r="J80" s="1">
        <f>IFERROR(__xludf.DUMMYFUNCTION("""COMPUTED_VALUE"""),0.0)</f>
        <v>0</v>
      </c>
      <c r="K80" s="4">
        <f>IFERROR(__xludf.DUMMYFUNCTION("""COMPUTED_VALUE"""),9690.0)</f>
        <v>9690</v>
      </c>
      <c r="L80" s="1">
        <f>IFERROR(__xludf.DUMMYFUNCTION("""COMPUTED_VALUE"""),0.0)</f>
        <v>0</v>
      </c>
      <c r="M80" s="1">
        <f>IFERROR(__xludf.DUMMYFUNCTION("""COMPUTED_VALUE"""),0.0)</f>
        <v>0</v>
      </c>
      <c r="N80" s="1">
        <f>IFERROR(__xludf.DUMMYFUNCTION("""COMPUTED_VALUE"""),0.0)</f>
        <v>0</v>
      </c>
    </row>
    <row r="81">
      <c r="A81" s="1" t="str">
        <f>vlookup(B81:B384,split_names!A80:B991,2,0)</f>
        <v>Dodge</v>
      </c>
      <c r="B81" s="1" t="str">
        <f>IFERROR(__xludf.DUMMYFUNCTION("""COMPUTED_VALUE"""),"Dodge Challenger")</f>
        <v>Dodge Challenger</v>
      </c>
      <c r="C81" s="4">
        <f>IFERROR(__xludf.DUMMYFUNCTION("""COMPUTED_VALUE"""),3942.0)</f>
        <v>3942</v>
      </c>
      <c r="D81" s="4">
        <f>IFERROR(__xludf.DUMMYFUNCTION("""COMPUTED_VALUE"""),5104.0)</f>
        <v>5104</v>
      </c>
      <c r="E81" s="4">
        <f>IFERROR(__xludf.DUMMYFUNCTION("""COMPUTED_VALUE"""),3092.0)</f>
        <v>3092</v>
      </c>
      <c r="F81" s="4">
        <f>IFERROR(__xludf.DUMMYFUNCTION("""COMPUTED_VALUE"""),1778.0)</f>
        <v>1778</v>
      </c>
      <c r="G81" s="4">
        <f>IFERROR(__xludf.DUMMYFUNCTION("""COMPUTED_VALUE"""),3952.0)</f>
        <v>3952</v>
      </c>
      <c r="H81" s="4">
        <f>IFERROR(__xludf.DUMMYFUNCTION("""COMPUTED_VALUE"""),4150.0)</f>
        <v>4150</v>
      </c>
      <c r="I81" s="4">
        <f>IFERROR(__xludf.DUMMYFUNCTION("""COMPUTED_VALUE"""),5727.0)</f>
        <v>5727</v>
      </c>
      <c r="J81" s="4">
        <f>IFERROR(__xludf.DUMMYFUNCTION("""COMPUTED_VALUE"""),5090.0)</f>
        <v>5090</v>
      </c>
      <c r="K81" s="4">
        <f>IFERROR(__xludf.DUMMYFUNCTION("""COMPUTED_VALUE"""),5515.0)</f>
        <v>5515</v>
      </c>
      <c r="L81" s="4">
        <f>IFERROR(__xludf.DUMMYFUNCTION("""COMPUTED_VALUE"""),4927.0)</f>
        <v>4927</v>
      </c>
      <c r="M81" s="4">
        <f>IFERROR(__xludf.DUMMYFUNCTION("""COMPUTED_VALUE"""),4047.0)</f>
        <v>4047</v>
      </c>
      <c r="N81" s="4">
        <f>IFERROR(__xludf.DUMMYFUNCTION("""COMPUTED_VALUE"""),5631.0)</f>
        <v>5631</v>
      </c>
    </row>
    <row r="82">
      <c r="A82" s="1" t="str">
        <f>vlookup(B82:B385,split_names!A81:B992,2,0)</f>
        <v>Dodge</v>
      </c>
      <c r="B82" s="1" t="str">
        <f>IFERROR(__xludf.DUMMYFUNCTION("""COMPUTED_VALUE"""),"Dodge Charger")</f>
        <v>Dodge Charger</v>
      </c>
      <c r="C82" s="4">
        <f>IFERROR(__xludf.DUMMYFUNCTION("""COMPUTED_VALUE"""),6050.0)</f>
        <v>6050</v>
      </c>
      <c r="D82" s="4">
        <f>IFERROR(__xludf.DUMMYFUNCTION("""COMPUTED_VALUE"""),7833.0)</f>
        <v>7833</v>
      </c>
      <c r="E82" s="4">
        <f>IFERROR(__xludf.DUMMYFUNCTION("""COMPUTED_VALUE"""),4745.0)</f>
        <v>4745</v>
      </c>
      <c r="F82" s="4">
        <f>IFERROR(__xludf.DUMMYFUNCTION("""COMPUTED_VALUE"""),2062.0)</f>
        <v>2062</v>
      </c>
      <c r="G82" s="4">
        <f>IFERROR(__xludf.DUMMYFUNCTION("""COMPUTED_VALUE"""),4582.0)</f>
        <v>4582</v>
      </c>
      <c r="H82" s="4">
        <f>IFERROR(__xludf.DUMMYFUNCTION("""COMPUTED_VALUE"""),4812.0)</f>
        <v>4812</v>
      </c>
      <c r="I82" s="4">
        <f>IFERROR(__xludf.DUMMYFUNCTION("""COMPUTED_VALUE"""),8257.0)</f>
        <v>8257</v>
      </c>
      <c r="J82" s="4">
        <f>IFERROR(__xludf.DUMMYFUNCTION("""COMPUTED_VALUE"""),7339.0)</f>
        <v>7339</v>
      </c>
      <c r="K82" s="4">
        <f>IFERROR(__xludf.DUMMYFUNCTION("""COMPUTED_VALUE"""),7951.0)</f>
        <v>7951</v>
      </c>
      <c r="L82" s="4">
        <f>IFERROR(__xludf.DUMMYFUNCTION("""COMPUTED_VALUE"""),8027.0)</f>
        <v>8027</v>
      </c>
      <c r="M82" s="4">
        <f>IFERROR(__xludf.DUMMYFUNCTION("""COMPUTED_VALUE"""),6594.0)</f>
        <v>6594</v>
      </c>
      <c r="N82" s="4">
        <f>IFERROR(__xludf.DUMMYFUNCTION("""COMPUTED_VALUE"""),9174.0)</f>
        <v>9174</v>
      </c>
    </row>
    <row r="83">
      <c r="A83" s="1" t="str">
        <f>vlookup(B83:B386,split_names!A82:B993,2,0)</f>
        <v>Dodge</v>
      </c>
      <c r="B83" s="1" t="str">
        <f>IFERROR(__xludf.DUMMYFUNCTION("""COMPUTED_VALUE"""),"Dodge Dart")</f>
        <v>Dodge Dart</v>
      </c>
      <c r="C83" s="1">
        <f>IFERROR(__xludf.DUMMYFUNCTION("""COMPUTED_VALUE"""),1.0)</f>
        <v>1</v>
      </c>
      <c r="D83" s="1">
        <f>IFERROR(__xludf.DUMMYFUNCTION("""COMPUTED_VALUE"""),1.0)</f>
        <v>1</v>
      </c>
      <c r="E83" s="1">
        <f>IFERROR(__xludf.DUMMYFUNCTION("""COMPUTED_VALUE"""),1.0)</f>
        <v>1</v>
      </c>
      <c r="F83" s="1">
        <f>IFERROR(__xludf.DUMMYFUNCTION("""COMPUTED_VALUE"""),0.0)</f>
        <v>0</v>
      </c>
      <c r="G83" s="1">
        <f>IFERROR(__xludf.DUMMYFUNCTION("""COMPUTED_VALUE"""),1.0)</f>
        <v>1</v>
      </c>
      <c r="H83" s="1">
        <f>IFERROR(__xludf.DUMMYFUNCTION("""COMPUTED_VALUE"""),1.0)</f>
        <v>1</v>
      </c>
      <c r="I83" s="1">
        <f>IFERROR(__xludf.DUMMYFUNCTION("""COMPUTED_VALUE"""),0.0)</f>
        <v>0</v>
      </c>
      <c r="J83" s="1">
        <f>IFERROR(__xludf.DUMMYFUNCTION("""COMPUTED_VALUE"""),0.0)</f>
        <v>0</v>
      </c>
      <c r="K83" s="1">
        <f>IFERROR(__xludf.DUMMYFUNCTION("""COMPUTED_VALUE"""),0.0)</f>
        <v>0</v>
      </c>
      <c r="L83" s="1">
        <f>IFERROR(__xludf.DUMMYFUNCTION("""COMPUTED_VALUE"""),0.0)</f>
        <v>0</v>
      </c>
      <c r="M83" s="1">
        <f>IFERROR(__xludf.DUMMYFUNCTION("""COMPUTED_VALUE"""),0.0)</f>
        <v>0</v>
      </c>
      <c r="N83" s="1">
        <f>IFERROR(__xludf.DUMMYFUNCTION("""COMPUTED_VALUE"""),0.0)</f>
        <v>0</v>
      </c>
    </row>
    <row r="84">
      <c r="A84" s="1" t="str">
        <f>vlookup(B84:B387,split_names!A83:B994,2,0)</f>
        <v>Dodge</v>
      </c>
      <c r="B84" s="1" t="str">
        <f>IFERROR(__xludf.DUMMYFUNCTION("""COMPUTED_VALUE"""),"Dodge Durango")</f>
        <v>Dodge Durango</v>
      </c>
      <c r="C84" s="4">
        <f>IFERROR(__xludf.DUMMYFUNCTION("""COMPUTED_VALUE"""),5783.0)</f>
        <v>5783</v>
      </c>
      <c r="D84" s="4">
        <f>IFERROR(__xludf.DUMMYFUNCTION("""COMPUTED_VALUE"""),7487.0)</f>
        <v>7487</v>
      </c>
      <c r="E84" s="4">
        <f>IFERROR(__xludf.DUMMYFUNCTION("""COMPUTED_VALUE"""),4535.0)</f>
        <v>4535</v>
      </c>
      <c r="F84" s="4">
        <f>IFERROR(__xludf.DUMMYFUNCTION("""COMPUTED_VALUE"""),2105.0)</f>
        <v>2105</v>
      </c>
      <c r="G84" s="4">
        <f>IFERROR(__xludf.DUMMYFUNCTION("""COMPUTED_VALUE"""),4678.0)</f>
        <v>4678</v>
      </c>
      <c r="H84" s="4">
        <f>IFERROR(__xludf.DUMMYFUNCTION("""COMPUTED_VALUE"""),4911.0)</f>
        <v>4911</v>
      </c>
      <c r="I84" s="4">
        <f>IFERROR(__xludf.DUMMYFUNCTION("""COMPUTED_VALUE"""),5595.0)</f>
        <v>5595</v>
      </c>
      <c r="J84" s="4">
        <f>IFERROR(__xludf.DUMMYFUNCTION("""COMPUTED_VALUE"""),4974.0)</f>
        <v>4974</v>
      </c>
      <c r="K84" s="4">
        <f>IFERROR(__xludf.DUMMYFUNCTION("""COMPUTED_VALUE"""),5388.0)</f>
        <v>5388</v>
      </c>
      <c r="L84" s="4">
        <f>IFERROR(__xludf.DUMMYFUNCTION("""COMPUTED_VALUE"""),4174.0)</f>
        <v>4174</v>
      </c>
      <c r="M84" s="4">
        <f>IFERROR(__xludf.DUMMYFUNCTION("""COMPUTED_VALUE"""),3428.0)</f>
        <v>3428</v>
      </c>
      <c r="N84" s="4">
        <f>IFERROR(__xludf.DUMMYFUNCTION("""COMPUTED_VALUE"""),4770.0)</f>
        <v>4770</v>
      </c>
    </row>
    <row r="85">
      <c r="A85" s="1" t="str">
        <f>vlookup(B85:B388,split_names!A84:B995,2,0)</f>
        <v>Dodge</v>
      </c>
      <c r="B85" s="1" t="str">
        <f>IFERROR(__xludf.DUMMYFUNCTION("""COMPUTED_VALUE"""),"Dodge Grand Caravan")</f>
        <v>Dodge Grand Caravan</v>
      </c>
      <c r="C85" s="4">
        <f>IFERROR(__xludf.DUMMYFUNCTION("""COMPUTED_VALUE"""),8098.0)</f>
        <v>8098</v>
      </c>
      <c r="D85" s="4">
        <f>IFERROR(__xludf.DUMMYFUNCTION("""COMPUTED_VALUE"""),10483.0)</f>
        <v>10483</v>
      </c>
      <c r="E85" s="4">
        <f>IFERROR(__xludf.DUMMYFUNCTION("""COMPUTED_VALUE"""),6350.0)</f>
        <v>6350</v>
      </c>
      <c r="F85" s="1">
        <f>IFERROR(__xludf.DUMMYFUNCTION("""COMPUTED_VALUE"""),952.0)</f>
        <v>952</v>
      </c>
      <c r="G85" s="4">
        <f>IFERROR(__xludf.DUMMYFUNCTION("""COMPUTED_VALUE"""),2116.0)</f>
        <v>2116</v>
      </c>
      <c r="H85" s="4">
        <f>IFERROR(__xludf.DUMMYFUNCTION("""COMPUTED_VALUE"""),2222.0)</f>
        <v>2222</v>
      </c>
      <c r="I85" s="4">
        <f>IFERROR(__xludf.DUMMYFUNCTION("""COMPUTED_VALUE"""),2080.0)</f>
        <v>2080</v>
      </c>
      <c r="J85" s="4">
        <f>IFERROR(__xludf.DUMMYFUNCTION("""COMPUTED_VALUE"""),1849.0)</f>
        <v>1849</v>
      </c>
      <c r="K85" s="4">
        <f>IFERROR(__xludf.DUMMYFUNCTION("""COMPUTED_VALUE"""),2003.0)</f>
        <v>2003</v>
      </c>
      <c r="L85" s="1">
        <f>IFERROR(__xludf.DUMMYFUNCTION("""COMPUTED_VALUE"""),881.0)</f>
        <v>881</v>
      </c>
      <c r="M85" s="1">
        <f>IFERROR(__xludf.DUMMYFUNCTION("""COMPUTED_VALUE"""),724.0)</f>
        <v>724</v>
      </c>
      <c r="N85" s="4">
        <f>IFERROR(__xludf.DUMMYFUNCTION("""COMPUTED_VALUE"""),1007.0)</f>
        <v>1007</v>
      </c>
    </row>
    <row r="86">
      <c r="A86" s="1" t="str">
        <f>vlookup(B86:B389,split_names!A85:B996,2,0)</f>
        <v>Dodge</v>
      </c>
      <c r="B86" s="1" t="str">
        <f>IFERROR(__xludf.DUMMYFUNCTION("""COMPUTED_VALUE"""),"Dodge Journey")</f>
        <v>Dodge Journey</v>
      </c>
      <c r="C86" s="4">
        <f>IFERROR(__xludf.DUMMYFUNCTION("""COMPUTED_VALUE"""),4921.0)</f>
        <v>4921</v>
      </c>
      <c r="D86" s="4">
        <f>IFERROR(__xludf.DUMMYFUNCTION("""COMPUTED_VALUE"""),6371.0)</f>
        <v>6371</v>
      </c>
      <c r="E86" s="4">
        <f>IFERROR(__xludf.DUMMYFUNCTION("""COMPUTED_VALUE"""),3859.0)</f>
        <v>3859</v>
      </c>
      <c r="F86" s="1">
        <f>IFERROR(__xludf.DUMMYFUNCTION("""COMPUTED_VALUE"""),978.0)</f>
        <v>978</v>
      </c>
      <c r="G86" s="4">
        <f>IFERROR(__xludf.DUMMYFUNCTION("""COMPUTED_VALUE"""),2174.0)</f>
        <v>2174</v>
      </c>
      <c r="H86" s="4">
        <f>IFERROR(__xludf.DUMMYFUNCTION("""COMPUTED_VALUE"""),2282.0)</f>
        <v>2282</v>
      </c>
      <c r="I86" s="4">
        <f>IFERROR(__xludf.DUMMYFUNCTION("""COMPUTED_VALUE"""),3564.0)</f>
        <v>3564</v>
      </c>
      <c r="J86" s="4">
        <f>IFERROR(__xludf.DUMMYFUNCTION("""COMPUTED_VALUE"""),3168.0)</f>
        <v>3168</v>
      </c>
      <c r="K86" s="4">
        <f>IFERROR(__xludf.DUMMYFUNCTION("""COMPUTED_VALUE"""),3432.0)</f>
        <v>3432</v>
      </c>
      <c r="L86" s="4">
        <f>IFERROR(__xludf.DUMMYFUNCTION("""COMPUTED_VALUE"""),3236.0)</f>
        <v>3236</v>
      </c>
      <c r="M86" s="4">
        <f>IFERROR(__xludf.DUMMYFUNCTION("""COMPUTED_VALUE"""),2658.0)</f>
        <v>2658</v>
      </c>
      <c r="N86" s="4">
        <f>IFERROR(__xludf.DUMMYFUNCTION("""COMPUTED_VALUE"""),3698.0)</f>
        <v>3698</v>
      </c>
    </row>
    <row r="87">
      <c r="A87" s="1" t="str">
        <f>vlookup(B87:B390,split_names!A86:B997,2,0)</f>
        <v>Dodge</v>
      </c>
      <c r="B87" s="1" t="str">
        <f>IFERROR(__xludf.DUMMYFUNCTION("""COMPUTED_VALUE"""),"Dodge Viper")</f>
        <v>Dodge Viper</v>
      </c>
      <c r="C87" s="1">
        <f>IFERROR(__xludf.DUMMYFUNCTION("""COMPUTED_VALUE"""),0.0)</f>
        <v>0</v>
      </c>
      <c r="D87" s="1">
        <f>IFERROR(__xludf.DUMMYFUNCTION("""COMPUTED_VALUE"""),0.0)</f>
        <v>0</v>
      </c>
      <c r="E87" s="1">
        <f>IFERROR(__xludf.DUMMYFUNCTION("""COMPUTED_VALUE"""),0.0)</f>
        <v>0</v>
      </c>
      <c r="F87" s="1">
        <f>IFERROR(__xludf.DUMMYFUNCTION("""COMPUTED_VALUE"""),0.0)</f>
        <v>0</v>
      </c>
      <c r="G87" s="1">
        <f>IFERROR(__xludf.DUMMYFUNCTION("""COMPUTED_VALUE"""),0.0)</f>
        <v>0</v>
      </c>
      <c r="H87" s="1">
        <f>IFERROR(__xludf.DUMMYFUNCTION("""COMPUTED_VALUE"""),0.0)</f>
        <v>0</v>
      </c>
      <c r="I87" s="1">
        <f>IFERROR(__xludf.DUMMYFUNCTION("""COMPUTED_VALUE"""),1.0)</f>
        <v>1</v>
      </c>
      <c r="J87" s="1">
        <f>IFERROR(__xludf.DUMMYFUNCTION("""COMPUTED_VALUE"""),1.0)</f>
        <v>1</v>
      </c>
      <c r="K87" s="1">
        <f>IFERROR(__xludf.DUMMYFUNCTION("""COMPUTED_VALUE"""),1.0)</f>
        <v>1</v>
      </c>
      <c r="L87" s="1">
        <f>IFERROR(__xludf.DUMMYFUNCTION("""COMPUTED_VALUE"""),1.0)</f>
        <v>1</v>
      </c>
      <c r="M87" s="1">
        <f>IFERROR(__xludf.DUMMYFUNCTION("""COMPUTED_VALUE"""),1.0)</f>
        <v>1</v>
      </c>
      <c r="N87" s="1">
        <f>IFERROR(__xludf.DUMMYFUNCTION("""COMPUTED_VALUE"""),1.0)</f>
        <v>1</v>
      </c>
    </row>
    <row r="88">
      <c r="A88" s="1" t="str">
        <f>vlookup(B88:B391,split_names!A87:B998,2,0)</f>
        <v>Fiat</v>
      </c>
      <c r="B88" s="1" t="str">
        <f>IFERROR(__xludf.DUMMYFUNCTION("""COMPUTED_VALUE"""),"Fiat 124 Spider")</f>
        <v>Fiat 124 Spider</v>
      </c>
      <c r="C88" s="1">
        <f>IFERROR(__xludf.DUMMYFUNCTION("""COMPUTED_VALUE"""),126.0)</f>
        <v>126</v>
      </c>
      <c r="D88" s="1">
        <f>IFERROR(__xludf.DUMMYFUNCTION("""COMPUTED_VALUE"""),163.0)</f>
        <v>163</v>
      </c>
      <c r="E88" s="1">
        <f>IFERROR(__xludf.DUMMYFUNCTION("""COMPUTED_VALUE"""),99.0)</f>
        <v>99</v>
      </c>
      <c r="F88" s="1">
        <f>IFERROR(__xludf.DUMMYFUNCTION("""COMPUTED_VALUE"""),105.0)</f>
        <v>105</v>
      </c>
      <c r="G88" s="1">
        <f>IFERROR(__xludf.DUMMYFUNCTION("""COMPUTED_VALUE"""),232.0)</f>
        <v>232</v>
      </c>
      <c r="H88" s="1">
        <f>IFERROR(__xludf.DUMMYFUNCTION("""COMPUTED_VALUE"""),244.0)</f>
        <v>244</v>
      </c>
      <c r="I88" s="1">
        <f>IFERROR(__xludf.DUMMYFUNCTION("""COMPUTED_VALUE"""),146.0)</f>
        <v>146</v>
      </c>
      <c r="J88" s="1">
        <f>IFERROR(__xludf.DUMMYFUNCTION("""COMPUTED_VALUE"""),130.0)</f>
        <v>130</v>
      </c>
      <c r="K88" s="1">
        <f>IFERROR(__xludf.DUMMYFUNCTION("""COMPUTED_VALUE"""),140.0)</f>
        <v>140</v>
      </c>
      <c r="L88" s="1">
        <f>IFERROR(__xludf.DUMMYFUNCTION("""COMPUTED_VALUE"""),110.0)</f>
        <v>110</v>
      </c>
      <c r="M88" s="1">
        <f>IFERROR(__xludf.DUMMYFUNCTION("""COMPUTED_VALUE"""),90.0)</f>
        <v>90</v>
      </c>
      <c r="N88" s="1">
        <f>IFERROR(__xludf.DUMMYFUNCTION("""COMPUTED_VALUE"""),126.0)</f>
        <v>126</v>
      </c>
    </row>
    <row r="89">
      <c r="A89" s="1" t="str">
        <f>vlookup(B89:B392,split_names!A88:B999,2,0)</f>
        <v>Fiat</v>
      </c>
      <c r="B89" s="1" t="str">
        <f>IFERROR(__xludf.DUMMYFUNCTION("""COMPUTED_VALUE"""),"Fiat 500")</f>
        <v>Fiat 500</v>
      </c>
      <c r="C89" s="1">
        <f>IFERROR(__xludf.DUMMYFUNCTION("""COMPUTED_VALUE"""),106.0)</f>
        <v>106</v>
      </c>
      <c r="D89" s="1">
        <f>IFERROR(__xludf.DUMMYFUNCTION("""COMPUTED_VALUE"""),138.0)</f>
        <v>138</v>
      </c>
      <c r="E89" s="1">
        <f>IFERROR(__xludf.DUMMYFUNCTION("""COMPUTED_VALUE"""),83.0)</f>
        <v>83</v>
      </c>
      <c r="F89" s="1">
        <f>IFERROR(__xludf.DUMMYFUNCTION("""COMPUTED_VALUE"""),43.0)</f>
        <v>43</v>
      </c>
      <c r="G89" s="1">
        <f>IFERROR(__xludf.DUMMYFUNCTION("""COMPUTED_VALUE"""),96.0)</f>
        <v>96</v>
      </c>
      <c r="H89" s="1">
        <f>IFERROR(__xludf.DUMMYFUNCTION("""COMPUTED_VALUE"""),100.0)</f>
        <v>100</v>
      </c>
      <c r="I89" s="1">
        <f>IFERROR(__xludf.DUMMYFUNCTION("""COMPUTED_VALUE"""),34.0)</f>
        <v>34</v>
      </c>
      <c r="J89" s="1">
        <f>IFERROR(__xludf.DUMMYFUNCTION("""COMPUTED_VALUE"""),30.0)</f>
        <v>30</v>
      </c>
      <c r="K89" s="1">
        <f>IFERROR(__xludf.DUMMYFUNCTION("""COMPUTED_VALUE"""),32.0)</f>
        <v>32</v>
      </c>
      <c r="L89" s="1">
        <f>IFERROR(__xludf.DUMMYFUNCTION("""COMPUTED_VALUE"""),4.0)</f>
        <v>4</v>
      </c>
      <c r="M89" s="1">
        <f>IFERROR(__xludf.DUMMYFUNCTION("""COMPUTED_VALUE"""),3.0)</f>
        <v>3</v>
      </c>
      <c r="N89" s="1">
        <f>IFERROR(__xludf.DUMMYFUNCTION("""COMPUTED_VALUE"""),5.0)</f>
        <v>5</v>
      </c>
    </row>
    <row r="90">
      <c r="A90" s="1" t="str">
        <f>vlookup(B90:B393,split_names!A89:B1000,2,0)</f>
        <v>Fiat</v>
      </c>
      <c r="B90" s="1" t="str">
        <f>IFERROR(__xludf.DUMMYFUNCTION("""COMPUTED_VALUE"""),"Fiat 500L")</f>
        <v>Fiat 500L</v>
      </c>
      <c r="C90" s="1">
        <f>IFERROR(__xludf.DUMMYFUNCTION("""COMPUTED_VALUE"""),42.0)</f>
        <v>42</v>
      </c>
      <c r="D90" s="1">
        <f>IFERROR(__xludf.DUMMYFUNCTION("""COMPUTED_VALUE"""),55.0)</f>
        <v>55</v>
      </c>
      <c r="E90" s="1">
        <f>IFERROR(__xludf.DUMMYFUNCTION("""COMPUTED_VALUE"""),33.0)</f>
        <v>33</v>
      </c>
      <c r="F90" s="1">
        <f>IFERROR(__xludf.DUMMYFUNCTION("""COMPUTED_VALUE"""),22.0)</f>
        <v>22</v>
      </c>
      <c r="G90" s="1">
        <f>IFERROR(__xludf.DUMMYFUNCTION("""COMPUTED_VALUE"""),50.0)</f>
        <v>50</v>
      </c>
      <c r="H90" s="1">
        <f>IFERROR(__xludf.DUMMYFUNCTION("""COMPUTED_VALUE"""),52.0)</f>
        <v>52</v>
      </c>
      <c r="I90" s="1">
        <f>IFERROR(__xludf.DUMMYFUNCTION("""COMPUTED_VALUE"""),48.0)</f>
        <v>48</v>
      </c>
      <c r="J90" s="1">
        <f>IFERROR(__xludf.DUMMYFUNCTION("""COMPUTED_VALUE"""),43.0)</f>
        <v>43</v>
      </c>
      <c r="K90" s="1">
        <f>IFERROR(__xludf.DUMMYFUNCTION("""COMPUTED_VALUE"""),47.0)</f>
        <v>47</v>
      </c>
      <c r="L90" s="1">
        <f>IFERROR(__xludf.DUMMYFUNCTION("""COMPUTED_VALUE"""),28.0)</f>
        <v>28</v>
      </c>
      <c r="M90" s="1">
        <f>IFERROR(__xludf.DUMMYFUNCTION("""COMPUTED_VALUE"""),23.0)</f>
        <v>23</v>
      </c>
      <c r="N90" s="1">
        <f>IFERROR(__xludf.DUMMYFUNCTION("""COMPUTED_VALUE"""),32.0)</f>
        <v>32</v>
      </c>
    </row>
    <row r="91">
      <c r="A91" s="1" t="str">
        <f>vlookup(B91:B394,split_names!A90:B1001,2,0)</f>
        <v>Fiat</v>
      </c>
      <c r="B91" s="1" t="str">
        <f>IFERROR(__xludf.DUMMYFUNCTION("""COMPUTED_VALUE"""),"Fiat 500X")</f>
        <v>Fiat 500X</v>
      </c>
      <c r="C91" s="1">
        <f>IFERROR(__xludf.DUMMYFUNCTION("""COMPUTED_VALUE"""),92.0)</f>
        <v>92</v>
      </c>
      <c r="D91" s="1">
        <f>IFERROR(__xludf.DUMMYFUNCTION("""COMPUTED_VALUE"""),119.0)</f>
        <v>119</v>
      </c>
      <c r="E91" s="1">
        <f>IFERROR(__xludf.DUMMYFUNCTION("""COMPUTED_VALUE"""),72.0)</f>
        <v>72</v>
      </c>
      <c r="F91" s="1">
        <f>IFERROR(__xludf.DUMMYFUNCTION("""COMPUTED_VALUE"""),71.0)</f>
        <v>71</v>
      </c>
      <c r="G91" s="1">
        <f>IFERROR(__xludf.DUMMYFUNCTION("""COMPUTED_VALUE"""),158.0)</f>
        <v>158</v>
      </c>
      <c r="H91" s="1">
        <f>IFERROR(__xludf.DUMMYFUNCTION("""COMPUTED_VALUE"""),166.0)</f>
        <v>166</v>
      </c>
      <c r="I91" s="1">
        <f>IFERROR(__xludf.DUMMYFUNCTION("""COMPUTED_VALUE"""),158.0)</f>
        <v>158</v>
      </c>
      <c r="J91" s="1">
        <f>IFERROR(__xludf.DUMMYFUNCTION("""COMPUTED_VALUE"""),141.0)</f>
        <v>141</v>
      </c>
      <c r="K91" s="1">
        <f>IFERROR(__xludf.DUMMYFUNCTION("""COMPUTED_VALUE"""),153.0)</f>
        <v>153</v>
      </c>
      <c r="L91" s="1">
        <f>IFERROR(__xludf.DUMMYFUNCTION("""COMPUTED_VALUE"""),106.0)</f>
        <v>106</v>
      </c>
      <c r="M91" s="1">
        <f>IFERROR(__xludf.DUMMYFUNCTION("""COMPUTED_VALUE"""),87.0)</f>
        <v>87</v>
      </c>
      <c r="N91" s="1">
        <f>IFERROR(__xludf.DUMMYFUNCTION("""COMPUTED_VALUE"""),121.0)</f>
        <v>121</v>
      </c>
    </row>
    <row r="92">
      <c r="A92" s="1" t="str">
        <f>vlookup(B92:B395,split_names!A91:B1002,2,0)</f>
        <v>Ford</v>
      </c>
      <c r="B92" s="1" t="str">
        <f>IFERROR(__xludf.DUMMYFUNCTION("""COMPUTED_VALUE"""),"Ford Bronco Sport")</f>
        <v>Ford Bronco Sport</v>
      </c>
      <c r="C92" s="1">
        <f>IFERROR(__xludf.DUMMYFUNCTION("""COMPUTED_VALUE"""),0.0)</f>
        <v>0</v>
      </c>
      <c r="D92" s="1">
        <f>IFERROR(__xludf.DUMMYFUNCTION("""COMPUTED_VALUE"""),0.0)</f>
        <v>0</v>
      </c>
      <c r="E92" s="1">
        <f>IFERROR(__xludf.DUMMYFUNCTION("""COMPUTED_VALUE"""),0.0)</f>
        <v>0</v>
      </c>
      <c r="F92" s="1">
        <f>IFERROR(__xludf.DUMMYFUNCTION("""COMPUTED_VALUE"""),0.0)</f>
        <v>0</v>
      </c>
      <c r="G92" s="1">
        <f>IFERROR(__xludf.DUMMYFUNCTION("""COMPUTED_VALUE"""),0.0)</f>
        <v>0</v>
      </c>
      <c r="H92" s="1">
        <f>IFERROR(__xludf.DUMMYFUNCTION("""COMPUTED_VALUE"""),0.0)</f>
        <v>0</v>
      </c>
      <c r="I92" s="1">
        <f>IFERROR(__xludf.DUMMYFUNCTION("""COMPUTED_VALUE"""),0.0)</f>
        <v>0</v>
      </c>
      <c r="J92" s="1">
        <f>IFERROR(__xludf.DUMMYFUNCTION("""COMPUTED_VALUE"""),0.0)</f>
        <v>0</v>
      </c>
      <c r="K92" s="1">
        <f>IFERROR(__xludf.DUMMYFUNCTION("""COMPUTED_VALUE"""),0.0)</f>
        <v>0</v>
      </c>
      <c r="L92" s="1">
        <f>IFERROR(__xludf.DUMMYFUNCTION("""COMPUTED_VALUE"""),0.0)</f>
        <v>0</v>
      </c>
      <c r="M92" s="1">
        <f>IFERROR(__xludf.DUMMYFUNCTION("""COMPUTED_VALUE"""),22.0)</f>
        <v>22</v>
      </c>
      <c r="N92" s="4">
        <f>IFERROR(__xludf.DUMMYFUNCTION("""COMPUTED_VALUE"""),5098.0)</f>
        <v>5098</v>
      </c>
    </row>
    <row r="93">
      <c r="A93" s="1" t="str">
        <f>vlookup(B93:B396,split_names!A92:B1003,2,0)</f>
        <v>Ford</v>
      </c>
      <c r="B93" s="1" t="str">
        <f>IFERROR(__xludf.DUMMYFUNCTION("""COMPUTED_VALUE"""),"Ford E-Series")</f>
        <v>Ford E-Series</v>
      </c>
      <c r="C93" s="4">
        <f>IFERROR(__xludf.DUMMYFUNCTION("""COMPUTED_VALUE"""),3280.0)</f>
        <v>3280</v>
      </c>
      <c r="D93" s="4">
        <f>IFERROR(__xludf.DUMMYFUNCTION("""COMPUTED_VALUE"""),4246.0)</f>
        <v>4246</v>
      </c>
      <c r="E93" s="4">
        <f>IFERROR(__xludf.DUMMYFUNCTION("""COMPUTED_VALUE"""),2572.0)</f>
        <v>2572</v>
      </c>
      <c r="F93" s="4">
        <f>IFERROR(__xludf.DUMMYFUNCTION("""COMPUTED_VALUE"""),1044.0)</f>
        <v>1044</v>
      </c>
      <c r="G93" s="4">
        <f>IFERROR(__xludf.DUMMYFUNCTION("""COMPUTED_VALUE"""),2321.0)</f>
        <v>2321</v>
      </c>
      <c r="H93" s="4">
        <f>IFERROR(__xludf.DUMMYFUNCTION("""COMPUTED_VALUE"""),2437.0)</f>
        <v>2437</v>
      </c>
      <c r="I93" s="4">
        <f>IFERROR(__xludf.DUMMYFUNCTION("""COMPUTED_VALUE"""),3256.0)</f>
        <v>3256</v>
      </c>
      <c r="J93" s="4">
        <f>IFERROR(__xludf.DUMMYFUNCTION("""COMPUTED_VALUE"""),2894.0)</f>
        <v>2894</v>
      </c>
      <c r="K93" s="4">
        <f>IFERROR(__xludf.DUMMYFUNCTION("""COMPUTED_VALUE"""),3136.0)</f>
        <v>3136</v>
      </c>
      <c r="L93" s="4">
        <f>IFERROR(__xludf.DUMMYFUNCTION("""COMPUTED_VALUE"""),4469.0)</f>
        <v>4469</v>
      </c>
      <c r="M93" s="4">
        <f>IFERROR(__xludf.DUMMYFUNCTION("""COMPUTED_VALUE"""),3412.0)</f>
        <v>3412</v>
      </c>
      <c r="N93" s="4">
        <f>IFERROR(__xludf.DUMMYFUNCTION("""COMPUTED_VALUE"""),3934.0)</f>
        <v>3934</v>
      </c>
    </row>
    <row r="94">
      <c r="A94" s="1" t="str">
        <f>vlookup(B94:B397,split_names!A93:B1004,2,0)</f>
        <v>Ford</v>
      </c>
      <c r="B94" s="1" t="str">
        <f>IFERROR(__xludf.DUMMYFUNCTION("""COMPUTED_VALUE"""),"Ford EcoSport")</f>
        <v>Ford EcoSport</v>
      </c>
      <c r="C94" s="4">
        <f>IFERROR(__xludf.DUMMYFUNCTION("""COMPUTED_VALUE"""),4197.0)</f>
        <v>4197</v>
      </c>
      <c r="D94" s="4">
        <f>IFERROR(__xludf.DUMMYFUNCTION("""COMPUTED_VALUE"""),5434.0)</f>
        <v>5434</v>
      </c>
      <c r="E94" s="4">
        <f>IFERROR(__xludf.DUMMYFUNCTION("""COMPUTED_VALUE"""),3291.0)</f>
        <v>3291</v>
      </c>
      <c r="F94" s="4">
        <f>IFERROR(__xludf.DUMMYFUNCTION("""COMPUTED_VALUE"""),3102.0)</f>
        <v>3102</v>
      </c>
      <c r="G94" s="4">
        <f>IFERROR(__xludf.DUMMYFUNCTION("""COMPUTED_VALUE"""),6893.0)</f>
        <v>6893</v>
      </c>
      <c r="H94" s="4">
        <f>IFERROR(__xludf.DUMMYFUNCTION("""COMPUTED_VALUE"""),7237.0)</f>
        <v>7237</v>
      </c>
      <c r="I94" s="4">
        <f>IFERROR(__xludf.DUMMYFUNCTION("""COMPUTED_VALUE"""),5977.0)</f>
        <v>5977</v>
      </c>
      <c r="J94" s="4">
        <f>IFERROR(__xludf.DUMMYFUNCTION("""COMPUTED_VALUE"""),5313.0)</f>
        <v>5313</v>
      </c>
      <c r="K94" s="4">
        <f>IFERROR(__xludf.DUMMYFUNCTION("""COMPUTED_VALUE"""),5755.0)</f>
        <v>5755</v>
      </c>
      <c r="L94" s="4">
        <f>IFERROR(__xludf.DUMMYFUNCTION("""COMPUTED_VALUE"""),4210.0)</f>
        <v>4210</v>
      </c>
      <c r="M94" s="4">
        <f>IFERROR(__xludf.DUMMYFUNCTION("""COMPUTED_VALUE"""),4318.0)</f>
        <v>4318</v>
      </c>
      <c r="N94" s="4">
        <f>IFERROR(__xludf.DUMMYFUNCTION("""COMPUTED_VALUE"""),4817.0)</f>
        <v>4817</v>
      </c>
    </row>
    <row r="95">
      <c r="A95" s="1" t="str">
        <f>vlookup(B95:B398,split_names!A94:B1005,2,0)</f>
        <v>Ford</v>
      </c>
      <c r="B95" s="1" t="str">
        <f>IFERROR(__xludf.DUMMYFUNCTION("""COMPUTED_VALUE"""),"Ford Edge")</f>
        <v>Ford Edge</v>
      </c>
      <c r="C95" s="4">
        <f>IFERROR(__xludf.DUMMYFUNCTION("""COMPUTED_VALUE"""),9614.0)</f>
        <v>9614</v>
      </c>
      <c r="D95" s="4">
        <f>IFERROR(__xludf.DUMMYFUNCTION("""COMPUTED_VALUE"""),12446.0)</f>
        <v>12446</v>
      </c>
      <c r="E95" s="4">
        <f>IFERROR(__xludf.DUMMYFUNCTION("""COMPUTED_VALUE"""),7539.0)</f>
        <v>7539</v>
      </c>
      <c r="F95" s="4">
        <f>IFERROR(__xludf.DUMMYFUNCTION("""COMPUTED_VALUE"""),3789.0)</f>
        <v>3789</v>
      </c>
      <c r="G95" s="4">
        <f>IFERROR(__xludf.DUMMYFUNCTION("""COMPUTED_VALUE"""),8421.0)</f>
        <v>8421</v>
      </c>
      <c r="H95" s="4">
        <f>IFERROR(__xludf.DUMMYFUNCTION("""COMPUTED_VALUE"""),8842.0)</f>
        <v>8842</v>
      </c>
      <c r="I95" s="4">
        <f>IFERROR(__xludf.DUMMYFUNCTION("""COMPUTED_VALUE"""),9191.0)</f>
        <v>9191</v>
      </c>
      <c r="J95" s="4">
        <f>IFERROR(__xludf.DUMMYFUNCTION("""COMPUTED_VALUE"""),8170.0)</f>
        <v>8170</v>
      </c>
      <c r="K95" s="4">
        <f>IFERROR(__xludf.DUMMYFUNCTION("""COMPUTED_VALUE"""),8850.0)</f>
        <v>8850</v>
      </c>
      <c r="L95" s="4">
        <f>IFERROR(__xludf.DUMMYFUNCTION("""COMPUTED_VALUE"""),10387.0)</f>
        <v>10387</v>
      </c>
      <c r="M95" s="4">
        <f>IFERROR(__xludf.DUMMYFUNCTION("""COMPUTED_VALUE"""),9096.0)</f>
        <v>9096</v>
      </c>
      <c r="N95" s="4">
        <f>IFERROR(__xludf.DUMMYFUNCTION("""COMPUTED_VALUE"""),12541.0)</f>
        <v>12541</v>
      </c>
    </row>
    <row r="96">
      <c r="A96" s="1" t="str">
        <f>vlookup(B96:B399,split_names!A95:B1006,2,0)</f>
        <v>Ford</v>
      </c>
      <c r="B96" s="1" t="str">
        <f>IFERROR(__xludf.DUMMYFUNCTION("""COMPUTED_VALUE"""),"Ford Escape")</f>
        <v>Ford Escape</v>
      </c>
      <c r="C96" s="4">
        <f>IFERROR(__xludf.DUMMYFUNCTION("""COMPUTED_VALUE"""),15628.0)</f>
        <v>15628</v>
      </c>
      <c r="D96" s="4">
        <f>IFERROR(__xludf.DUMMYFUNCTION("""COMPUTED_VALUE"""),20233.0)</f>
        <v>20233</v>
      </c>
      <c r="E96" s="4">
        <f>IFERROR(__xludf.DUMMYFUNCTION("""COMPUTED_VALUE"""),12255.0)</f>
        <v>12255</v>
      </c>
      <c r="F96" s="4">
        <f>IFERROR(__xludf.DUMMYFUNCTION("""COMPUTED_VALUE"""),6602.0)</f>
        <v>6602</v>
      </c>
      <c r="G96" s="4">
        <f>IFERROR(__xludf.DUMMYFUNCTION("""COMPUTED_VALUE"""),14672.0)</f>
        <v>14672</v>
      </c>
      <c r="H96" s="4">
        <f>IFERROR(__xludf.DUMMYFUNCTION("""COMPUTED_VALUE"""),15406.0)</f>
        <v>15406</v>
      </c>
      <c r="I96" s="4">
        <f>IFERROR(__xludf.DUMMYFUNCTION("""COMPUTED_VALUE"""),16465.0)</f>
        <v>16465</v>
      </c>
      <c r="J96" s="4">
        <f>IFERROR(__xludf.DUMMYFUNCTION("""COMPUTED_VALUE"""),14636.0)</f>
        <v>14636</v>
      </c>
      <c r="K96" s="4">
        <f>IFERROR(__xludf.DUMMYFUNCTION("""COMPUTED_VALUE"""),15855.0)</f>
        <v>15855</v>
      </c>
      <c r="L96" s="4">
        <f>IFERROR(__xludf.DUMMYFUNCTION("""COMPUTED_VALUE"""),15959.0)</f>
        <v>15959</v>
      </c>
      <c r="M96" s="4">
        <f>IFERROR(__xludf.DUMMYFUNCTION("""COMPUTED_VALUE"""),13411.0)</f>
        <v>13411</v>
      </c>
      <c r="N96" s="4">
        <f>IFERROR(__xludf.DUMMYFUNCTION("""COMPUTED_VALUE"""),17373.0)</f>
        <v>17373</v>
      </c>
    </row>
    <row r="97">
      <c r="A97" s="1" t="str">
        <f>vlookup(B97:B400,split_names!A96:B1007,2,0)</f>
        <v>Ford</v>
      </c>
      <c r="B97" s="1" t="str">
        <f>IFERROR(__xludf.DUMMYFUNCTION("""COMPUTED_VALUE"""),"Ford Expedition")</f>
        <v>Ford Expedition</v>
      </c>
      <c r="C97" s="4">
        <f>IFERROR(__xludf.DUMMYFUNCTION("""COMPUTED_VALUE"""),6428.0)</f>
        <v>6428</v>
      </c>
      <c r="D97" s="4">
        <f>IFERROR(__xludf.DUMMYFUNCTION("""COMPUTED_VALUE"""),8322.0)</f>
        <v>8322</v>
      </c>
      <c r="E97" s="4">
        <f>IFERROR(__xludf.DUMMYFUNCTION("""COMPUTED_VALUE"""),5041.0)</f>
        <v>5041</v>
      </c>
      <c r="F97" s="4">
        <f>IFERROR(__xludf.DUMMYFUNCTION("""COMPUTED_VALUE"""),2260.0)</f>
        <v>2260</v>
      </c>
      <c r="G97" s="4">
        <f>IFERROR(__xludf.DUMMYFUNCTION("""COMPUTED_VALUE"""),5022.0)</f>
        <v>5022</v>
      </c>
      <c r="H97" s="4">
        <f>IFERROR(__xludf.DUMMYFUNCTION("""COMPUTED_VALUE"""),5273.0)</f>
        <v>5273</v>
      </c>
      <c r="I97" s="4">
        <f>IFERROR(__xludf.DUMMYFUNCTION("""COMPUTED_VALUE"""),6803.0)</f>
        <v>6803</v>
      </c>
      <c r="J97" s="4">
        <f>IFERROR(__xludf.DUMMYFUNCTION("""COMPUTED_VALUE"""),6047.0)</f>
        <v>6047</v>
      </c>
      <c r="K97" s="4">
        <f>IFERROR(__xludf.DUMMYFUNCTION("""COMPUTED_VALUE"""),6551.0)</f>
        <v>6551</v>
      </c>
      <c r="L97" s="4">
        <f>IFERROR(__xludf.DUMMYFUNCTION("""COMPUTED_VALUE"""),9014.0)</f>
        <v>9014</v>
      </c>
      <c r="M97" s="4">
        <f>IFERROR(__xludf.DUMMYFUNCTION("""COMPUTED_VALUE"""),7025.0)</f>
        <v>7025</v>
      </c>
      <c r="N97" s="4">
        <f>IFERROR(__xludf.DUMMYFUNCTION("""COMPUTED_VALUE"""),10052.0)</f>
        <v>10052</v>
      </c>
    </row>
    <row r="98">
      <c r="A98" s="1" t="str">
        <f>vlookup(B98:B401,split_names!A97:B1008,2,0)</f>
        <v>Ford</v>
      </c>
      <c r="B98" s="1" t="str">
        <f>IFERROR(__xludf.DUMMYFUNCTION("""COMPUTED_VALUE"""),"Ford Explorer")</f>
        <v>Ford Explorer</v>
      </c>
      <c r="C98" s="4">
        <f>IFERROR(__xludf.DUMMYFUNCTION("""COMPUTED_VALUE"""),18289.0)</f>
        <v>18289</v>
      </c>
      <c r="D98" s="4">
        <f>IFERROR(__xludf.DUMMYFUNCTION("""COMPUTED_VALUE"""),23678.0)</f>
        <v>23678</v>
      </c>
      <c r="E98" s="4">
        <f>IFERROR(__xludf.DUMMYFUNCTION("""COMPUTED_VALUE"""),14342.0)</f>
        <v>14342</v>
      </c>
      <c r="F98" s="4">
        <f>IFERROR(__xludf.DUMMYFUNCTION("""COMPUTED_VALUE"""),8071.0)</f>
        <v>8071</v>
      </c>
      <c r="G98" s="4">
        <f>IFERROR(__xludf.DUMMYFUNCTION("""COMPUTED_VALUE"""),17936.0)</f>
        <v>17936</v>
      </c>
      <c r="H98" s="4">
        <f>IFERROR(__xludf.DUMMYFUNCTION("""COMPUTED_VALUE"""),18832.0)</f>
        <v>18832</v>
      </c>
      <c r="I98" s="4">
        <f>IFERROR(__xludf.DUMMYFUNCTION("""COMPUTED_VALUE"""),20709.0)</f>
        <v>20709</v>
      </c>
      <c r="J98" s="4">
        <f>IFERROR(__xludf.DUMMYFUNCTION("""COMPUTED_VALUE"""),18408.0)</f>
        <v>18408</v>
      </c>
      <c r="K98" s="4">
        <f>IFERROR(__xludf.DUMMYFUNCTION("""COMPUTED_VALUE"""),19942.0)</f>
        <v>19942</v>
      </c>
      <c r="L98" s="4">
        <f>IFERROR(__xludf.DUMMYFUNCTION("""COMPUTED_VALUE"""),21079.0)</f>
        <v>21079</v>
      </c>
      <c r="M98" s="4">
        <f>IFERROR(__xludf.DUMMYFUNCTION("""COMPUTED_VALUE"""),18848.0)</f>
        <v>18848</v>
      </c>
      <c r="N98" s="4">
        <f>IFERROR(__xludf.DUMMYFUNCTION("""COMPUTED_VALUE"""),26081.0)</f>
        <v>26081</v>
      </c>
    </row>
    <row r="99">
      <c r="A99" s="1" t="str">
        <f>vlookup(B99:B402,split_names!A98:B1009,2,0)</f>
        <v>Ford</v>
      </c>
      <c r="B99" s="1" t="str">
        <f>IFERROR(__xludf.DUMMYFUNCTION("""COMPUTED_VALUE"""),"Ford F-Series")</f>
        <v>Ford F-Series</v>
      </c>
      <c r="C99" s="4">
        <f>IFERROR(__xludf.DUMMYFUNCTION("""COMPUTED_VALUE"""),60595.0)</f>
        <v>60595</v>
      </c>
      <c r="D99" s="4">
        <f>IFERROR(__xludf.DUMMYFUNCTION("""COMPUTED_VALUE"""),78449.0)</f>
        <v>78449</v>
      </c>
      <c r="E99" s="4">
        <f>IFERROR(__xludf.DUMMYFUNCTION("""COMPUTED_VALUE"""),47517.0)</f>
        <v>47517</v>
      </c>
      <c r="F99" s="4">
        <f>IFERROR(__xludf.DUMMYFUNCTION("""COMPUTED_VALUE"""),32549.0)</f>
        <v>32549</v>
      </c>
      <c r="G99" s="4">
        <f>IFERROR(__xludf.DUMMYFUNCTION("""COMPUTED_VALUE"""),72330.0)</f>
        <v>72330</v>
      </c>
      <c r="H99" s="4">
        <f>IFERROR(__xludf.DUMMYFUNCTION("""COMPUTED_VALUE"""),75947.0)</f>
        <v>75947</v>
      </c>
      <c r="I99" s="4">
        <f>IFERROR(__xludf.DUMMYFUNCTION("""COMPUTED_VALUE"""),77720.0)</f>
        <v>77720</v>
      </c>
      <c r="J99" s="4">
        <f>IFERROR(__xludf.DUMMYFUNCTION("""COMPUTED_VALUE"""),69085.0)</f>
        <v>69085</v>
      </c>
      <c r="K99" s="4">
        <f>IFERROR(__xludf.DUMMYFUNCTION("""COMPUTED_VALUE"""),74842.0)</f>
        <v>74842</v>
      </c>
      <c r="L99" s="4">
        <f>IFERROR(__xludf.DUMMYFUNCTION("""COMPUTED_VALUE"""),71593.0)</f>
        <v>71593</v>
      </c>
      <c r="M99" s="4">
        <f>IFERROR(__xludf.DUMMYFUNCTION("""COMPUTED_VALUE"""),52698.0)</f>
        <v>52698</v>
      </c>
      <c r="N99" s="4">
        <f>IFERROR(__xludf.DUMMYFUNCTION("""COMPUTED_VALUE"""),74047.0)</f>
        <v>74047</v>
      </c>
    </row>
    <row r="100">
      <c r="A100" s="1" t="str">
        <f>vlookup(B100:B403,split_names!A99:B1010,2,0)</f>
        <v>Ford</v>
      </c>
      <c r="B100" s="1" t="str">
        <f>IFERROR(__xludf.DUMMYFUNCTION("""COMPUTED_VALUE"""),"Ford Fiesta")</f>
        <v>Ford Fiesta</v>
      </c>
      <c r="C100" s="1">
        <f>IFERROR(__xludf.DUMMYFUNCTION("""COMPUTED_VALUE"""),884.0)</f>
        <v>884</v>
      </c>
      <c r="D100" s="4">
        <f>IFERROR(__xludf.DUMMYFUNCTION("""COMPUTED_VALUE"""),1145.0)</f>
        <v>1145</v>
      </c>
      <c r="E100" s="1">
        <f>IFERROR(__xludf.DUMMYFUNCTION("""COMPUTED_VALUE"""),694.0)</f>
        <v>694</v>
      </c>
      <c r="F100" s="1">
        <f>IFERROR(__xludf.DUMMYFUNCTION("""COMPUTED_VALUE"""),78.0)</f>
        <v>78</v>
      </c>
      <c r="G100" s="1">
        <f>IFERROR(__xludf.DUMMYFUNCTION("""COMPUTED_VALUE"""),174.0)</f>
        <v>174</v>
      </c>
      <c r="H100" s="1">
        <f>IFERROR(__xludf.DUMMYFUNCTION("""COMPUTED_VALUE"""),182.0)</f>
        <v>182</v>
      </c>
      <c r="I100" s="1">
        <f>IFERROR(__xludf.DUMMYFUNCTION("""COMPUTED_VALUE"""),47.0)</f>
        <v>47</v>
      </c>
      <c r="J100" s="1">
        <f>IFERROR(__xludf.DUMMYFUNCTION("""COMPUTED_VALUE"""),42.0)</f>
        <v>42</v>
      </c>
      <c r="K100" s="1">
        <f>IFERROR(__xludf.DUMMYFUNCTION("""COMPUTED_VALUE"""),46.0)</f>
        <v>46</v>
      </c>
      <c r="L100" s="1">
        <f>IFERROR(__xludf.DUMMYFUNCTION("""COMPUTED_VALUE"""),11.0)</f>
        <v>11</v>
      </c>
      <c r="M100" s="1">
        <f>IFERROR(__xludf.DUMMYFUNCTION("""COMPUTED_VALUE"""),51.0)</f>
        <v>51</v>
      </c>
      <c r="N100" s="1">
        <f>IFERROR(__xludf.DUMMYFUNCTION("""COMPUTED_VALUE"""),0.0)</f>
        <v>0</v>
      </c>
    </row>
    <row r="101">
      <c r="A101" s="1" t="str">
        <f>vlookup(B101:B404,split_names!A100:B1011,2,0)</f>
        <v>Ford</v>
      </c>
      <c r="B101" s="1" t="str">
        <f>IFERROR(__xludf.DUMMYFUNCTION("""COMPUTED_VALUE"""),"Ford Flex")</f>
        <v>Ford Flex</v>
      </c>
      <c r="C101" s="1">
        <f>IFERROR(__xludf.DUMMYFUNCTION("""COMPUTED_VALUE"""),801.0)</f>
        <v>801</v>
      </c>
      <c r="D101" s="4">
        <f>IFERROR(__xludf.DUMMYFUNCTION("""COMPUTED_VALUE"""),1037.0)</f>
        <v>1037</v>
      </c>
      <c r="E101" s="1">
        <f>IFERROR(__xludf.DUMMYFUNCTION("""COMPUTED_VALUE"""),628.0)</f>
        <v>628</v>
      </c>
      <c r="F101" s="1">
        <f>IFERROR(__xludf.DUMMYFUNCTION("""COMPUTED_VALUE"""),303.0)</f>
        <v>303</v>
      </c>
      <c r="G101" s="1">
        <f>IFERROR(__xludf.DUMMYFUNCTION("""COMPUTED_VALUE"""),674.0)</f>
        <v>674</v>
      </c>
      <c r="H101" s="1">
        <f>IFERROR(__xludf.DUMMYFUNCTION("""COMPUTED_VALUE"""),708.0)</f>
        <v>708</v>
      </c>
      <c r="I101" s="1">
        <f>IFERROR(__xludf.DUMMYFUNCTION("""COMPUTED_VALUE"""),189.0)</f>
        <v>189</v>
      </c>
      <c r="J101" s="1">
        <f>IFERROR(__xludf.DUMMYFUNCTION("""COMPUTED_VALUE"""),168.0)</f>
        <v>168</v>
      </c>
      <c r="K101" s="1">
        <f>IFERROR(__xludf.DUMMYFUNCTION("""COMPUTED_VALUE"""),182.0)</f>
        <v>182</v>
      </c>
      <c r="L101" s="1">
        <f>IFERROR(__xludf.DUMMYFUNCTION("""COMPUTED_VALUE"""),41.0)</f>
        <v>41</v>
      </c>
      <c r="M101" s="1">
        <f>IFERROR(__xludf.DUMMYFUNCTION("""COMPUTED_VALUE"""),118.0)</f>
        <v>118</v>
      </c>
      <c r="N101" s="1">
        <f>IFERROR(__xludf.DUMMYFUNCTION("""COMPUTED_VALUE"""),0.0)</f>
        <v>0</v>
      </c>
    </row>
    <row r="102">
      <c r="A102" s="1" t="str">
        <f>vlookup(B102:B405,split_names!A101:B1012,2,0)</f>
        <v>Ford</v>
      </c>
      <c r="B102" s="1" t="str">
        <f>IFERROR(__xludf.DUMMYFUNCTION("""COMPUTED_VALUE"""),"Ford Fusion")</f>
        <v>Ford Fusion</v>
      </c>
      <c r="C102" s="4">
        <f>IFERROR(__xludf.DUMMYFUNCTION("""COMPUTED_VALUE"""),11997.0)</f>
        <v>11997</v>
      </c>
      <c r="D102" s="4">
        <f>IFERROR(__xludf.DUMMYFUNCTION("""COMPUTED_VALUE"""),15532.0)</f>
        <v>15532</v>
      </c>
      <c r="E102" s="4">
        <f>IFERROR(__xludf.DUMMYFUNCTION("""COMPUTED_VALUE"""),9408.0)</f>
        <v>9408</v>
      </c>
      <c r="F102" s="4">
        <f>IFERROR(__xludf.DUMMYFUNCTION("""COMPUTED_VALUE"""),4407.0)</f>
        <v>4407</v>
      </c>
      <c r="G102" s="4">
        <f>IFERROR(__xludf.DUMMYFUNCTION("""COMPUTED_VALUE"""),9794.0)</f>
        <v>9794</v>
      </c>
      <c r="H102" s="4">
        <f>IFERROR(__xludf.DUMMYFUNCTION("""COMPUTED_VALUE"""),10283.0)</f>
        <v>10283</v>
      </c>
      <c r="I102" s="4">
        <f>IFERROR(__xludf.DUMMYFUNCTION("""COMPUTED_VALUE"""),10254.0)</f>
        <v>10254</v>
      </c>
      <c r="J102" s="4">
        <f>IFERROR(__xludf.DUMMYFUNCTION("""COMPUTED_VALUE"""),9115.0)</f>
        <v>9115</v>
      </c>
      <c r="K102" s="4">
        <f>IFERROR(__xludf.DUMMYFUNCTION("""COMPUTED_VALUE"""),9874.0)</f>
        <v>9874</v>
      </c>
      <c r="L102" s="4">
        <f>IFERROR(__xludf.DUMMYFUNCTION("""COMPUTED_VALUE"""),6526.0)</f>
        <v>6526</v>
      </c>
      <c r="M102" s="4">
        <f>IFERROR(__xludf.DUMMYFUNCTION("""COMPUTED_VALUE"""),5902.0)</f>
        <v>5902</v>
      </c>
      <c r="N102" s="4">
        <f>IFERROR(__xludf.DUMMYFUNCTION("""COMPUTED_VALUE"""),7573.0)</f>
        <v>7573</v>
      </c>
    </row>
    <row r="103">
      <c r="A103" s="1" t="str">
        <f>vlookup(B103:B406,split_names!A102:B1013,2,0)</f>
        <v>Ford</v>
      </c>
      <c r="B103" s="1" t="str">
        <f>IFERROR(__xludf.DUMMYFUNCTION("""COMPUTED_VALUE"""),"Ford GT")</f>
        <v>Ford GT</v>
      </c>
      <c r="C103" s="1">
        <f>IFERROR(__xludf.DUMMYFUNCTION("""COMPUTED_VALUE"""),26.0)</f>
        <v>26</v>
      </c>
      <c r="D103" s="1">
        <f>IFERROR(__xludf.DUMMYFUNCTION("""COMPUTED_VALUE"""),33.0)</f>
        <v>33</v>
      </c>
      <c r="E103" s="1">
        <f>IFERROR(__xludf.DUMMYFUNCTION("""COMPUTED_VALUE"""),20.0)</f>
        <v>20</v>
      </c>
      <c r="F103" s="1">
        <f>IFERROR(__xludf.DUMMYFUNCTION("""COMPUTED_VALUE"""),3.0)</f>
        <v>3</v>
      </c>
      <c r="G103" s="1">
        <f>IFERROR(__xludf.DUMMYFUNCTION("""COMPUTED_VALUE"""),7.0)</f>
        <v>7</v>
      </c>
      <c r="H103" s="1">
        <f>IFERROR(__xludf.DUMMYFUNCTION("""COMPUTED_VALUE"""),8.0)</f>
        <v>8</v>
      </c>
      <c r="I103" s="1">
        <f>IFERROR(__xludf.DUMMYFUNCTION("""COMPUTED_VALUE"""),0.0)</f>
        <v>0</v>
      </c>
      <c r="J103" s="1">
        <f>IFERROR(__xludf.DUMMYFUNCTION("""COMPUTED_VALUE"""),0.0)</f>
        <v>0</v>
      </c>
      <c r="K103" s="1">
        <f>IFERROR(__xludf.DUMMYFUNCTION("""COMPUTED_VALUE"""),0.0)</f>
        <v>0</v>
      </c>
      <c r="L103" s="1">
        <f>IFERROR(__xludf.DUMMYFUNCTION("""COMPUTED_VALUE"""),14.0)</f>
        <v>14</v>
      </c>
      <c r="M103" s="1">
        <f>IFERROR(__xludf.DUMMYFUNCTION("""COMPUTED_VALUE"""),4.0)</f>
        <v>4</v>
      </c>
      <c r="N103" s="1">
        <f>IFERROR(__xludf.DUMMYFUNCTION("""COMPUTED_VALUE"""),10.0)</f>
        <v>10</v>
      </c>
    </row>
    <row r="104">
      <c r="A104" s="1" t="str">
        <f>vlookup(B104:B407,split_names!A103:B1014,2,0)</f>
        <v>Ford</v>
      </c>
      <c r="B104" s="1" t="str">
        <f>IFERROR(__xludf.DUMMYFUNCTION("""COMPUTED_VALUE"""),"Ford Mustang")</f>
        <v>Ford Mustang</v>
      </c>
      <c r="C104" s="4">
        <f>IFERROR(__xludf.DUMMYFUNCTION("""COMPUTED_VALUE"""),5869.0)</f>
        <v>5869</v>
      </c>
      <c r="D104" s="4">
        <f>IFERROR(__xludf.DUMMYFUNCTION("""COMPUTED_VALUE"""),7598.0)</f>
        <v>7598</v>
      </c>
      <c r="E104" s="4">
        <f>IFERROR(__xludf.DUMMYFUNCTION("""COMPUTED_VALUE"""),4602.0)</f>
        <v>4602</v>
      </c>
      <c r="F104" s="4">
        <f>IFERROR(__xludf.DUMMYFUNCTION("""COMPUTED_VALUE"""),2829.0)</f>
        <v>2829</v>
      </c>
      <c r="G104" s="4">
        <f>IFERROR(__xludf.DUMMYFUNCTION("""COMPUTED_VALUE"""),6287.0)</f>
        <v>6287</v>
      </c>
      <c r="H104" s="4">
        <f>IFERROR(__xludf.DUMMYFUNCTION("""COMPUTED_VALUE"""),6601.0)</f>
        <v>6601</v>
      </c>
      <c r="I104" s="4">
        <f>IFERROR(__xludf.DUMMYFUNCTION("""COMPUTED_VALUE"""),4857.0)</f>
        <v>4857</v>
      </c>
      <c r="J104" s="4">
        <f>IFERROR(__xludf.DUMMYFUNCTION("""COMPUTED_VALUE"""),4317.0)</f>
        <v>4317</v>
      </c>
      <c r="K104" s="4">
        <f>IFERROR(__xludf.DUMMYFUNCTION("""COMPUTED_VALUE"""),4677.0)</f>
        <v>4677</v>
      </c>
      <c r="L104" s="4">
        <f>IFERROR(__xludf.DUMMYFUNCTION("""COMPUTED_VALUE"""),4399.0)</f>
        <v>4399</v>
      </c>
      <c r="M104" s="4">
        <f>IFERROR(__xludf.DUMMYFUNCTION("""COMPUTED_VALUE"""),4119.0)</f>
        <v>4119</v>
      </c>
      <c r="N104" s="4">
        <f>IFERROR(__xludf.DUMMYFUNCTION("""COMPUTED_VALUE"""),4935.0)</f>
        <v>4935</v>
      </c>
    </row>
    <row r="105">
      <c r="A105" s="1" t="str">
        <f>vlookup(B105:B408,split_names!A104:B1015,2,0)</f>
        <v>Ford</v>
      </c>
      <c r="B105" s="1" t="str">
        <f>IFERROR(__xludf.DUMMYFUNCTION("""COMPUTED_VALUE"""),"Ford Mustang Mach E")</f>
        <v>Ford Mustang Mach E</v>
      </c>
      <c r="C105" s="1">
        <f>IFERROR(__xludf.DUMMYFUNCTION("""COMPUTED_VALUE"""),0.0)</f>
        <v>0</v>
      </c>
      <c r="D105" s="1">
        <f>IFERROR(__xludf.DUMMYFUNCTION("""COMPUTED_VALUE"""),0.0)</f>
        <v>0</v>
      </c>
      <c r="E105" s="1">
        <f>IFERROR(__xludf.DUMMYFUNCTION("""COMPUTED_VALUE"""),0.0)</f>
        <v>0</v>
      </c>
      <c r="F105" s="1">
        <f>IFERROR(__xludf.DUMMYFUNCTION("""COMPUTED_VALUE"""),0.0)</f>
        <v>0</v>
      </c>
      <c r="G105" s="1">
        <f>IFERROR(__xludf.DUMMYFUNCTION("""COMPUTED_VALUE"""),0.0)</f>
        <v>0</v>
      </c>
      <c r="H105" s="1">
        <f>IFERROR(__xludf.DUMMYFUNCTION("""COMPUTED_VALUE"""),0.0)</f>
        <v>0</v>
      </c>
      <c r="I105" s="1">
        <f>IFERROR(__xludf.DUMMYFUNCTION("""COMPUTED_VALUE"""),0.0)</f>
        <v>0</v>
      </c>
      <c r="J105" s="1">
        <f>IFERROR(__xludf.DUMMYFUNCTION("""COMPUTED_VALUE"""),0.0)</f>
        <v>0</v>
      </c>
      <c r="K105" s="1">
        <f>IFERROR(__xludf.DUMMYFUNCTION("""COMPUTED_VALUE"""),0.0)</f>
        <v>0</v>
      </c>
      <c r="L105" s="1">
        <f>IFERROR(__xludf.DUMMYFUNCTION("""COMPUTED_VALUE"""),0.0)</f>
        <v>0</v>
      </c>
      <c r="M105" s="1">
        <f>IFERROR(__xludf.DUMMYFUNCTION("""COMPUTED_VALUE"""),0.0)</f>
        <v>0</v>
      </c>
      <c r="N105" s="1">
        <f>IFERROR(__xludf.DUMMYFUNCTION("""COMPUTED_VALUE"""),3.0)</f>
        <v>3</v>
      </c>
    </row>
    <row r="106">
      <c r="A106" s="1" t="str">
        <f>vlookup(B106:B409,split_names!A105:B1016,2,0)</f>
        <v>Ford</v>
      </c>
      <c r="B106" s="1" t="str">
        <f>IFERROR(__xludf.DUMMYFUNCTION("""COMPUTED_VALUE"""),"Ford Ranger")</f>
        <v>Ford Ranger</v>
      </c>
      <c r="C106" s="4">
        <f>IFERROR(__xludf.DUMMYFUNCTION("""COMPUTED_VALUE"""),6814.0)</f>
        <v>6814</v>
      </c>
      <c r="D106" s="4">
        <f>IFERROR(__xludf.DUMMYFUNCTION("""COMPUTED_VALUE"""),8822.0)</f>
        <v>8822</v>
      </c>
      <c r="E106" s="4">
        <f>IFERROR(__xludf.DUMMYFUNCTION("""COMPUTED_VALUE"""),5344.0)</f>
        <v>5344</v>
      </c>
      <c r="F106" s="4">
        <f>IFERROR(__xludf.DUMMYFUNCTION("""COMPUTED_VALUE"""),4501.0)</f>
        <v>4501</v>
      </c>
      <c r="G106" s="4">
        <f>IFERROR(__xludf.DUMMYFUNCTION("""COMPUTED_VALUE"""),10003.0)</f>
        <v>10003</v>
      </c>
      <c r="H106" s="4">
        <f>IFERROR(__xludf.DUMMYFUNCTION("""COMPUTED_VALUE"""),10503.0)</f>
        <v>10503</v>
      </c>
      <c r="I106" s="4">
        <f>IFERROR(__xludf.DUMMYFUNCTION("""COMPUTED_VALUE"""),9941.0)</f>
        <v>9941</v>
      </c>
      <c r="J106" s="4">
        <f>IFERROR(__xludf.DUMMYFUNCTION("""COMPUTED_VALUE"""),8836.0)</f>
        <v>8836</v>
      </c>
      <c r="K106" s="4">
        <f>IFERROR(__xludf.DUMMYFUNCTION("""COMPUTED_VALUE"""),9573.0)</f>
        <v>9573</v>
      </c>
      <c r="L106" s="4">
        <f>IFERROR(__xludf.DUMMYFUNCTION("""COMPUTED_VALUE"""),8779.0)</f>
        <v>8779</v>
      </c>
      <c r="M106" s="4">
        <f>IFERROR(__xludf.DUMMYFUNCTION("""COMPUTED_VALUE"""),8495.0)</f>
        <v>8495</v>
      </c>
      <c r="N106" s="4">
        <f>IFERROR(__xludf.DUMMYFUNCTION("""COMPUTED_VALUE"""),9874.0)</f>
        <v>9874</v>
      </c>
    </row>
    <row r="107">
      <c r="A107" s="1" t="str">
        <f>vlookup(B107:B410,split_names!A106:B1017,2,0)</f>
        <v>Ford</v>
      </c>
      <c r="B107" s="1" t="str">
        <f>IFERROR(__xludf.DUMMYFUNCTION("""COMPUTED_VALUE"""),"Ford Transit")</f>
        <v>Ford Transit</v>
      </c>
      <c r="C107" s="4">
        <f>IFERROR(__xludf.DUMMYFUNCTION("""COMPUTED_VALUE"""),11964.0)</f>
        <v>11964</v>
      </c>
      <c r="D107" s="4">
        <f>IFERROR(__xludf.DUMMYFUNCTION("""COMPUTED_VALUE"""),15490.0)</f>
        <v>15490</v>
      </c>
      <c r="E107" s="4">
        <f>IFERROR(__xludf.DUMMYFUNCTION("""COMPUTED_VALUE"""),9382.0)</f>
        <v>9382</v>
      </c>
      <c r="F107" s="4">
        <f>IFERROR(__xludf.DUMMYFUNCTION("""COMPUTED_VALUE"""),3230.0)</f>
        <v>3230</v>
      </c>
      <c r="G107" s="4">
        <f>IFERROR(__xludf.DUMMYFUNCTION("""COMPUTED_VALUE"""),7178.0)</f>
        <v>7178</v>
      </c>
      <c r="H107" s="4">
        <f>IFERROR(__xludf.DUMMYFUNCTION("""COMPUTED_VALUE"""),7536.0)</f>
        <v>7536</v>
      </c>
      <c r="I107" s="4">
        <f>IFERROR(__xludf.DUMMYFUNCTION("""COMPUTED_VALUE"""),13637.0)</f>
        <v>13637</v>
      </c>
      <c r="J107" s="4">
        <f>IFERROR(__xludf.DUMMYFUNCTION("""COMPUTED_VALUE"""),12122.0)</f>
        <v>12122</v>
      </c>
      <c r="K107" s="4">
        <f>IFERROR(__xludf.DUMMYFUNCTION("""COMPUTED_VALUE"""),13132.0)</f>
        <v>13132</v>
      </c>
      <c r="L107" s="4">
        <f>IFERROR(__xludf.DUMMYFUNCTION("""COMPUTED_VALUE"""),12403.0)</f>
        <v>12403</v>
      </c>
      <c r="M107" s="4">
        <f>IFERROR(__xludf.DUMMYFUNCTION("""COMPUTED_VALUE"""),9917.0)</f>
        <v>9917</v>
      </c>
      <c r="N107" s="4">
        <f>IFERROR(__xludf.DUMMYFUNCTION("""COMPUTED_VALUE"""),15566.0)</f>
        <v>15566</v>
      </c>
    </row>
    <row r="108">
      <c r="A108" s="1" t="str">
        <f>vlookup(B108:B411,split_names!A107:B1018,2,0)</f>
        <v>Ford</v>
      </c>
      <c r="B108" s="1" t="str">
        <f>IFERROR(__xludf.DUMMYFUNCTION("""COMPUTED_VALUE"""),"Ford Transit Connect")</f>
        <v>Ford Transit Connect</v>
      </c>
      <c r="C108" s="4">
        <f>IFERROR(__xludf.DUMMYFUNCTION("""COMPUTED_VALUE"""),2457.0)</f>
        <v>2457</v>
      </c>
      <c r="D108" s="4">
        <f>IFERROR(__xludf.DUMMYFUNCTION("""COMPUTED_VALUE"""),3181.0)</f>
        <v>3181</v>
      </c>
      <c r="E108" s="4">
        <f>IFERROR(__xludf.DUMMYFUNCTION("""COMPUTED_VALUE"""),1927.0)</f>
        <v>1927</v>
      </c>
      <c r="F108" s="4">
        <f>IFERROR(__xludf.DUMMYFUNCTION("""COMPUTED_VALUE"""),1217.0)</f>
        <v>1217</v>
      </c>
      <c r="G108" s="4">
        <f>IFERROR(__xludf.DUMMYFUNCTION("""COMPUTED_VALUE"""),2704.0)</f>
        <v>2704</v>
      </c>
      <c r="H108" s="4">
        <f>IFERROR(__xludf.DUMMYFUNCTION("""COMPUTED_VALUE"""),2839.0)</f>
        <v>2839</v>
      </c>
      <c r="I108" s="4">
        <f>IFERROR(__xludf.DUMMYFUNCTION("""COMPUTED_VALUE"""),3828.0)</f>
        <v>3828</v>
      </c>
      <c r="J108" s="4">
        <f>IFERROR(__xludf.DUMMYFUNCTION("""COMPUTED_VALUE"""),3402.0)</f>
        <v>3402</v>
      </c>
      <c r="K108" s="4">
        <f>IFERROR(__xludf.DUMMYFUNCTION("""COMPUTED_VALUE"""),3686.0)</f>
        <v>3686</v>
      </c>
      <c r="L108" s="4">
        <f>IFERROR(__xludf.DUMMYFUNCTION("""COMPUTED_VALUE"""),2886.0)</f>
        <v>2886</v>
      </c>
      <c r="M108" s="4">
        <f>IFERROR(__xludf.DUMMYFUNCTION("""COMPUTED_VALUE"""),2993.0)</f>
        <v>2993</v>
      </c>
      <c r="N108" s="4">
        <f>IFERROR(__xludf.DUMMYFUNCTION("""COMPUTED_VALUE"""),3476.0)</f>
        <v>3476</v>
      </c>
    </row>
    <row r="109">
      <c r="A109" s="1" t="str">
        <f>vlookup(B109:B412,split_names!A108:B1019,2,0)</f>
        <v>Genesis</v>
      </c>
      <c r="B109" s="1" t="str">
        <f>IFERROR(__xludf.DUMMYFUNCTION("""COMPUTED_VALUE"""),"Genesis G70")</f>
        <v>Genesis G70</v>
      </c>
      <c r="C109" s="1">
        <f>IFERROR(__xludf.DUMMYFUNCTION("""COMPUTED_VALUE"""),716.0)</f>
        <v>716</v>
      </c>
      <c r="D109" s="1">
        <f>IFERROR(__xludf.DUMMYFUNCTION("""COMPUTED_VALUE"""),841.0)</f>
        <v>841</v>
      </c>
      <c r="E109" s="1">
        <f>IFERROR(__xludf.DUMMYFUNCTION("""COMPUTED_VALUE"""),517.0)</f>
        <v>517</v>
      </c>
      <c r="F109" s="1">
        <f>IFERROR(__xludf.DUMMYFUNCTION("""COMPUTED_VALUE"""),551.0)</f>
        <v>551</v>
      </c>
      <c r="G109" s="1">
        <f>IFERROR(__xludf.DUMMYFUNCTION("""COMPUTED_VALUE"""),870.0)</f>
        <v>870</v>
      </c>
      <c r="H109" s="1">
        <f>IFERROR(__xludf.DUMMYFUNCTION("""COMPUTED_VALUE"""),897.0)</f>
        <v>897</v>
      </c>
      <c r="I109" s="1">
        <f>IFERROR(__xludf.DUMMYFUNCTION("""COMPUTED_VALUE"""),883.0)</f>
        <v>883</v>
      </c>
      <c r="J109" s="1">
        <f>IFERROR(__xludf.DUMMYFUNCTION("""COMPUTED_VALUE"""),950.0)</f>
        <v>950</v>
      </c>
      <c r="K109" s="1">
        <f>IFERROR(__xludf.DUMMYFUNCTION("""COMPUTED_VALUE"""),899.0)</f>
        <v>899</v>
      </c>
      <c r="L109" s="1">
        <f>IFERROR(__xludf.DUMMYFUNCTION("""COMPUTED_VALUE"""),826.0)</f>
        <v>826</v>
      </c>
      <c r="M109" s="1">
        <f>IFERROR(__xludf.DUMMYFUNCTION("""COMPUTED_VALUE"""),683.0)</f>
        <v>683</v>
      </c>
      <c r="N109" s="1">
        <f>IFERROR(__xludf.DUMMYFUNCTION("""COMPUTED_VALUE"""),803.0)</f>
        <v>803</v>
      </c>
    </row>
    <row r="110">
      <c r="A110" s="1" t="str">
        <f>vlookup(B110:B413,split_names!A109:B1020,2,0)</f>
        <v>Genesis</v>
      </c>
      <c r="B110" s="1" t="str">
        <f>IFERROR(__xludf.DUMMYFUNCTION("""COMPUTED_VALUE"""),"Genesis G80")</f>
        <v>Genesis G80</v>
      </c>
      <c r="C110" s="1">
        <f>IFERROR(__xludf.DUMMYFUNCTION("""COMPUTED_VALUE"""),456.0)</f>
        <v>456</v>
      </c>
      <c r="D110" s="1">
        <f>IFERROR(__xludf.DUMMYFUNCTION("""COMPUTED_VALUE"""),457.0)</f>
        <v>457</v>
      </c>
      <c r="E110" s="1">
        <f>IFERROR(__xludf.DUMMYFUNCTION("""COMPUTED_VALUE"""),284.0)</f>
        <v>284</v>
      </c>
      <c r="F110" s="1">
        <f>IFERROR(__xludf.DUMMYFUNCTION("""COMPUTED_VALUE"""),161.0)</f>
        <v>161</v>
      </c>
      <c r="G110" s="1">
        <f>IFERROR(__xludf.DUMMYFUNCTION("""COMPUTED_VALUE"""),319.0)</f>
        <v>319</v>
      </c>
      <c r="H110" s="1">
        <f>IFERROR(__xludf.DUMMYFUNCTION("""COMPUTED_VALUE"""),324.0)</f>
        <v>324</v>
      </c>
      <c r="I110" s="1">
        <f>IFERROR(__xludf.DUMMYFUNCTION("""COMPUTED_VALUE"""),242.0)</f>
        <v>242</v>
      </c>
      <c r="J110" s="1">
        <f>IFERROR(__xludf.DUMMYFUNCTION("""COMPUTED_VALUE"""),226.0)</f>
        <v>226</v>
      </c>
      <c r="K110" s="1">
        <f>IFERROR(__xludf.DUMMYFUNCTION("""COMPUTED_VALUE"""),133.0)</f>
        <v>133</v>
      </c>
      <c r="L110" s="1">
        <f>IFERROR(__xludf.DUMMYFUNCTION("""COMPUTED_VALUE"""),89.0)</f>
        <v>89</v>
      </c>
      <c r="M110" s="1">
        <f>IFERROR(__xludf.DUMMYFUNCTION("""COMPUTED_VALUE"""),55.0)</f>
        <v>55</v>
      </c>
      <c r="N110" s="1">
        <f>IFERROR(__xludf.DUMMYFUNCTION("""COMPUTED_VALUE"""),613.0)</f>
        <v>613</v>
      </c>
    </row>
    <row r="111">
      <c r="A111" s="1" t="str">
        <f>vlookup(B111:B414,split_names!A110:B1021,2,0)</f>
        <v>Genesis</v>
      </c>
      <c r="B111" s="1" t="str">
        <f>IFERROR(__xludf.DUMMYFUNCTION("""COMPUTED_VALUE"""),"Genesis G90")</f>
        <v>Genesis G90</v>
      </c>
      <c r="C111" s="1">
        <f>IFERROR(__xludf.DUMMYFUNCTION("""COMPUTED_VALUE"""),227.0)</f>
        <v>227</v>
      </c>
      <c r="D111" s="1">
        <f>IFERROR(__xludf.DUMMYFUNCTION("""COMPUTED_VALUE"""),289.0)</f>
        <v>289</v>
      </c>
      <c r="E111" s="1">
        <f>IFERROR(__xludf.DUMMYFUNCTION("""COMPUTED_VALUE"""),168.0)</f>
        <v>168</v>
      </c>
      <c r="F111" s="1">
        <f>IFERROR(__xludf.DUMMYFUNCTION("""COMPUTED_VALUE"""),94.0)</f>
        <v>94</v>
      </c>
      <c r="G111" s="1">
        <f>IFERROR(__xludf.DUMMYFUNCTION("""COMPUTED_VALUE"""),161.0)</f>
        <v>161</v>
      </c>
      <c r="H111" s="1">
        <f>IFERROR(__xludf.DUMMYFUNCTION("""COMPUTED_VALUE"""),208.0)</f>
        <v>208</v>
      </c>
      <c r="I111" s="1">
        <f>IFERROR(__xludf.DUMMYFUNCTION("""COMPUTED_VALUE"""),132.0)</f>
        <v>132</v>
      </c>
      <c r="J111" s="1">
        <f>IFERROR(__xludf.DUMMYFUNCTION("""COMPUTED_VALUE"""),184.0)</f>
        <v>184</v>
      </c>
      <c r="K111" s="1">
        <f>IFERROR(__xludf.DUMMYFUNCTION("""COMPUTED_VALUE"""),96.0)</f>
        <v>96</v>
      </c>
      <c r="L111" s="1">
        <f>IFERROR(__xludf.DUMMYFUNCTION("""COMPUTED_VALUE"""),139.0)</f>
        <v>139</v>
      </c>
      <c r="M111" s="1">
        <f>IFERROR(__xludf.DUMMYFUNCTION("""COMPUTED_VALUE"""),139.0)</f>
        <v>139</v>
      </c>
      <c r="N111" s="1">
        <f>IFERROR(__xludf.DUMMYFUNCTION("""COMPUTED_VALUE"""),235.0)</f>
        <v>235</v>
      </c>
    </row>
    <row r="112">
      <c r="A112" s="1" t="str">
        <f>vlookup(B112:B415,split_names!A111:B1022,2,0)</f>
        <v>Genesis</v>
      </c>
      <c r="B112" s="1" t="str">
        <f>IFERROR(__xludf.DUMMYFUNCTION("""COMPUTED_VALUE"""),"Genesis GV80")</f>
        <v>Genesis GV80</v>
      </c>
      <c r="C112" s="1">
        <f>IFERROR(__xludf.DUMMYFUNCTION("""COMPUTED_VALUE"""),0.0)</f>
        <v>0</v>
      </c>
      <c r="D112" s="1">
        <f>IFERROR(__xludf.DUMMYFUNCTION("""COMPUTED_VALUE"""),0.0)</f>
        <v>0</v>
      </c>
      <c r="E112" s="1">
        <f>IFERROR(__xludf.DUMMYFUNCTION("""COMPUTED_VALUE"""),0.0)</f>
        <v>0</v>
      </c>
      <c r="F112" s="1">
        <f>IFERROR(__xludf.DUMMYFUNCTION("""COMPUTED_VALUE"""),0.0)</f>
        <v>0</v>
      </c>
      <c r="G112" s="1">
        <f>IFERROR(__xludf.DUMMYFUNCTION("""COMPUTED_VALUE"""),0.0)</f>
        <v>0</v>
      </c>
      <c r="H112" s="1">
        <f>IFERROR(__xludf.DUMMYFUNCTION("""COMPUTED_VALUE"""),0.0)</f>
        <v>0</v>
      </c>
      <c r="I112" s="1">
        <f>IFERROR(__xludf.DUMMYFUNCTION("""COMPUTED_VALUE"""),0.0)</f>
        <v>0</v>
      </c>
      <c r="J112" s="1">
        <f>IFERROR(__xludf.DUMMYFUNCTION("""COMPUTED_VALUE"""),0.0)</f>
        <v>0</v>
      </c>
      <c r="K112" s="1">
        <f>IFERROR(__xludf.DUMMYFUNCTION("""COMPUTED_VALUE"""),0.0)</f>
        <v>0</v>
      </c>
      <c r="L112" s="1">
        <f>IFERROR(__xludf.DUMMYFUNCTION("""COMPUTED_VALUE"""),0.0)</f>
        <v>0</v>
      </c>
      <c r="M112" s="1">
        <f>IFERROR(__xludf.DUMMYFUNCTION("""COMPUTED_VALUE"""),58.0)</f>
        <v>58</v>
      </c>
      <c r="N112" s="4">
        <f>IFERROR(__xludf.DUMMYFUNCTION("""COMPUTED_VALUE"""),1459.0)</f>
        <v>1459</v>
      </c>
    </row>
    <row r="113">
      <c r="A113" s="1" t="str">
        <f>vlookup(B113:B416,split_names!A112:B1023,2,0)</f>
        <v>GMC</v>
      </c>
      <c r="B113" s="1" t="str">
        <f>IFERROR(__xludf.DUMMYFUNCTION("""COMPUTED_VALUE"""),"GMC Acadia")</f>
        <v>GMC Acadia</v>
      </c>
      <c r="C113" s="4">
        <f>IFERROR(__xludf.DUMMYFUNCTION("""COMPUTED_VALUE"""),5744.0)</f>
        <v>5744</v>
      </c>
      <c r="D113" s="4">
        <f>IFERROR(__xludf.DUMMYFUNCTION("""COMPUTED_VALUE"""),7437.0)</f>
        <v>7437</v>
      </c>
      <c r="E113" s="4">
        <f>IFERROR(__xludf.DUMMYFUNCTION("""COMPUTED_VALUE"""),4505.0)</f>
        <v>4505</v>
      </c>
      <c r="F113" s="4">
        <f>IFERROR(__xludf.DUMMYFUNCTION("""COMPUTED_VALUE"""),2744.0)</f>
        <v>2744</v>
      </c>
      <c r="G113" s="4">
        <f>IFERROR(__xludf.DUMMYFUNCTION("""COMPUTED_VALUE"""),6097.0)</f>
        <v>6097</v>
      </c>
      <c r="H113" s="4">
        <f>IFERROR(__xludf.DUMMYFUNCTION("""COMPUTED_VALUE"""),6402.0)</f>
        <v>6402</v>
      </c>
      <c r="I113" s="4">
        <f>IFERROR(__xludf.DUMMYFUNCTION("""COMPUTED_VALUE"""),6393.0)</f>
        <v>6393</v>
      </c>
      <c r="J113" s="4">
        <f>IFERROR(__xludf.DUMMYFUNCTION("""COMPUTED_VALUE"""),5682.0)</f>
        <v>5682</v>
      </c>
      <c r="K113" s="4">
        <f>IFERROR(__xludf.DUMMYFUNCTION("""COMPUTED_VALUE"""),6156.0)</f>
        <v>6156</v>
      </c>
      <c r="L113" s="4">
        <f>IFERROR(__xludf.DUMMYFUNCTION("""COMPUTED_VALUE"""),7212.0)</f>
        <v>7212</v>
      </c>
      <c r="M113" s="4">
        <f>IFERROR(__xludf.DUMMYFUNCTION("""COMPUTED_VALUE"""),5924.0)</f>
        <v>5924</v>
      </c>
      <c r="N113" s="4">
        <f>IFERROR(__xludf.DUMMYFUNCTION("""COMPUTED_VALUE"""),8242.0)</f>
        <v>8242</v>
      </c>
    </row>
    <row r="114">
      <c r="A114" s="1" t="str">
        <f>vlookup(B114:B417,split_names!A113:B1024,2,0)</f>
        <v>GMC</v>
      </c>
      <c r="B114" s="1" t="str">
        <f>IFERROR(__xludf.DUMMYFUNCTION("""COMPUTED_VALUE"""),"GMC Canyon")</f>
        <v>GMC Canyon</v>
      </c>
      <c r="C114" s="4">
        <f>IFERROR(__xludf.DUMMYFUNCTION("""COMPUTED_VALUE"""),1456.0)</f>
        <v>1456</v>
      </c>
      <c r="D114" s="4">
        <f>IFERROR(__xludf.DUMMYFUNCTION("""COMPUTED_VALUE"""),1885.0)</f>
        <v>1885</v>
      </c>
      <c r="E114" s="4">
        <f>IFERROR(__xludf.DUMMYFUNCTION("""COMPUTED_VALUE"""),1142.0)</f>
        <v>1142</v>
      </c>
      <c r="F114" s="1">
        <f>IFERROR(__xludf.DUMMYFUNCTION("""COMPUTED_VALUE"""),941.0)</f>
        <v>941</v>
      </c>
      <c r="G114" s="4">
        <f>IFERROR(__xludf.DUMMYFUNCTION("""COMPUTED_VALUE"""),2090.0)</f>
        <v>2090</v>
      </c>
      <c r="H114" s="4">
        <f>IFERROR(__xludf.DUMMYFUNCTION("""COMPUTED_VALUE"""),2195.0)</f>
        <v>2195</v>
      </c>
      <c r="I114" s="4">
        <f>IFERROR(__xludf.DUMMYFUNCTION("""COMPUTED_VALUE"""),2270.0)</f>
        <v>2270</v>
      </c>
      <c r="J114" s="4">
        <f>IFERROR(__xludf.DUMMYFUNCTION("""COMPUTED_VALUE"""),2018.0)</f>
        <v>2018</v>
      </c>
      <c r="K114" s="4">
        <f>IFERROR(__xludf.DUMMYFUNCTION("""COMPUTED_VALUE"""),2186.0)</f>
        <v>2186</v>
      </c>
      <c r="L114" s="4">
        <f>IFERROR(__xludf.DUMMYFUNCTION("""COMPUTED_VALUE"""),3039.0)</f>
        <v>3039</v>
      </c>
      <c r="M114" s="4">
        <f>IFERROR(__xludf.DUMMYFUNCTION("""COMPUTED_VALUE"""),2496.0)</f>
        <v>2496</v>
      </c>
      <c r="N114" s="4">
        <f>IFERROR(__xludf.DUMMYFUNCTION("""COMPUTED_VALUE"""),3473.0)</f>
        <v>3473</v>
      </c>
    </row>
    <row r="115">
      <c r="A115" s="1" t="str">
        <f>vlookup(B115:B418,split_names!A114:B1025,2,0)</f>
        <v>GMC</v>
      </c>
      <c r="B115" s="1" t="str">
        <f>IFERROR(__xludf.DUMMYFUNCTION("""COMPUTED_VALUE"""),"GMC Savana")</f>
        <v>GMC Savana</v>
      </c>
      <c r="C115" s="4">
        <f>IFERROR(__xludf.DUMMYFUNCTION("""COMPUTED_VALUE"""),1358.0)</f>
        <v>1358</v>
      </c>
      <c r="D115" s="4">
        <f>IFERROR(__xludf.DUMMYFUNCTION("""COMPUTED_VALUE"""),1759.0)</f>
        <v>1759</v>
      </c>
      <c r="E115" s="4">
        <f>IFERROR(__xludf.DUMMYFUNCTION("""COMPUTED_VALUE"""),1065.0)</f>
        <v>1065</v>
      </c>
      <c r="F115" s="1">
        <f>IFERROR(__xludf.DUMMYFUNCTION("""COMPUTED_VALUE"""),537.0)</f>
        <v>537</v>
      </c>
      <c r="G115" s="4">
        <f>IFERROR(__xludf.DUMMYFUNCTION("""COMPUTED_VALUE"""),1194.0)</f>
        <v>1194</v>
      </c>
      <c r="H115" s="4">
        <f>IFERROR(__xludf.DUMMYFUNCTION("""COMPUTED_VALUE"""),1253.0)</f>
        <v>1253</v>
      </c>
      <c r="I115" s="4">
        <f>IFERROR(__xludf.DUMMYFUNCTION("""COMPUTED_VALUE"""),1698.0)</f>
        <v>1698</v>
      </c>
      <c r="J115" s="4">
        <f>IFERROR(__xludf.DUMMYFUNCTION("""COMPUTED_VALUE"""),1510.0)</f>
        <v>1510</v>
      </c>
      <c r="K115" s="4">
        <f>IFERROR(__xludf.DUMMYFUNCTION("""COMPUTED_VALUE"""),1635.0)</f>
        <v>1635</v>
      </c>
      <c r="L115" s="4">
        <f>IFERROR(__xludf.DUMMYFUNCTION("""COMPUTED_VALUE"""),1045.0)</f>
        <v>1045</v>
      </c>
      <c r="M115" s="1">
        <f>IFERROR(__xludf.DUMMYFUNCTION("""COMPUTED_VALUE"""),859.0)</f>
        <v>859</v>
      </c>
      <c r="N115" s="4">
        <f>IFERROR(__xludf.DUMMYFUNCTION("""COMPUTED_VALUE"""),1195.0)</f>
        <v>1195</v>
      </c>
    </row>
    <row r="116">
      <c r="A116" s="1" t="str">
        <f>vlookup(B116:B419,split_names!A115:B1026,2,0)</f>
        <v>GMC</v>
      </c>
      <c r="B116" s="1" t="str">
        <f>IFERROR(__xludf.DUMMYFUNCTION("""COMPUTED_VALUE"""),"GMC Sierra")</f>
        <v>GMC Sierra</v>
      </c>
      <c r="C116" s="4">
        <f>IFERROR(__xludf.DUMMYFUNCTION("""COMPUTED_VALUE"""),17217.0)</f>
        <v>17217</v>
      </c>
      <c r="D116" s="4">
        <f>IFERROR(__xludf.DUMMYFUNCTION("""COMPUTED_VALUE"""),22290.0)</f>
        <v>22290</v>
      </c>
      <c r="E116" s="4">
        <f>IFERROR(__xludf.DUMMYFUNCTION("""COMPUTED_VALUE"""),13501.0)</f>
        <v>13501</v>
      </c>
      <c r="F116" s="4">
        <f>IFERROR(__xludf.DUMMYFUNCTION("""COMPUTED_VALUE"""),9688.0)</f>
        <v>9688</v>
      </c>
      <c r="G116" s="4">
        <f>IFERROR(__xludf.DUMMYFUNCTION("""COMPUTED_VALUE"""),21530.0)</f>
        <v>21530</v>
      </c>
      <c r="H116" s="4">
        <f>IFERROR(__xludf.DUMMYFUNCTION("""COMPUTED_VALUE"""),22606.0)</f>
        <v>22606</v>
      </c>
      <c r="I116" s="4">
        <f>IFERROR(__xludf.DUMMYFUNCTION("""COMPUTED_VALUE"""),23778.0)</f>
        <v>23778</v>
      </c>
      <c r="J116" s="4">
        <f>IFERROR(__xludf.DUMMYFUNCTION("""COMPUTED_VALUE"""),21136.0)</f>
        <v>21136</v>
      </c>
      <c r="K116" s="4">
        <f>IFERROR(__xludf.DUMMYFUNCTION("""COMPUTED_VALUE"""),22898.0)</f>
        <v>22898</v>
      </c>
      <c r="L116" s="4">
        <f>IFERROR(__xludf.DUMMYFUNCTION("""COMPUTED_VALUE"""),26438.0)</f>
        <v>26438</v>
      </c>
      <c r="M116" s="4">
        <f>IFERROR(__xludf.DUMMYFUNCTION("""COMPUTED_VALUE"""),21717.0)</f>
        <v>21717</v>
      </c>
      <c r="N116" s="4">
        <f>IFERROR(__xludf.DUMMYFUNCTION("""COMPUTED_VALUE"""),30215.0)</f>
        <v>30215</v>
      </c>
    </row>
    <row r="117">
      <c r="A117" s="1" t="str">
        <f>vlookup(B117:B420,split_names!A116:B1027,2,0)</f>
        <v>GMC</v>
      </c>
      <c r="B117" s="1" t="str">
        <f>IFERROR(__xludf.DUMMYFUNCTION("""COMPUTED_VALUE"""),"GMC Terrain")</f>
        <v>GMC Terrain</v>
      </c>
      <c r="C117" s="4">
        <f>IFERROR(__xludf.DUMMYFUNCTION("""COMPUTED_VALUE"""),8215.0)</f>
        <v>8215</v>
      </c>
      <c r="D117" s="4">
        <f>IFERROR(__xludf.DUMMYFUNCTION("""COMPUTED_VALUE"""),10635.0)</f>
        <v>10635</v>
      </c>
      <c r="E117" s="4">
        <f>IFERROR(__xludf.DUMMYFUNCTION("""COMPUTED_VALUE"""),6442.0)</f>
        <v>6442</v>
      </c>
      <c r="F117" s="4">
        <f>IFERROR(__xludf.DUMMYFUNCTION("""COMPUTED_VALUE"""),2509.0)</f>
        <v>2509</v>
      </c>
      <c r="G117" s="4">
        <f>IFERROR(__xludf.DUMMYFUNCTION("""COMPUTED_VALUE"""),5576.0)</f>
        <v>5576</v>
      </c>
      <c r="H117" s="4">
        <f>IFERROR(__xludf.DUMMYFUNCTION("""COMPUTED_VALUE"""),5854.0)</f>
        <v>5854</v>
      </c>
      <c r="I117" s="4">
        <f>IFERROR(__xludf.DUMMYFUNCTION("""COMPUTED_VALUE"""),7473.0)</f>
        <v>7473</v>
      </c>
      <c r="J117" s="4">
        <f>IFERROR(__xludf.DUMMYFUNCTION("""COMPUTED_VALUE"""),6643.0)</f>
        <v>6643</v>
      </c>
      <c r="K117" s="4">
        <f>IFERROR(__xludf.DUMMYFUNCTION("""COMPUTED_VALUE"""),7197.0)</f>
        <v>7197</v>
      </c>
      <c r="L117" s="4">
        <f>IFERROR(__xludf.DUMMYFUNCTION("""COMPUTED_VALUE"""),8594.0)</f>
        <v>8594</v>
      </c>
      <c r="M117" s="4">
        <f>IFERROR(__xludf.DUMMYFUNCTION("""COMPUTED_VALUE"""),7060.0)</f>
        <v>7060</v>
      </c>
      <c r="N117" s="4">
        <f>IFERROR(__xludf.DUMMYFUNCTION("""COMPUTED_VALUE"""),9822.0)</f>
        <v>9822</v>
      </c>
    </row>
    <row r="118">
      <c r="A118" s="1" t="str">
        <f>vlookup(B118:B421,split_names!A117:B1028,2,0)</f>
        <v>GMC</v>
      </c>
      <c r="B118" s="1" t="str">
        <f>IFERROR(__xludf.DUMMYFUNCTION("""COMPUTED_VALUE"""),"GMC Yukon")</f>
        <v>GMC Yukon</v>
      </c>
      <c r="C118" s="4">
        <f>IFERROR(__xludf.DUMMYFUNCTION("""COMPUTED_VALUE"""),4569.0)</f>
        <v>4569</v>
      </c>
      <c r="D118" s="4">
        <f>IFERROR(__xludf.DUMMYFUNCTION("""COMPUTED_VALUE"""),5915.0)</f>
        <v>5915</v>
      </c>
      <c r="E118" s="4">
        <f>IFERROR(__xludf.DUMMYFUNCTION("""COMPUTED_VALUE"""),3583.0)</f>
        <v>3583</v>
      </c>
      <c r="F118" s="4">
        <f>IFERROR(__xludf.DUMMYFUNCTION("""COMPUTED_VALUE"""),1898.0)</f>
        <v>1898</v>
      </c>
      <c r="G118" s="4">
        <f>IFERROR(__xludf.DUMMYFUNCTION("""COMPUTED_VALUE"""),4217.0)</f>
        <v>4217</v>
      </c>
      <c r="H118" s="4">
        <f>IFERROR(__xludf.DUMMYFUNCTION("""COMPUTED_VALUE"""),4428.0)</f>
        <v>4428</v>
      </c>
      <c r="I118" s="4">
        <f>IFERROR(__xludf.DUMMYFUNCTION("""COMPUTED_VALUE"""),4935.0)</f>
        <v>4935</v>
      </c>
      <c r="J118" s="4">
        <f>IFERROR(__xludf.DUMMYFUNCTION("""COMPUTED_VALUE"""),4386.0)</f>
        <v>4386</v>
      </c>
      <c r="K118" s="4">
        <f>IFERROR(__xludf.DUMMYFUNCTION("""COMPUTED_VALUE"""),4752.0)</f>
        <v>4752</v>
      </c>
      <c r="L118" s="4">
        <f>IFERROR(__xludf.DUMMYFUNCTION("""COMPUTED_VALUE"""),8352.0)</f>
        <v>8352</v>
      </c>
      <c r="M118" s="4">
        <f>IFERROR(__xludf.DUMMYFUNCTION("""COMPUTED_VALUE"""),6861.0)</f>
        <v>6861</v>
      </c>
      <c r="N118" s="4">
        <f>IFERROR(__xludf.DUMMYFUNCTION("""COMPUTED_VALUE"""),9546.0)</f>
        <v>9546</v>
      </c>
    </row>
    <row r="119">
      <c r="A119" s="1" t="str">
        <f>vlookup(B119:B422,split_names!A118:B1029,2,0)</f>
        <v>Honda</v>
      </c>
      <c r="B119" s="1" t="str">
        <f>IFERROR(__xludf.DUMMYFUNCTION("""COMPUTED_VALUE"""),"Honda Accord")</f>
        <v>Honda Accord</v>
      </c>
      <c r="C119" s="4">
        <f>IFERROR(__xludf.DUMMYFUNCTION("""COMPUTED_VALUE"""),15099.0)</f>
        <v>15099</v>
      </c>
      <c r="D119" s="4">
        <f>IFERROR(__xludf.DUMMYFUNCTION("""COMPUTED_VALUE"""),18216.0)</f>
        <v>18216</v>
      </c>
      <c r="E119" s="4">
        <f>IFERROR(__xludf.DUMMYFUNCTION("""COMPUTED_VALUE"""),13810.0)</f>
        <v>13810</v>
      </c>
      <c r="F119" s="4">
        <f>IFERROR(__xludf.DUMMYFUNCTION("""COMPUTED_VALUE"""),8851.0)</f>
        <v>8851</v>
      </c>
      <c r="G119" s="4">
        <f>IFERROR(__xludf.DUMMYFUNCTION("""COMPUTED_VALUE"""),17369.0)</f>
        <v>17369</v>
      </c>
      <c r="H119" s="4">
        <f>IFERROR(__xludf.DUMMYFUNCTION("""COMPUTED_VALUE"""),15409.0)</f>
        <v>15409</v>
      </c>
      <c r="I119" s="4">
        <f>IFERROR(__xludf.DUMMYFUNCTION("""COMPUTED_VALUE"""),17221.0)</f>
        <v>17221</v>
      </c>
      <c r="J119" s="4">
        <f>IFERROR(__xludf.DUMMYFUNCTION("""COMPUTED_VALUE"""),19167.0)</f>
        <v>19167</v>
      </c>
      <c r="K119" s="4">
        <f>IFERROR(__xludf.DUMMYFUNCTION("""COMPUTED_VALUE"""),20149.0)</f>
        <v>20149</v>
      </c>
      <c r="L119" s="4">
        <f>IFERROR(__xludf.DUMMYFUNCTION("""COMPUTED_VALUE"""),19185.0)</f>
        <v>19185</v>
      </c>
      <c r="M119" s="4">
        <f>IFERROR(__xludf.DUMMYFUNCTION("""COMPUTED_VALUE"""),15473.0)</f>
        <v>15473</v>
      </c>
      <c r="N119" s="4">
        <f>IFERROR(__xludf.DUMMYFUNCTION("""COMPUTED_VALUE"""),19509.0)</f>
        <v>19509</v>
      </c>
    </row>
    <row r="120">
      <c r="A120" s="1" t="str">
        <f>vlookup(B120:B423,split_names!A119:B1030,2,0)</f>
        <v>Honda</v>
      </c>
      <c r="B120" s="1" t="str">
        <f>IFERROR(__xludf.DUMMYFUNCTION("""COMPUTED_VALUE"""),"Honda Civic")</f>
        <v>Honda Civic</v>
      </c>
      <c r="C120" s="4">
        <f>IFERROR(__xludf.DUMMYFUNCTION("""COMPUTED_VALUE"""),20054.0)</f>
        <v>20054</v>
      </c>
      <c r="D120" s="4">
        <f>IFERROR(__xludf.DUMMYFUNCTION("""COMPUTED_VALUE"""),25617.0)</f>
        <v>25617</v>
      </c>
      <c r="E120" s="4">
        <f>IFERROR(__xludf.DUMMYFUNCTION("""COMPUTED_VALUE"""),18273.0)</f>
        <v>18273</v>
      </c>
      <c r="F120" s="4">
        <f>IFERROR(__xludf.DUMMYFUNCTION("""COMPUTED_VALUE"""),13410.0)</f>
        <v>13410</v>
      </c>
      <c r="G120" s="4">
        <f>IFERROR(__xludf.DUMMYFUNCTION("""COMPUTED_VALUE"""),27244.0)</f>
        <v>27244</v>
      </c>
      <c r="H120" s="4">
        <f>IFERROR(__xludf.DUMMYFUNCTION("""COMPUTED_VALUE"""),23260.0)</f>
        <v>23260</v>
      </c>
      <c r="I120" s="4">
        <f>IFERROR(__xludf.DUMMYFUNCTION("""COMPUTED_VALUE"""),25188.0)</f>
        <v>25188</v>
      </c>
      <c r="J120" s="4">
        <f>IFERROR(__xludf.DUMMYFUNCTION("""COMPUTED_VALUE"""),25524.0)</f>
        <v>25524</v>
      </c>
      <c r="K120" s="4">
        <f>IFERROR(__xludf.DUMMYFUNCTION("""COMPUTED_VALUE"""),22371.0)</f>
        <v>22371</v>
      </c>
      <c r="L120" s="4">
        <f>IFERROR(__xludf.DUMMYFUNCTION("""COMPUTED_VALUE"""),21865.0)</f>
        <v>21865</v>
      </c>
      <c r="M120" s="4">
        <f>IFERROR(__xludf.DUMMYFUNCTION("""COMPUTED_VALUE"""),17372.0)</f>
        <v>17372</v>
      </c>
      <c r="N120" s="4">
        <f>IFERROR(__xludf.DUMMYFUNCTION("""COMPUTED_VALUE"""),21047.0)</f>
        <v>21047</v>
      </c>
    </row>
    <row r="121">
      <c r="A121" s="1" t="str">
        <f>vlookup(B121:B424,split_names!A120:B1031,2,0)</f>
        <v>Honda</v>
      </c>
      <c r="B121" s="1" t="str">
        <f>IFERROR(__xludf.DUMMYFUNCTION("""COMPUTED_VALUE"""),"Honda Clarity FCV")</f>
        <v>Honda Clarity FCV</v>
      </c>
      <c r="C121" s="1">
        <f>IFERROR(__xludf.DUMMYFUNCTION("""COMPUTED_VALUE"""),475.0)</f>
        <v>475</v>
      </c>
      <c r="D121" s="1">
        <f>IFERROR(__xludf.DUMMYFUNCTION("""COMPUTED_VALUE"""),559.0)</f>
        <v>559</v>
      </c>
      <c r="E121" s="1">
        <f>IFERROR(__xludf.DUMMYFUNCTION("""COMPUTED_VALUE"""),221.0)</f>
        <v>221</v>
      </c>
      <c r="F121" s="1">
        <f>IFERROR(__xludf.DUMMYFUNCTION("""COMPUTED_VALUE"""),90.0)</f>
        <v>90</v>
      </c>
      <c r="G121" s="1">
        <f>IFERROR(__xludf.DUMMYFUNCTION("""COMPUTED_VALUE"""),248.0)</f>
        <v>248</v>
      </c>
      <c r="H121" s="1">
        <f>IFERROR(__xludf.DUMMYFUNCTION("""COMPUTED_VALUE"""),187.0)</f>
        <v>187</v>
      </c>
      <c r="I121" s="1">
        <f>IFERROR(__xludf.DUMMYFUNCTION("""COMPUTED_VALUE"""),213.0)</f>
        <v>213</v>
      </c>
      <c r="J121" s="1">
        <f>IFERROR(__xludf.DUMMYFUNCTION("""COMPUTED_VALUE"""),251.0)</f>
        <v>251</v>
      </c>
      <c r="K121" s="1">
        <f>IFERROR(__xludf.DUMMYFUNCTION("""COMPUTED_VALUE"""),354.0)</f>
        <v>354</v>
      </c>
      <c r="L121" s="1">
        <f>IFERROR(__xludf.DUMMYFUNCTION("""COMPUTED_VALUE"""),719.0)</f>
        <v>719</v>
      </c>
      <c r="M121" s="1">
        <f>IFERROR(__xludf.DUMMYFUNCTION("""COMPUTED_VALUE"""),347.0)</f>
        <v>347</v>
      </c>
      <c r="N121" s="1">
        <f>IFERROR(__xludf.DUMMYFUNCTION("""COMPUTED_VALUE"""),0.0)</f>
        <v>0</v>
      </c>
    </row>
    <row r="122">
      <c r="A122" s="1" t="str">
        <f>vlookup(B122:B425,split_names!A121:B1032,2,0)</f>
        <v>Honda</v>
      </c>
      <c r="B122" s="1" t="str">
        <f>IFERROR(__xludf.DUMMYFUNCTION("""COMPUTED_VALUE"""),"Honda CR-V")</f>
        <v>Honda CR-V</v>
      </c>
      <c r="C122" s="4">
        <f>IFERROR(__xludf.DUMMYFUNCTION("""COMPUTED_VALUE"""),26027.0)</f>
        <v>26027</v>
      </c>
      <c r="D122" s="4">
        <f>IFERROR(__xludf.DUMMYFUNCTION("""COMPUTED_VALUE"""),28268.0)</f>
        <v>28268</v>
      </c>
      <c r="E122" s="4">
        <f>IFERROR(__xludf.DUMMYFUNCTION("""COMPUTED_VALUE"""),16891.0)</f>
        <v>16891</v>
      </c>
      <c r="F122" s="4">
        <f>IFERROR(__xludf.DUMMYFUNCTION("""COMPUTED_VALUE"""),12201.0)</f>
        <v>12201</v>
      </c>
      <c r="G122" s="4">
        <f>IFERROR(__xludf.DUMMYFUNCTION("""COMPUTED_VALUE"""),29023.0)</f>
        <v>29023</v>
      </c>
      <c r="H122" s="4">
        <f>IFERROR(__xludf.DUMMYFUNCTION("""COMPUTED_VALUE"""),26488.0)</f>
        <v>26488</v>
      </c>
      <c r="I122" s="4">
        <f>IFERROR(__xludf.DUMMYFUNCTION("""COMPUTED_VALUE"""),20473.0)</f>
        <v>20473</v>
      </c>
      <c r="J122" s="4">
        <f>IFERROR(__xludf.DUMMYFUNCTION("""COMPUTED_VALUE"""),34391.0)</f>
        <v>34391</v>
      </c>
      <c r="K122" s="4">
        <f>IFERROR(__xludf.DUMMYFUNCTION("""COMPUTED_VALUE"""),33572.0)</f>
        <v>33572</v>
      </c>
      <c r="L122" s="4">
        <f>IFERROR(__xludf.DUMMYFUNCTION("""COMPUTED_VALUE"""),32415.0)</f>
        <v>32415</v>
      </c>
      <c r="M122" s="4">
        <f>IFERROR(__xludf.DUMMYFUNCTION("""COMPUTED_VALUE"""),25633.0)</f>
        <v>25633</v>
      </c>
      <c r="N122" s="4">
        <f>IFERROR(__xludf.DUMMYFUNCTION("""COMPUTED_VALUE"""),38120.0)</f>
        <v>38120</v>
      </c>
    </row>
    <row r="123">
      <c r="A123" s="1" t="str">
        <f>vlookup(B123:B426,split_names!A122:B1033,2,0)</f>
        <v>Honda</v>
      </c>
      <c r="B123" s="1" t="str">
        <f>IFERROR(__xludf.DUMMYFUNCTION("""COMPUTED_VALUE"""),"Honda CR-Z")</f>
        <v>Honda CR-Z</v>
      </c>
      <c r="C123" s="1">
        <f>IFERROR(__xludf.DUMMYFUNCTION("""COMPUTED_VALUE"""),0.0)</f>
        <v>0</v>
      </c>
      <c r="D123" s="1">
        <f>IFERROR(__xludf.DUMMYFUNCTION("""COMPUTED_VALUE"""),1.0)</f>
        <v>1</v>
      </c>
      <c r="E123" s="1">
        <f>IFERROR(__xludf.DUMMYFUNCTION("""COMPUTED_VALUE"""),0.0)</f>
        <v>0</v>
      </c>
      <c r="F123" s="1">
        <f>IFERROR(__xludf.DUMMYFUNCTION("""COMPUTED_VALUE"""),0.0)</f>
        <v>0</v>
      </c>
      <c r="G123" s="1">
        <f>IFERROR(__xludf.DUMMYFUNCTION("""COMPUTED_VALUE"""),0.0)</f>
        <v>0</v>
      </c>
      <c r="H123" s="1">
        <f>IFERROR(__xludf.DUMMYFUNCTION("""COMPUTED_VALUE"""),0.0)</f>
        <v>0</v>
      </c>
      <c r="I123" s="1">
        <f>IFERROR(__xludf.DUMMYFUNCTION("""COMPUTED_VALUE"""),0.0)</f>
        <v>0</v>
      </c>
      <c r="J123" s="1">
        <f>IFERROR(__xludf.DUMMYFUNCTION("""COMPUTED_VALUE"""),0.0)</f>
        <v>0</v>
      </c>
      <c r="K123" s="1">
        <f>IFERROR(__xludf.DUMMYFUNCTION("""COMPUTED_VALUE"""),0.0)</f>
        <v>0</v>
      </c>
      <c r="L123" s="1">
        <f>IFERROR(__xludf.DUMMYFUNCTION("""COMPUTED_VALUE"""),0.0)</f>
        <v>0</v>
      </c>
      <c r="M123" s="1">
        <f>IFERROR(__xludf.DUMMYFUNCTION("""COMPUTED_VALUE"""),0.0)</f>
        <v>0</v>
      </c>
      <c r="N123" s="1">
        <f>IFERROR(__xludf.DUMMYFUNCTION("""COMPUTED_VALUE"""),551.0)</f>
        <v>551</v>
      </c>
    </row>
    <row r="124">
      <c r="A124" s="1" t="str">
        <f>vlookup(B124:B427,split_names!A123:B1034,2,0)</f>
        <v>Honda</v>
      </c>
      <c r="B124" s="1" t="str">
        <f>IFERROR(__xludf.DUMMYFUNCTION("""COMPUTED_VALUE"""),"Honda Fit")</f>
        <v>Honda Fit</v>
      </c>
      <c r="C124" s="4">
        <f>IFERROR(__xludf.DUMMYFUNCTION("""COMPUTED_VALUE"""),2534.0)</f>
        <v>2534</v>
      </c>
      <c r="D124" s="4">
        <f>IFERROR(__xludf.DUMMYFUNCTION("""COMPUTED_VALUE"""),2853.0)</f>
        <v>2853</v>
      </c>
      <c r="E124" s="4">
        <f>IFERROR(__xludf.DUMMYFUNCTION("""COMPUTED_VALUE"""),1792.0)</f>
        <v>1792</v>
      </c>
      <c r="F124" s="4">
        <f>IFERROR(__xludf.DUMMYFUNCTION("""COMPUTED_VALUE"""),1187.0)</f>
        <v>1187</v>
      </c>
      <c r="G124" s="4">
        <f>IFERROR(__xludf.DUMMYFUNCTION("""COMPUTED_VALUE"""),2598.0)</f>
        <v>2598</v>
      </c>
      <c r="H124" s="4">
        <f>IFERROR(__xludf.DUMMYFUNCTION("""COMPUTED_VALUE"""),2923.0)</f>
        <v>2923</v>
      </c>
      <c r="I124" s="4">
        <f>IFERROR(__xludf.DUMMYFUNCTION("""COMPUTED_VALUE"""),3571.0)</f>
        <v>3571</v>
      </c>
      <c r="J124" s="4">
        <f>IFERROR(__xludf.DUMMYFUNCTION("""COMPUTED_VALUE"""),3814.0)</f>
        <v>3814</v>
      </c>
      <c r="K124" s="4">
        <f>IFERROR(__xludf.DUMMYFUNCTION("""COMPUTED_VALUE"""),3116.0)</f>
        <v>3116</v>
      </c>
      <c r="L124" s="4">
        <f>IFERROR(__xludf.DUMMYFUNCTION("""COMPUTED_VALUE"""),3082.0)</f>
        <v>3082</v>
      </c>
      <c r="M124" s="4">
        <f>IFERROR(__xludf.DUMMYFUNCTION("""COMPUTED_VALUE"""),2313.0)</f>
        <v>2313</v>
      </c>
      <c r="N124" s="4">
        <f>IFERROR(__xludf.DUMMYFUNCTION("""COMPUTED_VALUE"""),2705.0)</f>
        <v>2705</v>
      </c>
    </row>
    <row r="125">
      <c r="A125" s="1" t="str">
        <f>vlookup(B125:B428,split_names!A124:B1035,2,0)</f>
        <v>Honda</v>
      </c>
      <c r="B125" s="1" t="str">
        <f>IFERROR(__xludf.DUMMYFUNCTION("""COMPUTED_VALUE"""),"Honda HR-V")</f>
        <v>Honda HR-V</v>
      </c>
      <c r="C125" s="4">
        <f>IFERROR(__xludf.DUMMYFUNCTION("""COMPUTED_VALUE"""),7457.0)</f>
        <v>7457</v>
      </c>
      <c r="D125" s="4">
        <f>IFERROR(__xludf.DUMMYFUNCTION("""COMPUTED_VALUE"""),8114.0)</f>
        <v>8114</v>
      </c>
      <c r="E125" s="4">
        <f>IFERROR(__xludf.DUMMYFUNCTION("""COMPUTED_VALUE"""),3843.0)</f>
        <v>3843</v>
      </c>
      <c r="F125" s="4">
        <f>IFERROR(__xludf.DUMMYFUNCTION("""COMPUTED_VALUE"""),2906.0)</f>
        <v>2906</v>
      </c>
      <c r="G125" s="4">
        <f>IFERROR(__xludf.DUMMYFUNCTION("""COMPUTED_VALUE"""),7063.0)</f>
        <v>7063</v>
      </c>
      <c r="H125" s="4">
        <f>IFERROR(__xludf.DUMMYFUNCTION("""COMPUTED_VALUE"""),7512.0)</f>
        <v>7512</v>
      </c>
      <c r="I125" s="4">
        <f>IFERROR(__xludf.DUMMYFUNCTION("""COMPUTED_VALUE"""),8402.0)</f>
        <v>8402</v>
      </c>
      <c r="J125" s="4">
        <f>IFERROR(__xludf.DUMMYFUNCTION("""COMPUTED_VALUE"""),8942.0)</f>
        <v>8942</v>
      </c>
      <c r="K125" s="4">
        <f>IFERROR(__xludf.DUMMYFUNCTION("""COMPUTED_VALUE"""),7560.0)</f>
        <v>7560</v>
      </c>
      <c r="L125" s="4">
        <f>IFERROR(__xludf.DUMMYFUNCTION("""COMPUTED_VALUE"""),7421.0)</f>
        <v>7421</v>
      </c>
      <c r="M125" s="4">
        <f>IFERROR(__xludf.DUMMYFUNCTION("""COMPUTED_VALUE"""),6379.0)</f>
        <v>6379</v>
      </c>
      <c r="N125" s="4">
        <f>IFERROR(__xludf.DUMMYFUNCTION("""COMPUTED_VALUE"""),8428.0)</f>
        <v>8428</v>
      </c>
    </row>
    <row r="126">
      <c r="A126" s="1" t="str">
        <f>vlookup(B126:B429,split_names!A125:B1036,2,0)</f>
        <v>Honda</v>
      </c>
      <c r="B126" s="1" t="str">
        <f>IFERROR(__xludf.DUMMYFUNCTION("""COMPUTED_VALUE"""),"Honda Insight")</f>
        <v>Honda Insight</v>
      </c>
      <c r="C126" s="4">
        <f>IFERROR(__xludf.DUMMYFUNCTION("""COMPUTED_VALUE"""),1433.0)</f>
        <v>1433</v>
      </c>
      <c r="D126" s="4">
        <f>IFERROR(__xludf.DUMMYFUNCTION("""COMPUTED_VALUE"""),1613.0)</f>
        <v>1613</v>
      </c>
      <c r="E126" s="1">
        <f>IFERROR(__xludf.DUMMYFUNCTION("""COMPUTED_VALUE"""),857.0)</f>
        <v>857</v>
      </c>
      <c r="F126" s="1">
        <f>IFERROR(__xludf.DUMMYFUNCTION("""COMPUTED_VALUE"""),511.0)</f>
        <v>511</v>
      </c>
      <c r="G126" s="4">
        <f>IFERROR(__xludf.DUMMYFUNCTION("""COMPUTED_VALUE"""),1127.0)</f>
        <v>1127</v>
      </c>
      <c r="H126" s="4">
        <f>IFERROR(__xludf.DUMMYFUNCTION("""COMPUTED_VALUE"""),1423.0)</f>
        <v>1423</v>
      </c>
      <c r="I126" s="4">
        <f>IFERROR(__xludf.DUMMYFUNCTION("""COMPUTED_VALUE"""),1922.0)</f>
        <v>1922</v>
      </c>
      <c r="J126" s="4">
        <f>IFERROR(__xludf.DUMMYFUNCTION("""COMPUTED_VALUE"""),1886.0)</f>
        <v>1886</v>
      </c>
      <c r="K126" s="4">
        <f>IFERROR(__xludf.DUMMYFUNCTION("""COMPUTED_VALUE"""),1472.0)</f>
        <v>1472</v>
      </c>
      <c r="L126" s="4">
        <f>IFERROR(__xludf.DUMMYFUNCTION("""COMPUTED_VALUE"""),1375.0)</f>
        <v>1375</v>
      </c>
      <c r="M126" s="4">
        <f>IFERROR(__xludf.DUMMYFUNCTION("""COMPUTED_VALUE"""),1080.0)</f>
        <v>1080</v>
      </c>
      <c r="N126" s="4">
        <f>IFERROR(__xludf.DUMMYFUNCTION("""COMPUTED_VALUE"""),1233.0)</f>
        <v>1233</v>
      </c>
    </row>
    <row r="127">
      <c r="A127" s="1" t="str">
        <f>vlookup(B127:B430,split_names!A126:B1037,2,0)</f>
        <v>Honda</v>
      </c>
      <c r="B127" s="1" t="str">
        <f>IFERROR(__xludf.DUMMYFUNCTION("""COMPUTED_VALUE"""),"Honda Odyssey")</f>
        <v>Honda Odyssey</v>
      </c>
      <c r="C127" s="4">
        <f>IFERROR(__xludf.DUMMYFUNCTION("""COMPUTED_VALUE"""),5622.0)</f>
        <v>5622</v>
      </c>
      <c r="D127" s="4">
        <f>IFERROR(__xludf.DUMMYFUNCTION("""COMPUTED_VALUE"""),6494.0)</f>
        <v>6494</v>
      </c>
      <c r="E127" s="4">
        <f>IFERROR(__xludf.DUMMYFUNCTION("""COMPUTED_VALUE"""),4274.0)</f>
        <v>4274</v>
      </c>
      <c r="F127" s="4">
        <f>IFERROR(__xludf.DUMMYFUNCTION("""COMPUTED_VALUE"""),3933.0)</f>
        <v>3933</v>
      </c>
      <c r="G127" s="4">
        <f>IFERROR(__xludf.DUMMYFUNCTION("""COMPUTED_VALUE"""),7648.0)</f>
        <v>7648</v>
      </c>
      <c r="H127" s="4">
        <f>IFERROR(__xludf.DUMMYFUNCTION("""COMPUTED_VALUE"""),7946.0)</f>
        <v>7946</v>
      </c>
      <c r="I127" s="4">
        <f>IFERROR(__xludf.DUMMYFUNCTION("""COMPUTED_VALUE"""),7286.0)</f>
        <v>7286</v>
      </c>
      <c r="J127" s="4">
        <f>IFERROR(__xludf.DUMMYFUNCTION("""COMPUTED_VALUE"""),8644.0)</f>
        <v>8644</v>
      </c>
      <c r="K127" s="4">
        <f>IFERROR(__xludf.DUMMYFUNCTION("""COMPUTED_VALUE"""),7844.0)</f>
        <v>7844</v>
      </c>
      <c r="L127" s="4">
        <f>IFERROR(__xludf.DUMMYFUNCTION("""COMPUTED_VALUE"""),8001.0)</f>
        <v>8001</v>
      </c>
      <c r="M127" s="4">
        <f>IFERROR(__xludf.DUMMYFUNCTION("""COMPUTED_VALUE"""),7016.0)</f>
        <v>7016</v>
      </c>
      <c r="N127" s="4">
        <f>IFERROR(__xludf.DUMMYFUNCTION("""COMPUTED_VALUE"""),8701.0)</f>
        <v>8701</v>
      </c>
    </row>
    <row r="128">
      <c r="A128" s="1" t="str">
        <f>vlookup(B128:B431,split_names!A127:B1038,2,0)</f>
        <v>Honda</v>
      </c>
      <c r="B128" s="1" t="str">
        <f>IFERROR(__xludf.DUMMYFUNCTION("""COMPUTED_VALUE"""),"Honda Passport")</f>
        <v>Honda Passport</v>
      </c>
      <c r="C128" s="4">
        <f>IFERROR(__xludf.DUMMYFUNCTION("""COMPUTED_VALUE"""),2846.0)</f>
        <v>2846</v>
      </c>
      <c r="D128" s="4">
        <f>IFERROR(__xludf.DUMMYFUNCTION("""COMPUTED_VALUE"""),3109.0)</f>
        <v>3109</v>
      </c>
      <c r="E128" s="4">
        <f>IFERROR(__xludf.DUMMYFUNCTION("""COMPUTED_VALUE"""),1878.0)</f>
        <v>1878</v>
      </c>
      <c r="F128" s="4">
        <f>IFERROR(__xludf.DUMMYFUNCTION("""COMPUTED_VALUE"""),1594.0)</f>
        <v>1594</v>
      </c>
      <c r="G128" s="4">
        <f>IFERROR(__xludf.DUMMYFUNCTION("""COMPUTED_VALUE"""),3536.0)</f>
        <v>3536</v>
      </c>
      <c r="H128" s="4">
        <f>IFERROR(__xludf.DUMMYFUNCTION("""COMPUTED_VALUE"""),3060.0)</f>
        <v>3060</v>
      </c>
      <c r="I128" s="4">
        <f>IFERROR(__xludf.DUMMYFUNCTION("""COMPUTED_VALUE"""),3291.0)</f>
        <v>3291</v>
      </c>
      <c r="J128" s="4">
        <f>IFERROR(__xludf.DUMMYFUNCTION("""COMPUTED_VALUE"""),4070.0)</f>
        <v>4070</v>
      </c>
      <c r="K128" s="4">
        <f>IFERROR(__xludf.DUMMYFUNCTION("""COMPUTED_VALUE"""),4281.0)</f>
        <v>4281</v>
      </c>
      <c r="L128" s="4">
        <f>IFERROR(__xludf.DUMMYFUNCTION("""COMPUTED_VALUE"""),4102.0)</f>
        <v>4102</v>
      </c>
      <c r="M128" s="4">
        <f>IFERROR(__xludf.DUMMYFUNCTION("""COMPUTED_VALUE"""),3456.0)</f>
        <v>3456</v>
      </c>
      <c r="N128" s="4">
        <f>IFERROR(__xludf.DUMMYFUNCTION("""COMPUTED_VALUE"""),4344.0)</f>
        <v>4344</v>
      </c>
    </row>
    <row r="129">
      <c r="A129" s="1" t="str">
        <f>vlookup(B129:B432,split_names!A128:B1039,2,0)</f>
        <v>Honda</v>
      </c>
      <c r="B129" s="1" t="str">
        <f>IFERROR(__xludf.DUMMYFUNCTION("""COMPUTED_VALUE"""),"Honda Pilot")</f>
        <v>Honda Pilot</v>
      </c>
      <c r="C129" s="4">
        <f>IFERROR(__xludf.DUMMYFUNCTION("""COMPUTED_VALUE"""),7765.0)</f>
        <v>7765</v>
      </c>
      <c r="D129" s="4">
        <f>IFERROR(__xludf.DUMMYFUNCTION("""COMPUTED_VALUE"""),9688.0)</f>
        <v>9688</v>
      </c>
      <c r="E129" s="4">
        <f>IFERROR(__xludf.DUMMYFUNCTION("""COMPUTED_VALUE"""),6445.0)</f>
        <v>6445</v>
      </c>
      <c r="F129" s="4">
        <f>IFERROR(__xludf.DUMMYFUNCTION("""COMPUTED_VALUE"""),6562.0)</f>
        <v>6562</v>
      </c>
      <c r="G129" s="4">
        <f>IFERROR(__xludf.DUMMYFUNCTION("""COMPUTED_VALUE"""),12227.0)</f>
        <v>12227</v>
      </c>
      <c r="H129" s="4">
        <f>IFERROR(__xludf.DUMMYFUNCTION("""COMPUTED_VALUE"""),12128.0)</f>
        <v>12128</v>
      </c>
      <c r="I129" s="4">
        <f>IFERROR(__xludf.DUMMYFUNCTION("""COMPUTED_VALUE"""),12036.0)</f>
        <v>12036</v>
      </c>
      <c r="J129" s="4">
        <f>IFERROR(__xludf.DUMMYFUNCTION("""COMPUTED_VALUE"""),12508.0)</f>
        <v>12508</v>
      </c>
      <c r="K129" s="4">
        <f>IFERROR(__xludf.DUMMYFUNCTION("""COMPUTED_VALUE"""),10643.0)</f>
        <v>10643</v>
      </c>
      <c r="L129" s="4">
        <f>IFERROR(__xludf.DUMMYFUNCTION("""COMPUTED_VALUE"""),11631.0)</f>
        <v>11631</v>
      </c>
      <c r="M129" s="4">
        <f>IFERROR(__xludf.DUMMYFUNCTION("""COMPUTED_VALUE"""),9126.0)</f>
        <v>9126</v>
      </c>
      <c r="N129" s="4">
        <f>IFERROR(__xludf.DUMMYFUNCTION("""COMPUTED_VALUE"""),13054.0)</f>
        <v>13054</v>
      </c>
    </row>
    <row r="130">
      <c r="A130" s="1" t="str">
        <f>vlookup(B130:B433,split_names!A129:B1040,2,0)</f>
        <v>Honda</v>
      </c>
      <c r="B130" s="1" t="str">
        <f>IFERROR(__xludf.DUMMYFUNCTION("""COMPUTED_VALUE"""),"Honda Ridgeline")</f>
        <v>Honda Ridgeline</v>
      </c>
      <c r="C130" s="4">
        <f>IFERROR(__xludf.DUMMYFUNCTION("""COMPUTED_VALUE"""),3083.0)</f>
        <v>3083</v>
      </c>
      <c r="D130" s="4">
        <f>IFERROR(__xludf.DUMMYFUNCTION("""COMPUTED_VALUE"""),3210.0)</f>
        <v>3210</v>
      </c>
      <c r="E130" s="4">
        <f>IFERROR(__xludf.DUMMYFUNCTION("""COMPUTED_VALUE"""),1832.0)</f>
        <v>1832</v>
      </c>
      <c r="F130" s="4">
        <f>IFERROR(__xludf.DUMMYFUNCTION("""COMPUTED_VALUE"""),1460.0)</f>
        <v>1460</v>
      </c>
      <c r="G130" s="4">
        <f>IFERROR(__xludf.DUMMYFUNCTION("""COMPUTED_VALUE"""),2553.0)</f>
        <v>2553</v>
      </c>
      <c r="H130" s="4">
        <f>IFERROR(__xludf.DUMMYFUNCTION("""COMPUTED_VALUE"""),2367.0)</f>
        <v>2367</v>
      </c>
      <c r="I130" s="4">
        <f>IFERROR(__xludf.DUMMYFUNCTION("""COMPUTED_VALUE"""),2771.0)</f>
        <v>2771</v>
      </c>
      <c r="J130" s="4">
        <f>IFERROR(__xludf.DUMMYFUNCTION("""COMPUTED_VALUE"""),3081.0)</f>
        <v>3081</v>
      </c>
      <c r="K130" s="4">
        <f>IFERROR(__xludf.DUMMYFUNCTION("""COMPUTED_VALUE"""),2755.0)</f>
        <v>2755</v>
      </c>
      <c r="L130" s="4">
        <f>IFERROR(__xludf.DUMMYFUNCTION("""COMPUTED_VALUE"""),3401.0)</f>
        <v>3401</v>
      </c>
      <c r="M130" s="4">
        <f>IFERROR(__xludf.DUMMYFUNCTION("""COMPUTED_VALUE"""),2528.0)</f>
        <v>2528</v>
      </c>
      <c r="N130" s="4">
        <f>IFERROR(__xludf.DUMMYFUNCTION("""COMPUTED_VALUE"""),3127.0)</f>
        <v>3127</v>
      </c>
    </row>
    <row r="131">
      <c r="A131" s="1" t="str">
        <f>vlookup(B131:B434,split_names!A130:B1041,2,0)</f>
        <v>Hyundai</v>
      </c>
      <c r="B131" s="1" t="str">
        <f>IFERROR(__xludf.DUMMYFUNCTION("""COMPUTED_VALUE"""),"Hyundai Accent")</f>
        <v>Hyundai Accent</v>
      </c>
      <c r="C131" s="4">
        <f>IFERROR(__xludf.DUMMYFUNCTION("""COMPUTED_VALUE"""),1565.0)</f>
        <v>1565</v>
      </c>
      <c r="D131" s="4">
        <f>IFERROR(__xludf.DUMMYFUNCTION("""COMPUTED_VALUE"""),2046.0)</f>
        <v>2046</v>
      </c>
      <c r="E131" s="4">
        <f>IFERROR(__xludf.DUMMYFUNCTION("""COMPUTED_VALUE"""),1196.0)</f>
        <v>1196</v>
      </c>
      <c r="F131" s="1">
        <f>IFERROR(__xludf.DUMMYFUNCTION("""COMPUTED_VALUE"""),736.0)</f>
        <v>736</v>
      </c>
      <c r="G131" s="4">
        <f>IFERROR(__xludf.DUMMYFUNCTION("""COMPUTED_VALUE"""),1512.0)</f>
        <v>1512</v>
      </c>
      <c r="H131" s="4">
        <f>IFERROR(__xludf.DUMMYFUNCTION("""COMPUTED_VALUE"""),1239.0)</f>
        <v>1239</v>
      </c>
      <c r="I131" s="4">
        <f>IFERROR(__xludf.DUMMYFUNCTION("""COMPUTED_VALUE"""),1538.0)</f>
        <v>1538</v>
      </c>
      <c r="J131" s="4">
        <f>IFERROR(__xludf.DUMMYFUNCTION("""COMPUTED_VALUE"""),1135.0)</f>
        <v>1135</v>
      </c>
      <c r="K131" s="4">
        <f>IFERROR(__xludf.DUMMYFUNCTION("""COMPUTED_VALUE"""),1348.0)</f>
        <v>1348</v>
      </c>
      <c r="L131" s="4">
        <f>IFERROR(__xludf.DUMMYFUNCTION("""COMPUTED_VALUE"""),1129.0)</f>
        <v>1129</v>
      </c>
      <c r="M131" s="1">
        <f>IFERROR(__xludf.DUMMYFUNCTION("""COMPUTED_VALUE"""),972.0)</f>
        <v>972</v>
      </c>
      <c r="N131" s="4">
        <f>IFERROR(__xludf.DUMMYFUNCTION("""COMPUTED_VALUE"""),1559.0)</f>
        <v>1559</v>
      </c>
    </row>
    <row r="132">
      <c r="A132" s="1" t="str">
        <f>vlookup(B132:B435,split_names!A131:B1042,2,0)</f>
        <v>Hyundai</v>
      </c>
      <c r="B132" s="1" t="str">
        <f>IFERROR(__xludf.DUMMYFUNCTION("""COMPUTED_VALUE"""),"Hyundai Elantra")</f>
        <v>Hyundai Elantra</v>
      </c>
      <c r="C132" s="4">
        <f>IFERROR(__xludf.DUMMYFUNCTION("""COMPUTED_VALUE"""),7874.0)</f>
        <v>7874</v>
      </c>
      <c r="D132" s="4">
        <f>IFERROR(__xludf.DUMMYFUNCTION("""COMPUTED_VALUE"""),10441.0)</f>
        <v>10441</v>
      </c>
      <c r="E132" s="4">
        <f>IFERROR(__xludf.DUMMYFUNCTION("""COMPUTED_VALUE"""),7430.0)</f>
        <v>7430</v>
      </c>
      <c r="F132" s="4">
        <f>IFERROR(__xludf.DUMMYFUNCTION("""COMPUTED_VALUE"""),7536.0)</f>
        <v>7536</v>
      </c>
      <c r="G132" s="4">
        <f>IFERROR(__xludf.DUMMYFUNCTION("""COMPUTED_VALUE"""),7608.0)</f>
        <v>7608</v>
      </c>
      <c r="H132" s="4">
        <f>IFERROR(__xludf.DUMMYFUNCTION("""COMPUTED_VALUE"""),7561.0)</f>
        <v>7561</v>
      </c>
      <c r="I132" s="4">
        <f>IFERROR(__xludf.DUMMYFUNCTION("""COMPUTED_VALUE"""),9283.0)</f>
        <v>9283</v>
      </c>
      <c r="J132" s="4">
        <f>IFERROR(__xludf.DUMMYFUNCTION("""COMPUTED_VALUE"""),9135.0)</f>
        <v>9135</v>
      </c>
      <c r="K132" s="4">
        <f>IFERROR(__xludf.DUMMYFUNCTION("""COMPUTED_VALUE"""),8235.0)</f>
        <v>8235</v>
      </c>
      <c r="L132" s="4">
        <f>IFERROR(__xludf.DUMMYFUNCTION("""COMPUTED_VALUE"""),11428.0)</f>
        <v>11428</v>
      </c>
      <c r="M132" s="4">
        <f>IFERROR(__xludf.DUMMYFUNCTION("""COMPUTED_VALUE"""),8095.0)</f>
        <v>8095</v>
      </c>
      <c r="N132" s="4">
        <f>IFERROR(__xludf.DUMMYFUNCTION("""COMPUTED_VALUE"""),10849.0)</f>
        <v>10849</v>
      </c>
    </row>
    <row r="133">
      <c r="A133" s="1" t="str">
        <f>vlookup(B133:B436,split_names!A132:B1043,2,0)</f>
        <v>Hyundai</v>
      </c>
      <c r="B133" s="1" t="str">
        <f>IFERROR(__xludf.DUMMYFUNCTION("""COMPUTED_VALUE"""),"Hyundai Ioniq")</f>
        <v>Hyundai Ioniq</v>
      </c>
      <c r="C133" s="4">
        <f>IFERROR(__xludf.DUMMYFUNCTION("""COMPUTED_VALUE"""),1278.0)</f>
        <v>1278</v>
      </c>
      <c r="D133" s="4">
        <f>IFERROR(__xludf.DUMMYFUNCTION("""COMPUTED_VALUE"""),1481.0)</f>
        <v>1481</v>
      </c>
      <c r="E133" s="1">
        <f>IFERROR(__xludf.DUMMYFUNCTION("""COMPUTED_VALUE"""),763.0)</f>
        <v>763</v>
      </c>
      <c r="F133" s="1">
        <f>IFERROR(__xludf.DUMMYFUNCTION("""COMPUTED_VALUE"""),422.0)</f>
        <v>422</v>
      </c>
      <c r="G133" s="1">
        <f>IFERROR(__xludf.DUMMYFUNCTION("""COMPUTED_VALUE"""),626.0)</f>
        <v>626</v>
      </c>
      <c r="H133" s="1">
        <f>IFERROR(__xludf.DUMMYFUNCTION("""COMPUTED_VALUE"""),868.0)</f>
        <v>868</v>
      </c>
      <c r="I133" s="4">
        <f>IFERROR(__xludf.DUMMYFUNCTION("""COMPUTED_VALUE"""),1826.0)</f>
        <v>1826</v>
      </c>
      <c r="J133" s="1">
        <f>IFERROR(__xludf.DUMMYFUNCTION("""COMPUTED_VALUE"""),879.0)</f>
        <v>879</v>
      </c>
      <c r="K133" s="4">
        <f>IFERROR(__xludf.DUMMYFUNCTION("""COMPUTED_VALUE"""),1096.0)</f>
        <v>1096</v>
      </c>
      <c r="L133" s="4">
        <f>IFERROR(__xludf.DUMMYFUNCTION("""COMPUTED_VALUE"""),1202.0)</f>
        <v>1202</v>
      </c>
      <c r="M133" s="4">
        <f>IFERROR(__xludf.DUMMYFUNCTION("""COMPUTED_VALUE"""),1090.0)</f>
        <v>1090</v>
      </c>
      <c r="N133" s="4">
        <f>IFERROR(__xludf.DUMMYFUNCTION("""COMPUTED_VALUE"""),2039.0)</f>
        <v>2039</v>
      </c>
    </row>
    <row r="134">
      <c r="A134" s="1" t="str">
        <f>vlookup(B134:B437,split_names!A133:B1044,2,0)</f>
        <v>Hyundai</v>
      </c>
      <c r="B134" s="1" t="str">
        <f>IFERROR(__xludf.DUMMYFUNCTION("""COMPUTED_VALUE"""),"Hyundai Kona")</f>
        <v>Hyundai Kona</v>
      </c>
      <c r="C134" s="4">
        <f>IFERROR(__xludf.DUMMYFUNCTION("""COMPUTED_VALUE"""),4208.0)</f>
        <v>4208</v>
      </c>
      <c r="D134" s="4">
        <f>IFERROR(__xludf.DUMMYFUNCTION("""COMPUTED_VALUE"""),7092.0)</f>
        <v>7092</v>
      </c>
      <c r="E134" s="4">
        <f>IFERROR(__xludf.DUMMYFUNCTION("""COMPUTED_VALUE"""),3874.0)</f>
        <v>3874</v>
      </c>
      <c r="F134" s="4">
        <f>IFERROR(__xludf.DUMMYFUNCTION("""COMPUTED_VALUE"""),3114.0)</f>
        <v>3114</v>
      </c>
      <c r="G134" s="4">
        <f>IFERROR(__xludf.DUMMYFUNCTION("""COMPUTED_VALUE"""),6536.0)</f>
        <v>6536</v>
      </c>
      <c r="H134" s="4">
        <f>IFERROR(__xludf.DUMMYFUNCTION("""COMPUTED_VALUE"""),5943.0)</f>
        <v>5943</v>
      </c>
      <c r="I134" s="4">
        <f>IFERROR(__xludf.DUMMYFUNCTION("""COMPUTED_VALUE"""),7077.0)</f>
        <v>7077</v>
      </c>
      <c r="J134" s="4">
        <f>IFERROR(__xludf.DUMMYFUNCTION("""COMPUTED_VALUE"""),7998.0)</f>
        <v>7998</v>
      </c>
      <c r="K134" s="4">
        <f>IFERROR(__xludf.DUMMYFUNCTION("""COMPUTED_VALUE"""),6971.0)</f>
        <v>6971</v>
      </c>
      <c r="L134" s="4">
        <f>IFERROR(__xludf.DUMMYFUNCTION("""COMPUTED_VALUE"""),6540.0)</f>
        <v>6540</v>
      </c>
      <c r="M134" s="4">
        <f>IFERROR(__xludf.DUMMYFUNCTION("""COMPUTED_VALUE"""),8551.0)</f>
        <v>8551</v>
      </c>
      <c r="N134" s="4">
        <f>IFERROR(__xludf.DUMMYFUNCTION("""COMPUTED_VALUE"""),8349.0)</f>
        <v>8349</v>
      </c>
    </row>
    <row r="135">
      <c r="A135" s="1" t="str">
        <f>vlookup(B135:B438,split_names!A134:B1045,2,0)</f>
        <v>Hyundai</v>
      </c>
      <c r="B135" s="1" t="str">
        <f>IFERROR(__xludf.DUMMYFUNCTION("""COMPUTED_VALUE"""),"Hyundai Nexo")</f>
        <v>Hyundai Nexo</v>
      </c>
      <c r="C135" s="1">
        <f>IFERROR(__xludf.DUMMYFUNCTION("""COMPUTED_VALUE"""),16.0)</f>
        <v>16</v>
      </c>
      <c r="D135" s="1">
        <f>IFERROR(__xludf.DUMMYFUNCTION("""COMPUTED_VALUE"""),28.0)</f>
        <v>28</v>
      </c>
      <c r="E135" s="1">
        <f>IFERROR(__xludf.DUMMYFUNCTION("""COMPUTED_VALUE"""),7.0)</f>
        <v>7</v>
      </c>
      <c r="F135" s="1">
        <f>IFERROR(__xludf.DUMMYFUNCTION("""COMPUTED_VALUE"""),3.0)</f>
        <v>3</v>
      </c>
      <c r="G135" s="1">
        <f>IFERROR(__xludf.DUMMYFUNCTION("""COMPUTED_VALUE"""),10.0)</f>
        <v>10</v>
      </c>
      <c r="H135" s="1">
        <f>IFERROR(__xludf.DUMMYFUNCTION("""COMPUTED_VALUE"""),12.0)</f>
        <v>12</v>
      </c>
      <c r="I135" s="1">
        <f>IFERROR(__xludf.DUMMYFUNCTION("""COMPUTED_VALUE"""),16.0)</f>
        <v>16</v>
      </c>
      <c r="J135" s="1">
        <f>IFERROR(__xludf.DUMMYFUNCTION("""COMPUTED_VALUE"""),25.0)</f>
        <v>25</v>
      </c>
      <c r="K135" s="1">
        <f>IFERROR(__xludf.DUMMYFUNCTION("""COMPUTED_VALUE"""),21.0)</f>
        <v>21</v>
      </c>
      <c r="L135" s="1">
        <f>IFERROR(__xludf.DUMMYFUNCTION("""COMPUTED_VALUE"""),37.0)</f>
        <v>37</v>
      </c>
      <c r="M135" s="1">
        <f>IFERROR(__xludf.DUMMYFUNCTION("""COMPUTED_VALUE"""),20.0)</f>
        <v>20</v>
      </c>
      <c r="N135" s="1">
        <f>IFERROR(__xludf.DUMMYFUNCTION("""COMPUTED_VALUE"""),13.0)</f>
        <v>13</v>
      </c>
    </row>
    <row r="136">
      <c r="A136" s="1" t="str">
        <f>vlookup(B136:B439,split_names!A135:B1046,2,0)</f>
        <v>Hyundai</v>
      </c>
      <c r="B136" s="1" t="str">
        <f>IFERROR(__xludf.DUMMYFUNCTION("""COMPUTED_VALUE"""),"Hyundai Palisade")</f>
        <v>Hyundai Palisade</v>
      </c>
      <c r="C136" s="4">
        <f>IFERROR(__xludf.DUMMYFUNCTION("""COMPUTED_VALUE"""),5432.0)</f>
        <v>5432</v>
      </c>
      <c r="D136" s="4">
        <f>IFERROR(__xludf.DUMMYFUNCTION("""COMPUTED_VALUE"""),6967.0)</f>
        <v>6967</v>
      </c>
      <c r="E136" s="4">
        <f>IFERROR(__xludf.DUMMYFUNCTION("""COMPUTED_VALUE"""),3934.0)</f>
        <v>3934</v>
      </c>
      <c r="F136" s="4">
        <f>IFERROR(__xludf.DUMMYFUNCTION("""COMPUTED_VALUE"""),3331.0)</f>
        <v>3331</v>
      </c>
      <c r="G136" s="4">
        <f>IFERROR(__xludf.DUMMYFUNCTION("""COMPUTED_VALUE"""),7866.0)</f>
        <v>7866</v>
      </c>
      <c r="H136" s="4">
        <f>IFERROR(__xludf.DUMMYFUNCTION("""COMPUTED_VALUE"""),8169.0)</f>
        <v>8169</v>
      </c>
      <c r="I136" s="4">
        <f>IFERROR(__xludf.DUMMYFUNCTION("""COMPUTED_VALUE"""),8404.0)</f>
        <v>8404</v>
      </c>
      <c r="J136" s="4">
        <f>IFERROR(__xludf.DUMMYFUNCTION("""COMPUTED_VALUE"""),7983.0)</f>
        <v>7983</v>
      </c>
      <c r="K136" s="4">
        <f>IFERROR(__xludf.DUMMYFUNCTION("""COMPUTED_VALUE"""),7741.0)</f>
        <v>7741</v>
      </c>
      <c r="L136" s="4">
        <f>IFERROR(__xludf.DUMMYFUNCTION("""COMPUTED_VALUE"""),7519.0)</f>
        <v>7519</v>
      </c>
      <c r="M136" s="4">
        <f>IFERROR(__xludf.DUMMYFUNCTION("""COMPUTED_VALUE"""),6436.0)</f>
        <v>6436</v>
      </c>
      <c r="N136" s="4">
        <f>IFERROR(__xludf.DUMMYFUNCTION("""COMPUTED_VALUE"""),8123.0)</f>
        <v>8123</v>
      </c>
    </row>
    <row r="137">
      <c r="A137" s="1" t="str">
        <f>vlookup(B137:B440,split_names!A136:B1047,2,0)</f>
        <v>Hyundai</v>
      </c>
      <c r="B137" s="1" t="str">
        <f>IFERROR(__xludf.DUMMYFUNCTION("""COMPUTED_VALUE"""),"Hyundai Santa Fe")</f>
        <v>Hyundai Santa Fe</v>
      </c>
      <c r="C137" s="4">
        <f>IFERROR(__xludf.DUMMYFUNCTION("""COMPUTED_VALUE"""),7148.0)</f>
        <v>7148</v>
      </c>
      <c r="D137" s="4">
        <f>IFERROR(__xludf.DUMMYFUNCTION("""COMPUTED_VALUE"""),7152.0)</f>
        <v>7152</v>
      </c>
      <c r="E137" s="4">
        <f>IFERROR(__xludf.DUMMYFUNCTION("""COMPUTED_VALUE"""),6358.0)</f>
        <v>6358</v>
      </c>
      <c r="F137" s="4">
        <f>IFERROR(__xludf.DUMMYFUNCTION("""COMPUTED_VALUE"""),5602.0)</f>
        <v>5602</v>
      </c>
      <c r="G137" s="4">
        <f>IFERROR(__xludf.DUMMYFUNCTION("""COMPUTED_VALUE"""),9549.0)</f>
        <v>9549</v>
      </c>
      <c r="H137" s="4">
        <f>IFERROR(__xludf.DUMMYFUNCTION("""COMPUTED_VALUE"""),8376.0)</f>
        <v>8376</v>
      </c>
      <c r="I137" s="4">
        <f>IFERROR(__xludf.DUMMYFUNCTION("""COMPUTED_VALUE"""),9296.0)</f>
        <v>9296</v>
      </c>
      <c r="J137" s="4">
        <f>IFERROR(__xludf.DUMMYFUNCTION("""COMPUTED_VALUE"""),9129.0)</f>
        <v>9129</v>
      </c>
      <c r="K137" s="4">
        <f>IFERROR(__xludf.DUMMYFUNCTION("""COMPUTED_VALUE"""),8566.0)</f>
        <v>8566</v>
      </c>
      <c r="L137" s="4">
        <f>IFERROR(__xludf.DUMMYFUNCTION("""COMPUTED_VALUE"""),9072.0)</f>
        <v>9072</v>
      </c>
      <c r="M137" s="4">
        <f>IFERROR(__xludf.DUMMYFUNCTION("""COMPUTED_VALUE"""),8765.0)</f>
        <v>8765</v>
      </c>
      <c r="N137" s="4">
        <f>IFERROR(__xludf.DUMMYFUNCTION("""COMPUTED_VALUE"""),12500.0)</f>
        <v>12500</v>
      </c>
    </row>
    <row r="138">
      <c r="A138" s="1" t="str">
        <f>vlookup(B138:B441,split_names!A137:B1048,2,0)</f>
        <v>Hyundai</v>
      </c>
      <c r="B138" s="1" t="str">
        <f>IFERROR(__xludf.DUMMYFUNCTION("""COMPUTED_VALUE"""),"Hyundai Sonata")</f>
        <v>Hyundai Sonata</v>
      </c>
      <c r="C138" s="4">
        <f>IFERROR(__xludf.DUMMYFUNCTION("""COMPUTED_VALUE"""),5501.0)</f>
        <v>5501</v>
      </c>
      <c r="D138" s="4">
        <f>IFERROR(__xludf.DUMMYFUNCTION("""COMPUTED_VALUE"""),6144.0)</f>
        <v>6144</v>
      </c>
      <c r="E138" s="4">
        <f>IFERROR(__xludf.DUMMYFUNCTION("""COMPUTED_VALUE"""),3957.0)</f>
        <v>3957</v>
      </c>
      <c r="F138" s="4">
        <f>IFERROR(__xludf.DUMMYFUNCTION("""COMPUTED_VALUE"""),3428.0)</f>
        <v>3428</v>
      </c>
      <c r="G138" s="4">
        <f>IFERROR(__xludf.DUMMYFUNCTION("""COMPUTED_VALUE"""),5852.0)</f>
        <v>5852</v>
      </c>
      <c r="H138" s="4">
        <f>IFERROR(__xludf.DUMMYFUNCTION("""COMPUTED_VALUE"""),5407.0)</f>
        <v>5407</v>
      </c>
      <c r="I138" s="4">
        <f>IFERROR(__xludf.DUMMYFUNCTION("""COMPUTED_VALUE"""),6834.0)</f>
        <v>6834</v>
      </c>
      <c r="J138" s="4">
        <f>IFERROR(__xludf.DUMMYFUNCTION("""COMPUTED_VALUE"""),7965.0)</f>
        <v>7965</v>
      </c>
      <c r="K138" s="4">
        <f>IFERROR(__xludf.DUMMYFUNCTION("""COMPUTED_VALUE"""),8038.0)</f>
        <v>8038</v>
      </c>
      <c r="L138" s="4">
        <f>IFERROR(__xludf.DUMMYFUNCTION("""COMPUTED_VALUE"""),7570.0)</f>
        <v>7570</v>
      </c>
      <c r="M138" s="4">
        <f>IFERROR(__xludf.DUMMYFUNCTION("""COMPUTED_VALUE"""),8242.0)</f>
        <v>8242</v>
      </c>
      <c r="N138" s="4">
        <f>IFERROR(__xludf.DUMMYFUNCTION("""COMPUTED_VALUE"""),8059.0)</f>
        <v>8059</v>
      </c>
    </row>
    <row r="139">
      <c r="A139" s="1" t="str">
        <f>vlookup(B139:B442,split_names!A138:B1049,2,0)</f>
        <v>Hyundai</v>
      </c>
      <c r="B139" s="1" t="str">
        <f>IFERROR(__xludf.DUMMYFUNCTION("""COMPUTED_VALUE"""),"Hyundai Tuscon")</f>
        <v>Hyundai Tuscon</v>
      </c>
      <c r="C139" s="4">
        <f>IFERROR(__xludf.DUMMYFUNCTION("""COMPUTED_VALUE"""),8068.0)</f>
        <v>8068</v>
      </c>
      <c r="D139" s="4">
        <f>IFERROR(__xludf.DUMMYFUNCTION("""COMPUTED_VALUE"""),9594.0)</f>
        <v>9594</v>
      </c>
      <c r="E139" s="4">
        <f>IFERROR(__xludf.DUMMYFUNCTION("""COMPUTED_VALUE"""),6073.0)</f>
        <v>6073</v>
      </c>
      <c r="F139" s="4">
        <f>IFERROR(__xludf.DUMMYFUNCTION("""COMPUTED_VALUE"""),8438.0)</f>
        <v>8438</v>
      </c>
      <c r="G139" s="4">
        <f>IFERROR(__xludf.DUMMYFUNCTION("""COMPUTED_VALUE"""),15552.0)</f>
        <v>15552</v>
      </c>
      <c r="H139" s="4">
        <f>IFERROR(__xludf.DUMMYFUNCTION("""COMPUTED_VALUE"""),10216.0)</f>
        <v>10216</v>
      </c>
      <c r="I139" s="4">
        <f>IFERROR(__xludf.DUMMYFUNCTION("""COMPUTED_VALUE"""),10922.0)</f>
        <v>10922</v>
      </c>
      <c r="J139" s="4">
        <f>IFERROR(__xludf.DUMMYFUNCTION("""COMPUTED_VALUE"""),11632.0)</f>
        <v>11632</v>
      </c>
      <c r="K139" s="4">
        <f>IFERROR(__xludf.DUMMYFUNCTION("""COMPUTED_VALUE"""),10644.0)</f>
        <v>10644</v>
      </c>
      <c r="L139" s="4">
        <f>IFERROR(__xludf.DUMMYFUNCTION("""COMPUTED_VALUE"""),10898.0)</f>
        <v>10898</v>
      </c>
      <c r="M139" s="4">
        <f>IFERROR(__xludf.DUMMYFUNCTION("""COMPUTED_VALUE"""),9739.0)</f>
        <v>9739</v>
      </c>
      <c r="N139" s="4">
        <f>IFERROR(__xludf.DUMMYFUNCTION("""COMPUTED_VALUE"""),11881.0)</f>
        <v>11881</v>
      </c>
    </row>
    <row r="140">
      <c r="A140" s="1" t="str">
        <f>vlookup(B140:B443,split_names!A139:B1050,2,0)</f>
        <v>Hyundai</v>
      </c>
      <c r="B140" s="1" t="str">
        <f>IFERROR(__xludf.DUMMYFUNCTION("""COMPUTED_VALUE"""),"Hyundai Veloster")</f>
        <v>Hyundai Veloster</v>
      </c>
      <c r="C140" s="1">
        <f>IFERROR(__xludf.DUMMYFUNCTION("""COMPUTED_VALUE"""),665.0)</f>
        <v>665</v>
      </c>
      <c r="D140" s="1">
        <f>IFERROR(__xludf.DUMMYFUNCTION("""COMPUTED_VALUE"""),842.0)</f>
        <v>842</v>
      </c>
      <c r="E140" s="1">
        <f>IFERROR(__xludf.DUMMYFUNCTION("""COMPUTED_VALUE"""),575.0)</f>
        <v>575</v>
      </c>
      <c r="F140" s="1">
        <f>IFERROR(__xludf.DUMMYFUNCTION("""COMPUTED_VALUE"""),541.0)</f>
        <v>541</v>
      </c>
      <c r="G140" s="1">
        <f>IFERROR(__xludf.DUMMYFUNCTION("""COMPUTED_VALUE"""),858.0)</f>
        <v>858</v>
      </c>
      <c r="H140" s="1">
        <f>IFERROR(__xludf.DUMMYFUNCTION("""COMPUTED_VALUE"""),0.0)</f>
        <v>0</v>
      </c>
      <c r="I140" s="1">
        <f>IFERROR(__xludf.DUMMYFUNCTION("""COMPUTED_VALUE"""),861.0)</f>
        <v>861</v>
      </c>
      <c r="J140" s="1">
        <f>IFERROR(__xludf.DUMMYFUNCTION("""COMPUTED_VALUE"""),836.0)</f>
        <v>836</v>
      </c>
      <c r="K140" s="1">
        <f>IFERROR(__xludf.DUMMYFUNCTION("""COMPUTED_VALUE"""),601.0)</f>
        <v>601</v>
      </c>
      <c r="L140" s="1">
        <f>IFERROR(__xludf.DUMMYFUNCTION("""COMPUTED_VALUE"""),443.0)</f>
        <v>443</v>
      </c>
      <c r="M140" s="1">
        <f>IFERROR(__xludf.DUMMYFUNCTION("""COMPUTED_VALUE"""),296.0)</f>
        <v>296</v>
      </c>
      <c r="N140" s="1">
        <f>IFERROR(__xludf.DUMMYFUNCTION("""COMPUTED_VALUE"""),267.0)</f>
        <v>267</v>
      </c>
    </row>
    <row r="141">
      <c r="A141" s="1" t="str">
        <f>vlookup(B141:B444,split_names!A140:B1051,2,0)</f>
        <v>Hyundai</v>
      </c>
      <c r="B141" s="1" t="str">
        <f>IFERROR(__xludf.DUMMYFUNCTION("""COMPUTED_VALUE"""),"Hyundai Venue")</f>
        <v>Hyundai Venue</v>
      </c>
      <c r="C141" s="1">
        <f>IFERROR(__xludf.DUMMYFUNCTION("""COMPUTED_VALUE"""),989.0)</f>
        <v>989</v>
      </c>
      <c r="D141" s="4">
        <f>IFERROR(__xludf.DUMMYFUNCTION("""COMPUTED_VALUE"""),1226.0)</f>
        <v>1226</v>
      </c>
      <c r="E141" s="1">
        <f>IFERROR(__xludf.DUMMYFUNCTION("""COMPUTED_VALUE"""),951.0)</f>
        <v>951</v>
      </c>
      <c r="F141" s="1">
        <f>IFERROR(__xludf.DUMMYFUNCTION("""COMPUTED_VALUE"""),817.0)</f>
        <v>817</v>
      </c>
      <c r="G141" s="4">
        <f>IFERROR(__xludf.DUMMYFUNCTION("""COMPUTED_VALUE"""),1650.0)</f>
        <v>1650</v>
      </c>
      <c r="H141" s="1">
        <f>IFERROR(__xludf.DUMMYFUNCTION("""COMPUTED_VALUE"""),0.0)</f>
        <v>0</v>
      </c>
      <c r="I141" s="4">
        <f>IFERROR(__xludf.DUMMYFUNCTION("""COMPUTED_VALUE"""),1620.0)</f>
        <v>1620</v>
      </c>
      <c r="J141" s="4">
        <f>IFERROR(__xludf.DUMMYFUNCTION("""COMPUTED_VALUE"""),1644.0)</f>
        <v>1644</v>
      </c>
      <c r="K141" s="4">
        <f>IFERROR(__xludf.DUMMYFUNCTION("""COMPUTED_VALUE"""),1529.0)</f>
        <v>1529</v>
      </c>
      <c r="L141" s="4">
        <f>IFERROR(__xludf.DUMMYFUNCTION("""COMPUTED_VALUE"""),1557.0)</f>
        <v>1557</v>
      </c>
      <c r="M141" s="4">
        <f>IFERROR(__xludf.DUMMYFUNCTION("""COMPUTED_VALUE"""),2965.0)</f>
        <v>2965</v>
      </c>
      <c r="N141" s="4">
        <f>IFERROR(__xludf.DUMMYFUNCTION("""COMPUTED_VALUE"""),2639.0)</f>
        <v>2639</v>
      </c>
    </row>
    <row r="142">
      <c r="A142" s="1" t="str">
        <f>vlookup(B142:B445,split_names!A141:B1052,2,0)</f>
        <v>Infiniti</v>
      </c>
      <c r="B142" s="1" t="str">
        <f>IFERROR(__xludf.DUMMYFUNCTION("""COMPUTED_VALUE"""),"Infiniti Q50")</f>
        <v>Infiniti Q50</v>
      </c>
      <c r="C142" s="4">
        <f>IFERROR(__xludf.DUMMYFUNCTION("""COMPUTED_VALUE"""),1811.0)</f>
        <v>1811</v>
      </c>
      <c r="D142" s="4">
        <f>IFERROR(__xludf.DUMMYFUNCTION("""COMPUTED_VALUE"""),2344.0)</f>
        <v>2344</v>
      </c>
      <c r="E142" s="4">
        <f>IFERROR(__xludf.DUMMYFUNCTION("""COMPUTED_VALUE"""),1420.0)</f>
        <v>1420</v>
      </c>
      <c r="F142" s="1">
        <f>IFERROR(__xludf.DUMMYFUNCTION("""COMPUTED_VALUE"""),656.0)</f>
        <v>656</v>
      </c>
      <c r="G142" s="4">
        <f>IFERROR(__xludf.DUMMYFUNCTION("""COMPUTED_VALUE"""),1457.0)</f>
        <v>1457</v>
      </c>
      <c r="H142" s="4">
        <f>IFERROR(__xludf.DUMMYFUNCTION("""COMPUTED_VALUE"""),1530.0)</f>
        <v>1530</v>
      </c>
      <c r="I142" s="4">
        <f>IFERROR(__xludf.DUMMYFUNCTION("""COMPUTED_VALUE"""),1356.0)</f>
        <v>1356</v>
      </c>
      <c r="J142" s="4">
        <f>IFERROR(__xludf.DUMMYFUNCTION("""COMPUTED_VALUE"""),1206.0)</f>
        <v>1206</v>
      </c>
      <c r="K142" s="4">
        <f>IFERROR(__xludf.DUMMYFUNCTION("""COMPUTED_VALUE"""),1306.0)</f>
        <v>1306</v>
      </c>
      <c r="L142" s="4">
        <f>IFERROR(__xludf.DUMMYFUNCTION("""COMPUTED_VALUE"""),1163.0)</f>
        <v>1163</v>
      </c>
      <c r="M142" s="1">
        <f>IFERROR(__xludf.DUMMYFUNCTION("""COMPUTED_VALUE"""),955.0)</f>
        <v>955</v>
      </c>
      <c r="N142" s="4">
        <f>IFERROR(__xludf.DUMMYFUNCTION("""COMPUTED_VALUE"""),1329.0)</f>
        <v>1329</v>
      </c>
    </row>
    <row r="143">
      <c r="A143" s="1" t="str">
        <f>vlookup(B143:B446,split_names!A142:B1053,2,0)</f>
        <v>Infiniti</v>
      </c>
      <c r="B143" s="1" t="str">
        <f>IFERROR(__xludf.DUMMYFUNCTION("""COMPUTED_VALUE"""),"Infiniti Q60")</f>
        <v>Infiniti Q60</v>
      </c>
      <c r="C143" s="1">
        <f>IFERROR(__xludf.DUMMYFUNCTION("""COMPUTED_VALUE"""),301.0)</f>
        <v>301</v>
      </c>
      <c r="D143" s="1">
        <f>IFERROR(__xludf.DUMMYFUNCTION("""COMPUTED_VALUE"""),390.0)</f>
        <v>390</v>
      </c>
      <c r="E143" s="1">
        <f>IFERROR(__xludf.DUMMYFUNCTION("""COMPUTED_VALUE"""),236.0)</f>
        <v>236</v>
      </c>
      <c r="F143" s="1">
        <f>IFERROR(__xludf.DUMMYFUNCTION("""COMPUTED_VALUE"""),139.0)</f>
        <v>139</v>
      </c>
      <c r="G143" s="1">
        <f>IFERROR(__xludf.DUMMYFUNCTION("""COMPUTED_VALUE"""),308.0)</f>
        <v>308</v>
      </c>
      <c r="H143" s="1">
        <f>IFERROR(__xludf.DUMMYFUNCTION("""COMPUTED_VALUE"""),323.0)</f>
        <v>323</v>
      </c>
      <c r="I143" s="1">
        <f>IFERROR(__xludf.DUMMYFUNCTION("""COMPUTED_VALUE"""),207.0)</f>
        <v>207</v>
      </c>
      <c r="J143" s="1">
        <f>IFERROR(__xludf.DUMMYFUNCTION("""COMPUTED_VALUE"""),184.0)</f>
        <v>184</v>
      </c>
      <c r="K143" s="1">
        <f>IFERROR(__xludf.DUMMYFUNCTION("""COMPUTED_VALUE"""),199.0)</f>
        <v>199</v>
      </c>
      <c r="L143" s="1">
        <f>IFERROR(__xludf.DUMMYFUNCTION("""COMPUTED_VALUE"""),171.0)</f>
        <v>171</v>
      </c>
      <c r="M143" s="1">
        <f>IFERROR(__xludf.DUMMYFUNCTION("""COMPUTED_VALUE"""),140.0)</f>
        <v>140</v>
      </c>
      <c r="N143" s="1">
        <f>IFERROR(__xludf.DUMMYFUNCTION("""COMPUTED_VALUE"""),195.0)</f>
        <v>195</v>
      </c>
    </row>
    <row r="144">
      <c r="A144" s="1" t="str">
        <f>vlookup(B144:B447,split_names!A143:B1054,2,0)</f>
        <v>Infiniti</v>
      </c>
      <c r="B144" s="1" t="str">
        <f>IFERROR(__xludf.DUMMYFUNCTION("""COMPUTED_VALUE"""),"Infiniti Q70")</f>
        <v>Infiniti Q70</v>
      </c>
      <c r="C144" s="1">
        <f>IFERROR(__xludf.DUMMYFUNCTION("""COMPUTED_VALUE"""),37.0)</f>
        <v>37</v>
      </c>
      <c r="D144" s="1">
        <f>IFERROR(__xludf.DUMMYFUNCTION("""COMPUTED_VALUE"""),48.0)</f>
        <v>48</v>
      </c>
      <c r="E144" s="1">
        <f>IFERROR(__xludf.DUMMYFUNCTION("""COMPUTED_VALUE"""),29.0)</f>
        <v>29</v>
      </c>
      <c r="F144" s="1">
        <f>IFERROR(__xludf.DUMMYFUNCTION("""COMPUTED_VALUE"""),3.0)</f>
        <v>3</v>
      </c>
      <c r="G144" s="1">
        <f>IFERROR(__xludf.DUMMYFUNCTION("""COMPUTED_VALUE"""),6.0)</f>
        <v>6</v>
      </c>
      <c r="H144" s="1">
        <f>IFERROR(__xludf.DUMMYFUNCTION("""COMPUTED_VALUE"""),6.0)</f>
        <v>6</v>
      </c>
      <c r="I144" s="1">
        <f>IFERROR(__xludf.DUMMYFUNCTION("""COMPUTED_VALUE"""),2.0)</f>
        <v>2</v>
      </c>
      <c r="J144" s="1">
        <f>IFERROR(__xludf.DUMMYFUNCTION("""COMPUTED_VALUE"""),2.0)</f>
        <v>2</v>
      </c>
      <c r="K144" s="1">
        <f>IFERROR(__xludf.DUMMYFUNCTION("""COMPUTED_VALUE"""),2.0)</f>
        <v>2</v>
      </c>
      <c r="L144" s="1">
        <f>IFERROR(__xludf.DUMMYFUNCTION("""COMPUTED_VALUE"""),1.0)</f>
        <v>1</v>
      </c>
      <c r="M144" s="1">
        <f>IFERROR(__xludf.DUMMYFUNCTION("""COMPUTED_VALUE"""),1.0)</f>
        <v>1</v>
      </c>
      <c r="N144" s="1">
        <f>IFERROR(__xludf.DUMMYFUNCTION("""COMPUTED_VALUE"""),2.0)</f>
        <v>2</v>
      </c>
    </row>
    <row r="145">
      <c r="A145" s="1" t="str">
        <f>vlookup(B145:B448,split_names!A144:B1055,2,0)</f>
        <v>Infiniti</v>
      </c>
      <c r="B145" s="1" t="str">
        <f>IFERROR(__xludf.DUMMYFUNCTION("""COMPUTED_VALUE"""),"Infiniti QX30")</f>
        <v>Infiniti QX30</v>
      </c>
      <c r="C145" s="1">
        <f>IFERROR(__xludf.DUMMYFUNCTION("""COMPUTED_VALUE"""),36.0)</f>
        <v>36</v>
      </c>
      <c r="D145" s="1">
        <f>IFERROR(__xludf.DUMMYFUNCTION("""COMPUTED_VALUE"""),47.0)</f>
        <v>47</v>
      </c>
      <c r="E145" s="1">
        <f>IFERROR(__xludf.DUMMYFUNCTION("""COMPUTED_VALUE"""),29.0)</f>
        <v>29</v>
      </c>
      <c r="F145" s="1">
        <f>IFERROR(__xludf.DUMMYFUNCTION("""COMPUTED_VALUE"""),4.0)</f>
        <v>4</v>
      </c>
      <c r="G145" s="1">
        <f>IFERROR(__xludf.DUMMYFUNCTION("""COMPUTED_VALUE"""),8.0)</f>
        <v>8</v>
      </c>
      <c r="H145" s="1">
        <f>IFERROR(__xludf.DUMMYFUNCTION("""COMPUTED_VALUE"""),9.0)</f>
        <v>9</v>
      </c>
      <c r="I145" s="1">
        <f>IFERROR(__xludf.DUMMYFUNCTION("""COMPUTED_VALUE"""),5.0)</f>
        <v>5</v>
      </c>
      <c r="J145" s="1">
        <f>IFERROR(__xludf.DUMMYFUNCTION("""COMPUTED_VALUE"""),4.0)</f>
        <v>4</v>
      </c>
      <c r="K145" s="1">
        <f>IFERROR(__xludf.DUMMYFUNCTION("""COMPUTED_VALUE"""),4.0)</f>
        <v>4</v>
      </c>
      <c r="L145" s="1">
        <f>IFERROR(__xludf.DUMMYFUNCTION("""COMPUTED_VALUE"""),1.0)</f>
        <v>1</v>
      </c>
      <c r="M145" s="1">
        <f>IFERROR(__xludf.DUMMYFUNCTION("""COMPUTED_VALUE"""),1.0)</f>
        <v>1</v>
      </c>
      <c r="N145" s="1">
        <f>IFERROR(__xludf.DUMMYFUNCTION("""COMPUTED_VALUE"""),1.0)</f>
        <v>1</v>
      </c>
    </row>
    <row r="146">
      <c r="A146" s="1" t="str">
        <f>vlookup(B146:B449,split_names!A145:B1056,2,0)</f>
        <v>Infiniti</v>
      </c>
      <c r="B146" s="1" t="str">
        <f>IFERROR(__xludf.DUMMYFUNCTION("""COMPUTED_VALUE"""),"Infiniti QX50")</f>
        <v>Infiniti QX50</v>
      </c>
      <c r="C146" s="4">
        <f>IFERROR(__xludf.DUMMYFUNCTION("""COMPUTED_VALUE"""),1354.0)</f>
        <v>1354</v>
      </c>
      <c r="D146" s="4">
        <f>IFERROR(__xludf.DUMMYFUNCTION("""COMPUTED_VALUE"""),1753.0)</f>
        <v>1753</v>
      </c>
      <c r="E146" s="4">
        <f>IFERROR(__xludf.DUMMYFUNCTION("""COMPUTED_VALUE"""),1062.0)</f>
        <v>1062</v>
      </c>
      <c r="F146" s="1">
        <f>IFERROR(__xludf.DUMMYFUNCTION("""COMPUTED_VALUE"""),882.0)</f>
        <v>882</v>
      </c>
      <c r="G146" s="4">
        <f>IFERROR(__xludf.DUMMYFUNCTION("""COMPUTED_VALUE"""),1960.0)</f>
        <v>1960</v>
      </c>
      <c r="H146" s="4">
        <f>IFERROR(__xludf.DUMMYFUNCTION("""COMPUTED_VALUE"""),2058.0)</f>
        <v>2058</v>
      </c>
      <c r="I146" s="4">
        <f>IFERROR(__xludf.DUMMYFUNCTION("""COMPUTED_VALUE"""),1929.0)</f>
        <v>1929</v>
      </c>
      <c r="J146" s="4">
        <f>IFERROR(__xludf.DUMMYFUNCTION("""COMPUTED_VALUE"""),1714.0)</f>
        <v>1714</v>
      </c>
      <c r="K146" s="4">
        <f>IFERROR(__xludf.DUMMYFUNCTION("""COMPUTED_VALUE"""),1857.0)</f>
        <v>1857</v>
      </c>
      <c r="L146" s="4">
        <f>IFERROR(__xludf.DUMMYFUNCTION("""COMPUTED_VALUE"""),2131.0)</f>
        <v>2131</v>
      </c>
      <c r="M146" s="4">
        <f>IFERROR(__xludf.DUMMYFUNCTION("""COMPUTED_VALUE"""),1750.0)</f>
        <v>1750</v>
      </c>
      <c r="N146" s="4">
        <f>IFERROR(__xludf.DUMMYFUNCTION("""COMPUTED_VALUE"""),2435.0)</f>
        <v>2435</v>
      </c>
    </row>
    <row r="147">
      <c r="A147" s="1" t="str">
        <f>vlookup(B147:B450,split_names!A146:B1057,2,0)</f>
        <v>Infiniti</v>
      </c>
      <c r="B147" s="1" t="str">
        <f>IFERROR(__xludf.DUMMYFUNCTION("""COMPUTED_VALUE"""),"Infiniti QX60")</f>
        <v>Infiniti QX60</v>
      </c>
      <c r="C147" s="4">
        <f>IFERROR(__xludf.DUMMYFUNCTION("""COMPUTED_VALUE"""),2943.0)</f>
        <v>2943</v>
      </c>
      <c r="D147" s="4">
        <f>IFERROR(__xludf.DUMMYFUNCTION("""COMPUTED_VALUE"""),3810.0)</f>
        <v>3810</v>
      </c>
      <c r="E147" s="4">
        <f>IFERROR(__xludf.DUMMYFUNCTION("""COMPUTED_VALUE"""),2308.0)</f>
        <v>2308</v>
      </c>
      <c r="F147" s="1">
        <f>IFERROR(__xludf.DUMMYFUNCTION("""COMPUTED_VALUE"""),560.0)</f>
        <v>560</v>
      </c>
      <c r="G147" s="4">
        <f>IFERROR(__xludf.DUMMYFUNCTION("""COMPUTED_VALUE"""),1244.0)</f>
        <v>1244</v>
      </c>
      <c r="H147" s="4">
        <f>IFERROR(__xludf.DUMMYFUNCTION("""COMPUTED_VALUE"""),1306.0)</f>
        <v>1306</v>
      </c>
      <c r="I147" s="4">
        <f>IFERROR(__xludf.DUMMYFUNCTION("""COMPUTED_VALUE"""),1870.0)</f>
        <v>1870</v>
      </c>
      <c r="J147" s="4">
        <f>IFERROR(__xludf.DUMMYFUNCTION("""COMPUTED_VALUE"""),1663.0)</f>
        <v>1663</v>
      </c>
      <c r="K147" s="4">
        <f>IFERROR(__xludf.DUMMYFUNCTION("""COMPUTED_VALUE"""),1801.0)</f>
        <v>1801</v>
      </c>
      <c r="L147" s="4">
        <f>IFERROR(__xludf.DUMMYFUNCTION("""COMPUTED_VALUE"""),1813.0)</f>
        <v>1813</v>
      </c>
      <c r="M147" s="4">
        <f>IFERROR(__xludf.DUMMYFUNCTION("""COMPUTED_VALUE"""),1489.0)</f>
        <v>1489</v>
      </c>
      <c r="N147" s="4">
        <f>IFERROR(__xludf.DUMMYFUNCTION("""COMPUTED_VALUE"""),2072.0)</f>
        <v>2072</v>
      </c>
    </row>
    <row r="148">
      <c r="A148" s="1" t="str">
        <f>vlookup(B148:B451,split_names!A147:B1058,2,0)</f>
        <v>Infiniti</v>
      </c>
      <c r="B148" s="1" t="str">
        <f>IFERROR(__xludf.DUMMYFUNCTION("""COMPUTED_VALUE"""),"Infiniti QX80")</f>
        <v>Infiniti QX80</v>
      </c>
      <c r="C148" s="4">
        <f>IFERROR(__xludf.DUMMYFUNCTION("""COMPUTED_VALUE"""),1818.0)</f>
        <v>1818</v>
      </c>
      <c r="D148" s="4">
        <f>IFERROR(__xludf.DUMMYFUNCTION("""COMPUTED_VALUE"""),2354.0)</f>
        <v>2354</v>
      </c>
      <c r="E148" s="4">
        <f>IFERROR(__xludf.DUMMYFUNCTION("""COMPUTED_VALUE"""),1426.0)</f>
        <v>1426</v>
      </c>
      <c r="F148" s="1">
        <f>IFERROR(__xludf.DUMMYFUNCTION("""COMPUTED_VALUE"""),655.0)</f>
        <v>655</v>
      </c>
      <c r="G148" s="4">
        <f>IFERROR(__xludf.DUMMYFUNCTION("""COMPUTED_VALUE"""),1455.0)</f>
        <v>1455</v>
      </c>
      <c r="H148" s="4">
        <f>IFERROR(__xludf.DUMMYFUNCTION("""COMPUTED_VALUE"""),1528.0)</f>
        <v>1528</v>
      </c>
      <c r="I148" s="1">
        <f>IFERROR(__xludf.DUMMYFUNCTION("""COMPUTED_VALUE"""),721.0)</f>
        <v>721</v>
      </c>
      <c r="J148" s="1">
        <f>IFERROR(__xludf.DUMMYFUNCTION("""COMPUTED_VALUE"""),641.0)</f>
        <v>641</v>
      </c>
      <c r="K148" s="1">
        <f>IFERROR(__xludf.DUMMYFUNCTION("""COMPUTED_VALUE"""),695.0)</f>
        <v>695</v>
      </c>
      <c r="L148" s="4">
        <f>IFERROR(__xludf.DUMMYFUNCTION("""COMPUTED_VALUE"""),1630.0)</f>
        <v>1630</v>
      </c>
      <c r="M148" s="4">
        <f>IFERROR(__xludf.DUMMYFUNCTION("""COMPUTED_VALUE"""),1339.0)</f>
        <v>1339</v>
      </c>
      <c r="N148" s="4">
        <f>IFERROR(__xludf.DUMMYFUNCTION("""COMPUTED_VALUE"""),1863.0)</f>
        <v>1863</v>
      </c>
    </row>
    <row r="149">
      <c r="A149" s="1" t="str">
        <f>vlookup(B149:B452,split_names!A148:B1059,2,0)</f>
        <v>Jaguar</v>
      </c>
      <c r="B149" s="1" t="str">
        <f>IFERROR(__xludf.DUMMYFUNCTION("""COMPUTED_VALUE"""),"Jaguar E-Pace")</f>
        <v>Jaguar E-Pace</v>
      </c>
      <c r="C149" s="1">
        <f>IFERROR(__xludf.DUMMYFUNCTION("""COMPUTED_VALUE"""),443.0)</f>
        <v>443</v>
      </c>
      <c r="D149" s="1">
        <f>IFERROR(__xludf.DUMMYFUNCTION("""COMPUTED_VALUE"""),393.0)</f>
        <v>393</v>
      </c>
      <c r="E149" s="1">
        <f>IFERROR(__xludf.DUMMYFUNCTION("""COMPUTED_VALUE"""),410.0)</f>
        <v>410</v>
      </c>
      <c r="F149" s="1">
        <f>IFERROR(__xludf.DUMMYFUNCTION("""COMPUTED_VALUE"""),117.0)</f>
        <v>117</v>
      </c>
      <c r="G149" s="1">
        <f>IFERROR(__xludf.DUMMYFUNCTION("""COMPUTED_VALUE"""),260.0)</f>
        <v>260</v>
      </c>
      <c r="H149" s="1">
        <f>IFERROR(__xludf.DUMMYFUNCTION("""COMPUTED_VALUE"""),273.0)</f>
        <v>273</v>
      </c>
      <c r="I149" s="1">
        <f>IFERROR(__xludf.DUMMYFUNCTION("""COMPUTED_VALUE"""),316.0)</f>
        <v>316</v>
      </c>
      <c r="J149" s="1">
        <f>IFERROR(__xludf.DUMMYFUNCTION("""COMPUTED_VALUE"""),281.0)</f>
        <v>281</v>
      </c>
      <c r="K149" s="1">
        <f>IFERROR(__xludf.DUMMYFUNCTION("""COMPUTED_VALUE"""),304.0)</f>
        <v>304</v>
      </c>
      <c r="L149" s="1">
        <f>IFERROR(__xludf.DUMMYFUNCTION("""COMPUTED_VALUE"""),304.0)</f>
        <v>304</v>
      </c>
      <c r="M149" s="1">
        <f>IFERROR(__xludf.DUMMYFUNCTION("""COMPUTED_VALUE"""),248.0)</f>
        <v>248</v>
      </c>
      <c r="N149" s="1">
        <f>IFERROR(__xludf.DUMMYFUNCTION("""COMPUTED_VALUE"""),347.0)</f>
        <v>347</v>
      </c>
    </row>
    <row r="150">
      <c r="A150" s="1" t="str">
        <f>vlookup(B150:B453,split_names!A149:B1060,2,0)</f>
        <v>Jaguar</v>
      </c>
      <c r="B150" s="1" t="str">
        <f>IFERROR(__xludf.DUMMYFUNCTION("""COMPUTED_VALUE"""),"Jaguar F-Pace")</f>
        <v>Jaguar F-Pace</v>
      </c>
      <c r="C150" s="4">
        <f>IFERROR(__xludf.DUMMYFUNCTION("""COMPUTED_VALUE"""),1418.0)</f>
        <v>1418</v>
      </c>
      <c r="D150" s="4">
        <f>IFERROR(__xludf.DUMMYFUNCTION("""COMPUTED_VALUE"""),1261.0)</f>
        <v>1261</v>
      </c>
      <c r="E150" s="4">
        <f>IFERROR(__xludf.DUMMYFUNCTION("""COMPUTED_VALUE"""),1313.0)</f>
        <v>1313</v>
      </c>
      <c r="F150" s="1">
        <f>IFERROR(__xludf.DUMMYFUNCTION("""COMPUTED_VALUE"""),342.0)</f>
        <v>342</v>
      </c>
      <c r="G150" s="1">
        <f>IFERROR(__xludf.DUMMYFUNCTION("""COMPUTED_VALUE"""),760.0)</f>
        <v>760</v>
      </c>
      <c r="H150" s="1">
        <f>IFERROR(__xludf.DUMMYFUNCTION("""COMPUTED_VALUE"""),798.0)</f>
        <v>798</v>
      </c>
      <c r="I150" s="1">
        <f>IFERROR(__xludf.DUMMYFUNCTION("""COMPUTED_VALUE"""),701.0)</f>
        <v>701</v>
      </c>
      <c r="J150" s="1">
        <f>IFERROR(__xludf.DUMMYFUNCTION("""COMPUTED_VALUE"""),623.0)</f>
        <v>623</v>
      </c>
      <c r="K150" s="1">
        <f>IFERROR(__xludf.DUMMYFUNCTION("""COMPUTED_VALUE"""),675.0)</f>
        <v>675</v>
      </c>
      <c r="L150" s="4">
        <f>IFERROR(__xludf.DUMMYFUNCTION("""COMPUTED_VALUE"""),1012.0)</f>
        <v>1012</v>
      </c>
      <c r="M150" s="1">
        <f>IFERROR(__xludf.DUMMYFUNCTION("""COMPUTED_VALUE"""),831.0)</f>
        <v>831</v>
      </c>
      <c r="N150" s="4">
        <f>IFERROR(__xludf.DUMMYFUNCTION("""COMPUTED_VALUE"""),1157.0)</f>
        <v>1157</v>
      </c>
    </row>
    <row r="151">
      <c r="A151" s="1" t="str">
        <f>vlookup(B151:B454,split_names!A150:B1061,2,0)</f>
        <v>Jaguar</v>
      </c>
      <c r="B151" s="1" t="str">
        <f>IFERROR(__xludf.DUMMYFUNCTION("""COMPUTED_VALUE"""),"Jaguar F-Type")</f>
        <v>Jaguar F-Type</v>
      </c>
      <c r="C151" s="1">
        <f>IFERROR(__xludf.DUMMYFUNCTION("""COMPUTED_VALUE"""),181.0)</f>
        <v>181</v>
      </c>
      <c r="D151" s="1">
        <f>IFERROR(__xludf.DUMMYFUNCTION("""COMPUTED_VALUE"""),161.0)</f>
        <v>161</v>
      </c>
      <c r="E151" s="1">
        <f>IFERROR(__xludf.DUMMYFUNCTION("""COMPUTED_VALUE"""),168.0)</f>
        <v>168</v>
      </c>
      <c r="F151" s="1">
        <f>IFERROR(__xludf.DUMMYFUNCTION("""COMPUTED_VALUE"""),52.0)</f>
        <v>52</v>
      </c>
      <c r="G151" s="1">
        <f>IFERROR(__xludf.DUMMYFUNCTION("""COMPUTED_VALUE"""),116.0)</f>
        <v>116</v>
      </c>
      <c r="H151" s="1">
        <f>IFERROR(__xludf.DUMMYFUNCTION("""COMPUTED_VALUE"""),122.0)</f>
        <v>122</v>
      </c>
      <c r="I151" s="1">
        <f>IFERROR(__xludf.DUMMYFUNCTION("""COMPUTED_VALUE"""),140.0)</f>
        <v>140</v>
      </c>
      <c r="J151" s="1">
        <f>IFERROR(__xludf.DUMMYFUNCTION("""COMPUTED_VALUE"""),125.0)</f>
        <v>125</v>
      </c>
      <c r="K151" s="1">
        <f>IFERROR(__xludf.DUMMYFUNCTION("""COMPUTED_VALUE"""),135.0)</f>
        <v>135</v>
      </c>
      <c r="L151" s="1">
        <f>IFERROR(__xludf.DUMMYFUNCTION("""COMPUTED_VALUE"""),169.0)</f>
        <v>169</v>
      </c>
      <c r="M151" s="1">
        <f>IFERROR(__xludf.DUMMYFUNCTION("""COMPUTED_VALUE"""),139.0)</f>
        <v>139</v>
      </c>
      <c r="N151" s="1">
        <f>IFERROR(__xludf.DUMMYFUNCTION("""COMPUTED_VALUE"""),193.0)</f>
        <v>193</v>
      </c>
    </row>
    <row r="152">
      <c r="A152" s="1" t="str">
        <f>vlookup(B152:B455,split_names!A151:B1062,2,0)</f>
        <v>Jaguar</v>
      </c>
      <c r="B152" s="1" t="str">
        <f>IFERROR(__xludf.DUMMYFUNCTION("""COMPUTED_VALUE"""),"Jaguar I-Pace")</f>
        <v>Jaguar I-Pace</v>
      </c>
      <c r="C152" s="1">
        <f>IFERROR(__xludf.DUMMYFUNCTION("""COMPUTED_VALUE"""),158.0)</f>
        <v>158</v>
      </c>
      <c r="D152" s="1">
        <f>IFERROR(__xludf.DUMMYFUNCTION("""COMPUTED_VALUE"""),141.0)</f>
        <v>141</v>
      </c>
      <c r="E152" s="1">
        <f>IFERROR(__xludf.DUMMYFUNCTION("""COMPUTED_VALUE"""),147.0)</f>
        <v>147</v>
      </c>
      <c r="F152" s="1">
        <f>IFERROR(__xludf.DUMMYFUNCTION("""COMPUTED_VALUE"""),108.0)</f>
        <v>108</v>
      </c>
      <c r="G152" s="1">
        <f>IFERROR(__xludf.DUMMYFUNCTION("""COMPUTED_VALUE"""),240.0)</f>
        <v>240</v>
      </c>
      <c r="H152" s="1">
        <f>IFERROR(__xludf.DUMMYFUNCTION("""COMPUTED_VALUE"""),252.0)</f>
        <v>252</v>
      </c>
      <c r="I152" s="1">
        <f>IFERROR(__xludf.DUMMYFUNCTION("""COMPUTED_VALUE"""),175.0)</f>
        <v>175</v>
      </c>
      <c r="J152" s="1">
        <f>IFERROR(__xludf.DUMMYFUNCTION("""COMPUTED_VALUE"""),156.0)</f>
        <v>156</v>
      </c>
      <c r="K152" s="1">
        <f>IFERROR(__xludf.DUMMYFUNCTION("""COMPUTED_VALUE"""),169.0)</f>
        <v>169</v>
      </c>
      <c r="L152" s="1">
        <f>IFERROR(__xludf.DUMMYFUNCTION("""COMPUTED_VALUE"""),135.0)</f>
        <v>135</v>
      </c>
      <c r="M152" s="1">
        <f>IFERROR(__xludf.DUMMYFUNCTION("""COMPUTED_VALUE"""),111.0)</f>
        <v>111</v>
      </c>
      <c r="N152" s="1">
        <f>IFERROR(__xludf.DUMMYFUNCTION("""COMPUTED_VALUE"""),154.0)</f>
        <v>154</v>
      </c>
    </row>
    <row r="153">
      <c r="A153" s="1" t="str">
        <f>vlookup(B153:B456,split_names!A152:B1063,2,0)</f>
        <v>Jaguar</v>
      </c>
      <c r="B153" s="1" t="str">
        <f>IFERROR(__xludf.DUMMYFUNCTION("""COMPUTED_VALUE"""),"Jaguar XE")</f>
        <v>Jaguar XE</v>
      </c>
      <c r="C153" s="1">
        <f>IFERROR(__xludf.DUMMYFUNCTION("""COMPUTED_VALUE"""),187.0)</f>
        <v>187</v>
      </c>
      <c r="D153" s="1">
        <f>IFERROR(__xludf.DUMMYFUNCTION("""COMPUTED_VALUE"""),166.0)</f>
        <v>166</v>
      </c>
      <c r="E153" s="1">
        <f>IFERROR(__xludf.DUMMYFUNCTION("""COMPUTED_VALUE"""),173.0)</f>
        <v>173</v>
      </c>
      <c r="F153" s="1">
        <f>IFERROR(__xludf.DUMMYFUNCTION("""COMPUTED_VALUE"""),65.0)</f>
        <v>65</v>
      </c>
      <c r="G153" s="1">
        <f>IFERROR(__xludf.DUMMYFUNCTION("""COMPUTED_VALUE"""),144.0)</f>
        <v>144</v>
      </c>
      <c r="H153" s="1">
        <f>IFERROR(__xludf.DUMMYFUNCTION("""COMPUTED_VALUE"""),151.0)</f>
        <v>151</v>
      </c>
      <c r="I153" s="1">
        <f>IFERROR(__xludf.DUMMYFUNCTION("""COMPUTED_VALUE"""),140.0)</f>
        <v>140</v>
      </c>
      <c r="J153" s="1">
        <f>IFERROR(__xludf.DUMMYFUNCTION("""COMPUTED_VALUE"""),125.0)</f>
        <v>125</v>
      </c>
      <c r="K153" s="1">
        <f>IFERROR(__xludf.DUMMYFUNCTION("""COMPUTED_VALUE"""),135.0)</f>
        <v>135</v>
      </c>
      <c r="L153" s="1">
        <f>IFERROR(__xludf.DUMMYFUNCTION("""COMPUTED_VALUE"""),135.0)</f>
        <v>135</v>
      </c>
      <c r="M153" s="1">
        <f>IFERROR(__xludf.DUMMYFUNCTION("""COMPUTED_VALUE"""),111.0)</f>
        <v>111</v>
      </c>
      <c r="N153" s="1">
        <f>IFERROR(__xludf.DUMMYFUNCTION("""COMPUTED_VALUE"""),154.0)</f>
        <v>154</v>
      </c>
    </row>
    <row r="154">
      <c r="A154" s="1" t="str">
        <f>vlookup(B154:B457,split_names!A153:B1064,2,0)</f>
        <v>Jaguar</v>
      </c>
      <c r="B154" s="1" t="str">
        <f>IFERROR(__xludf.DUMMYFUNCTION("""COMPUTED_VALUE"""),"Jaguar XF")</f>
        <v>Jaguar XF</v>
      </c>
      <c r="C154" s="1">
        <f>IFERROR(__xludf.DUMMYFUNCTION("""COMPUTED_VALUE"""),67.0)</f>
        <v>67</v>
      </c>
      <c r="D154" s="1">
        <f>IFERROR(__xludf.DUMMYFUNCTION("""COMPUTED_VALUE"""),60.0)</f>
        <v>60</v>
      </c>
      <c r="E154" s="1">
        <f>IFERROR(__xludf.DUMMYFUNCTION("""COMPUTED_VALUE"""),62.0)</f>
        <v>62</v>
      </c>
      <c r="F154" s="1">
        <f>IFERROR(__xludf.DUMMYFUNCTION("""COMPUTED_VALUE"""),29.0)</f>
        <v>29</v>
      </c>
      <c r="G154" s="1">
        <f>IFERROR(__xludf.DUMMYFUNCTION("""COMPUTED_VALUE"""),64.0)</f>
        <v>64</v>
      </c>
      <c r="H154" s="1">
        <f>IFERROR(__xludf.DUMMYFUNCTION("""COMPUTED_VALUE"""),67.0)</f>
        <v>67</v>
      </c>
      <c r="I154" s="1">
        <f>IFERROR(__xludf.DUMMYFUNCTION("""COMPUTED_VALUE"""),70.0)</f>
        <v>70</v>
      </c>
      <c r="J154" s="1">
        <f>IFERROR(__xludf.DUMMYFUNCTION("""COMPUTED_VALUE"""),62.0)</f>
        <v>62</v>
      </c>
      <c r="K154" s="1">
        <f>IFERROR(__xludf.DUMMYFUNCTION("""COMPUTED_VALUE"""),68.0)</f>
        <v>68</v>
      </c>
      <c r="L154" s="1">
        <f>IFERROR(__xludf.DUMMYFUNCTION("""COMPUTED_VALUE"""),67.0)</f>
        <v>67</v>
      </c>
      <c r="M154" s="1">
        <f>IFERROR(__xludf.DUMMYFUNCTION("""COMPUTED_VALUE"""),55.0)</f>
        <v>55</v>
      </c>
      <c r="N154" s="1">
        <f>IFERROR(__xludf.DUMMYFUNCTION("""COMPUTED_VALUE"""),77.0)</f>
        <v>77</v>
      </c>
    </row>
    <row r="155">
      <c r="A155" s="1" t="str">
        <f>vlookup(B155:B458,split_names!A154:B1065,2,0)</f>
        <v>Jaguar</v>
      </c>
      <c r="B155" s="1" t="str">
        <f>IFERROR(__xludf.DUMMYFUNCTION("""COMPUTED_VALUE"""),"Jaguar XJ")</f>
        <v>Jaguar XJ</v>
      </c>
      <c r="C155" s="1">
        <f>IFERROR(__xludf.DUMMYFUNCTION("""COMPUTED_VALUE"""),127.0)</f>
        <v>127</v>
      </c>
      <c r="D155" s="1">
        <f>IFERROR(__xludf.DUMMYFUNCTION("""COMPUTED_VALUE"""),113.0)</f>
        <v>113</v>
      </c>
      <c r="E155" s="1">
        <f>IFERROR(__xludf.DUMMYFUNCTION("""COMPUTED_VALUE"""),117.0)</f>
        <v>117</v>
      </c>
      <c r="F155" s="1">
        <f>IFERROR(__xludf.DUMMYFUNCTION("""COMPUTED_VALUE"""),65.0)</f>
        <v>65</v>
      </c>
      <c r="G155" s="1">
        <f>IFERROR(__xludf.DUMMYFUNCTION("""COMPUTED_VALUE"""),144.0)</f>
        <v>144</v>
      </c>
      <c r="H155" s="1">
        <f>IFERROR(__xludf.DUMMYFUNCTION("""COMPUTED_VALUE"""),151.0)</f>
        <v>151</v>
      </c>
      <c r="I155" s="1">
        <f>IFERROR(__xludf.DUMMYFUNCTION("""COMPUTED_VALUE"""),105.0)</f>
        <v>105</v>
      </c>
      <c r="J155" s="1">
        <f>IFERROR(__xludf.DUMMYFUNCTION("""COMPUTED_VALUE"""),94.0)</f>
        <v>94</v>
      </c>
      <c r="K155" s="1">
        <f>IFERROR(__xludf.DUMMYFUNCTION("""COMPUTED_VALUE"""),101.0)</f>
        <v>101</v>
      </c>
      <c r="L155" s="1">
        <f>IFERROR(__xludf.DUMMYFUNCTION("""COMPUTED_VALUE"""),34.0)</f>
        <v>34</v>
      </c>
      <c r="M155" s="1">
        <f>IFERROR(__xludf.DUMMYFUNCTION("""COMPUTED_VALUE"""),28.0)</f>
        <v>28</v>
      </c>
      <c r="N155" s="1">
        <f>IFERROR(__xludf.DUMMYFUNCTION("""COMPUTED_VALUE"""),39.0)</f>
        <v>39</v>
      </c>
    </row>
    <row r="156">
      <c r="A156" s="1" t="str">
        <f>vlookup(B156:B459,split_names!A155:B1066,2,0)</f>
        <v>Jeep</v>
      </c>
      <c r="B156" s="1" t="str">
        <f>IFERROR(__xludf.DUMMYFUNCTION("""COMPUTED_VALUE"""),"Jeep Cherokee")</f>
        <v>Jeep Cherokee</v>
      </c>
      <c r="C156" s="4">
        <f>IFERROR(__xludf.DUMMYFUNCTION("""COMPUTED_VALUE"""),10938.0)</f>
        <v>10938</v>
      </c>
      <c r="D156" s="4">
        <f>IFERROR(__xludf.DUMMYFUNCTION("""COMPUTED_VALUE"""),14160.0)</f>
        <v>14160</v>
      </c>
      <c r="E156" s="4">
        <f>IFERROR(__xludf.DUMMYFUNCTION("""COMPUTED_VALUE"""),8577.0)</f>
        <v>8577</v>
      </c>
      <c r="F156" s="4">
        <f>IFERROR(__xludf.DUMMYFUNCTION("""COMPUTED_VALUE"""),4187.0)</f>
        <v>4187</v>
      </c>
      <c r="G156" s="4">
        <f>IFERROR(__xludf.DUMMYFUNCTION("""COMPUTED_VALUE"""),9305.0)</f>
        <v>9305</v>
      </c>
      <c r="H156" s="4">
        <f>IFERROR(__xludf.DUMMYFUNCTION("""COMPUTED_VALUE"""),9770.0)</f>
        <v>9770</v>
      </c>
      <c r="I156" s="4">
        <f>IFERROR(__xludf.DUMMYFUNCTION("""COMPUTED_VALUE"""),14370.0)</f>
        <v>14370</v>
      </c>
      <c r="J156" s="4">
        <f>IFERROR(__xludf.DUMMYFUNCTION("""COMPUTED_VALUE"""),12773.0)</f>
        <v>12773</v>
      </c>
      <c r="K156" s="4">
        <f>IFERROR(__xludf.DUMMYFUNCTION("""COMPUTED_VALUE"""),13838.0)</f>
        <v>13838</v>
      </c>
      <c r="L156" s="4">
        <f>IFERROR(__xludf.DUMMYFUNCTION("""COMPUTED_VALUE"""),12798.0)</f>
        <v>12798</v>
      </c>
      <c r="M156" s="4">
        <f>IFERROR(__xludf.DUMMYFUNCTION("""COMPUTED_VALUE"""),10512.0)</f>
        <v>10512</v>
      </c>
      <c r="N156" s="4">
        <f>IFERROR(__xludf.DUMMYFUNCTION("""COMPUTED_VALUE"""),14626.0)</f>
        <v>14626</v>
      </c>
    </row>
    <row r="157">
      <c r="A157" s="1" t="str">
        <f>vlookup(B157:B460,split_names!A156:B1067,2,0)</f>
        <v>Jeep</v>
      </c>
      <c r="B157" s="1" t="str">
        <f>IFERROR(__xludf.DUMMYFUNCTION("""COMPUTED_VALUE"""),"Jeep Compass")</f>
        <v>Jeep Compass</v>
      </c>
      <c r="C157" s="4">
        <f>IFERROR(__xludf.DUMMYFUNCTION("""COMPUTED_VALUE"""),9686.0)</f>
        <v>9686</v>
      </c>
      <c r="D157" s="4">
        <f>IFERROR(__xludf.DUMMYFUNCTION("""COMPUTED_VALUE"""),12539.0)</f>
        <v>12539</v>
      </c>
      <c r="E157" s="4">
        <f>IFERROR(__xludf.DUMMYFUNCTION("""COMPUTED_VALUE"""),7595.0)</f>
        <v>7595</v>
      </c>
      <c r="F157" s="4">
        <f>IFERROR(__xludf.DUMMYFUNCTION("""COMPUTED_VALUE"""),3312.0)</f>
        <v>3312</v>
      </c>
      <c r="G157" s="4">
        <f>IFERROR(__xludf.DUMMYFUNCTION("""COMPUTED_VALUE"""),7360.0)</f>
        <v>7360</v>
      </c>
      <c r="H157" s="4">
        <f>IFERROR(__xludf.DUMMYFUNCTION("""COMPUTED_VALUE"""),7728.0)</f>
        <v>7728</v>
      </c>
      <c r="I157" s="4">
        <f>IFERROR(__xludf.DUMMYFUNCTION("""COMPUTED_VALUE"""),10375.0)</f>
        <v>10375</v>
      </c>
      <c r="J157" s="4">
        <f>IFERROR(__xludf.DUMMYFUNCTION("""COMPUTED_VALUE"""),9222.0)</f>
        <v>9222</v>
      </c>
      <c r="K157" s="4">
        <f>IFERROR(__xludf.DUMMYFUNCTION("""COMPUTED_VALUE"""),9991.0)</f>
        <v>9991</v>
      </c>
      <c r="L157" s="4">
        <f>IFERROR(__xludf.DUMMYFUNCTION("""COMPUTED_VALUE"""),10174.0)</f>
        <v>10174</v>
      </c>
      <c r="M157" s="4">
        <f>IFERROR(__xludf.DUMMYFUNCTION("""COMPUTED_VALUE"""),8358.0)</f>
        <v>8358</v>
      </c>
      <c r="N157" s="4">
        <f>IFERROR(__xludf.DUMMYFUNCTION("""COMPUTED_VALUE"""),11628.0)</f>
        <v>11628</v>
      </c>
    </row>
    <row r="158">
      <c r="A158" s="1" t="str">
        <f>vlookup(B158:B461,split_names!A157:B1068,2,0)</f>
        <v>Jeep</v>
      </c>
      <c r="B158" s="1" t="str">
        <f>IFERROR(__xludf.DUMMYFUNCTION("""COMPUTED_VALUE"""),"Jeep Gladiator")</f>
        <v>Jeep Gladiator</v>
      </c>
      <c r="C158" s="4">
        <f>IFERROR(__xludf.DUMMYFUNCTION("""COMPUTED_VALUE"""),4956.0)</f>
        <v>4956</v>
      </c>
      <c r="D158" s="4">
        <f>IFERROR(__xludf.DUMMYFUNCTION("""COMPUTED_VALUE"""),6416.0)</f>
        <v>6416</v>
      </c>
      <c r="E158" s="4">
        <f>IFERROR(__xludf.DUMMYFUNCTION("""COMPUTED_VALUE"""),3886.0)</f>
        <v>3886</v>
      </c>
      <c r="F158" s="4">
        <f>IFERROR(__xludf.DUMMYFUNCTION("""COMPUTED_VALUE"""),3522.0)</f>
        <v>3522</v>
      </c>
      <c r="G158" s="4">
        <f>IFERROR(__xludf.DUMMYFUNCTION("""COMPUTED_VALUE"""),7827.0)</f>
        <v>7827</v>
      </c>
      <c r="H158" s="4">
        <f>IFERROR(__xludf.DUMMYFUNCTION("""COMPUTED_VALUE"""),8219.0)</f>
        <v>8219</v>
      </c>
      <c r="I158" s="4">
        <f>IFERROR(__xludf.DUMMYFUNCTION("""COMPUTED_VALUE"""),7771.0)</f>
        <v>7771</v>
      </c>
      <c r="J158" s="4">
        <f>IFERROR(__xludf.DUMMYFUNCTION("""COMPUTED_VALUE"""),6908.0)</f>
        <v>6908</v>
      </c>
      <c r="K158" s="4">
        <f>IFERROR(__xludf.DUMMYFUNCTION("""COMPUTED_VALUE"""),7484.0)</f>
        <v>7484</v>
      </c>
      <c r="L158" s="4">
        <f>IFERROR(__xludf.DUMMYFUNCTION("""COMPUTED_VALUE"""),6933.0)</f>
        <v>6933</v>
      </c>
      <c r="M158" s="4">
        <f>IFERROR(__xludf.DUMMYFUNCTION("""COMPUTED_VALUE"""),5695.0)</f>
        <v>5695</v>
      </c>
      <c r="N158" s="4">
        <f>IFERROR(__xludf.DUMMYFUNCTION("""COMPUTED_VALUE"""),7924.0)</f>
        <v>7924</v>
      </c>
    </row>
    <row r="159">
      <c r="A159" s="1" t="str">
        <f>vlookup(B159:B462,split_names!A158:B1069,2,0)</f>
        <v>Jeep</v>
      </c>
      <c r="B159" s="1" t="str">
        <f>IFERROR(__xludf.DUMMYFUNCTION("""COMPUTED_VALUE"""),"Jeep Grand Cherokee")</f>
        <v>Jeep Grand Cherokee</v>
      </c>
      <c r="C159" s="4">
        <f>IFERROR(__xludf.DUMMYFUNCTION("""COMPUTED_VALUE"""),16267.0)</f>
        <v>16267</v>
      </c>
      <c r="D159" s="4">
        <f>IFERROR(__xludf.DUMMYFUNCTION("""COMPUTED_VALUE"""),21060.0)</f>
        <v>21060</v>
      </c>
      <c r="E159" s="4">
        <f>IFERROR(__xludf.DUMMYFUNCTION("""COMPUTED_VALUE"""),12756.0)</f>
        <v>12756</v>
      </c>
      <c r="F159" s="4">
        <f>IFERROR(__xludf.DUMMYFUNCTION("""COMPUTED_VALUE"""),8339.0)</f>
        <v>8339</v>
      </c>
      <c r="G159" s="4">
        <f>IFERROR(__xludf.DUMMYFUNCTION("""COMPUTED_VALUE"""),18530.0)</f>
        <v>18530</v>
      </c>
      <c r="H159" s="4">
        <f>IFERROR(__xludf.DUMMYFUNCTION("""COMPUTED_VALUE"""),19457.0)</f>
        <v>19457</v>
      </c>
      <c r="I159" s="4">
        <f>IFERROR(__xludf.DUMMYFUNCTION("""COMPUTED_VALUE"""),19793.0)</f>
        <v>19793</v>
      </c>
      <c r="J159" s="4">
        <f>IFERROR(__xludf.DUMMYFUNCTION("""COMPUTED_VALUE"""),17594.0)</f>
        <v>17594</v>
      </c>
      <c r="K159" s="4">
        <f>IFERROR(__xludf.DUMMYFUNCTION("""COMPUTED_VALUE"""),19060.0)</f>
        <v>19060</v>
      </c>
      <c r="L159" s="4">
        <f>IFERROR(__xludf.DUMMYFUNCTION("""COMPUTED_VALUE"""),19205.0)</f>
        <v>19205</v>
      </c>
      <c r="M159" s="4">
        <f>IFERROR(__xludf.DUMMYFUNCTION("""COMPUTED_VALUE"""),15776.0)</f>
        <v>15776</v>
      </c>
      <c r="N159" s="4">
        <f>IFERROR(__xludf.DUMMYFUNCTION("""COMPUTED_VALUE"""),21949.0)</f>
        <v>21949</v>
      </c>
    </row>
    <row r="160">
      <c r="A160" s="1" t="str">
        <f>vlookup(B160:B463,split_names!A159:B1070,2,0)</f>
        <v>Jeep</v>
      </c>
      <c r="B160" s="1" t="str">
        <f>IFERROR(__xludf.DUMMYFUNCTION("""COMPUTED_VALUE"""),"Jeep Renegade")</f>
        <v>Jeep Renegade</v>
      </c>
      <c r="C160" s="4">
        <f>IFERROR(__xludf.DUMMYFUNCTION("""COMPUTED_VALUE"""),4600.0)</f>
        <v>4600</v>
      </c>
      <c r="D160" s="4">
        <f>IFERROR(__xludf.DUMMYFUNCTION("""COMPUTED_VALUE"""),5956.0)</f>
        <v>5956</v>
      </c>
      <c r="E160" s="4">
        <f>IFERROR(__xludf.DUMMYFUNCTION("""COMPUTED_VALUE"""),3608.0)</f>
        <v>3608</v>
      </c>
      <c r="F160" s="4">
        <f>IFERROR(__xludf.DUMMYFUNCTION("""COMPUTED_VALUE"""),2285.0)</f>
        <v>2285</v>
      </c>
      <c r="G160" s="4">
        <f>IFERROR(__xludf.DUMMYFUNCTION("""COMPUTED_VALUE"""),5078.0)</f>
        <v>5078</v>
      </c>
      <c r="H160" s="4">
        <f>IFERROR(__xludf.DUMMYFUNCTION("""COMPUTED_VALUE"""),5332.0)</f>
        <v>5332</v>
      </c>
      <c r="I160" s="4">
        <f>IFERROR(__xludf.DUMMYFUNCTION("""COMPUTED_VALUE"""),6649.0)</f>
        <v>6649</v>
      </c>
      <c r="J160" s="4">
        <f>IFERROR(__xludf.DUMMYFUNCTION("""COMPUTED_VALUE"""),5910.0)</f>
        <v>5910</v>
      </c>
      <c r="K160" s="4">
        <f>IFERROR(__xludf.DUMMYFUNCTION("""COMPUTED_VALUE"""),6402.0)</f>
        <v>6402</v>
      </c>
      <c r="L160" s="4">
        <f>IFERROR(__xludf.DUMMYFUNCTION("""COMPUTED_VALUE"""),5744.0)</f>
        <v>5744</v>
      </c>
      <c r="M160" s="4">
        <f>IFERROR(__xludf.DUMMYFUNCTION("""COMPUTED_VALUE"""),4718.0)</f>
        <v>4718</v>
      </c>
      <c r="N160" s="4">
        <f>IFERROR(__xludf.DUMMYFUNCTION("""COMPUTED_VALUE"""),6565.0)</f>
        <v>6565</v>
      </c>
    </row>
    <row r="161">
      <c r="A161" s="1" t="str">
        <f>vlookup(B161:B464,split_names!A160:B1071,2,0)</f>
        <v>Jeep</v>
      </c>
      <c r="B161" s="1" t="str">
        <f>IFERROR(__xludf.DUMMYFUNCTION("""COMPUTED_VALUE"""),"Jeep Wrangler")</f>
        <v>Jeep Wrangler</v>
      </c>
      <c r="C161" s="4">
        <f>IFERROR(__xludf.DUMMYFUNCTION("""COMPUTED_VALUE"""),12884.0)</f>
        <v>12884</v>
      </c>
      <c r="D161" s="4">
        <f>IFERROR(__xludf.DUMMYFUNCTION("""COMPUTED_VALUE"""),16680.0)</f>
        <v>16680</v>
      </c>
      <c r="E161" s="4">
        <f>IFERROR(__xludf.DUMMYFUNCTION("""COMPUTED_VALUE"""),10103.0)</f>
        <v>10103</v>
      </c>
      <c r="F161" s="4">
        <f>IFERROR(__xludf.DUMMYFUNCTION("""COMPUTED_VALUE"""),10163.0)</f>
        <v>10163</v>
      </c>
      <c r="G161" s="4">
        <f>IFERROR(__xludf.DUMMYFUNCTION("""COMPUTED_VALUE"""),22585.0)</f>
        <v>22585</v>
      </c>
      <c r="H161" s="4">
        <f>IFERROR(__xludf.DUMMYFUNCTION("""COMPUTED_VALUE"""),23714.0)</f>
        <v>23714</v>
      </c>
      <c r="I161" s="4">
        <f>IFERROR(__xludf.DUMMYFUNCTION("""COMPUTED_VALUE"""),18960.0)</f>
        <v>18960</v>
      </c>
      <c r="J161" s="4">
        <f>IFERROR(__xludf.DUMMYFUNCTION("""COMPUTED_VALUE"""),16853.0)</f>
        <v>16853</v>
      </c>
      <c r="K161" s="4">
        <f>IFERROR(__xludf.DUMMYFUNCTION("""COMPUTED_VALUE"""),18258.0)</f>
        <v>18258</v>
      </c>
      <c r="L161" s="4">
        <f>IFERROR(__xludf.DUMMYFUNCTION("""COMPUTED_VALUE"""),17242.0)</f>
        <v>17242</v>
      </c>
      <c r="M161" s="4">
        <f>IFERROR(__xludf.DUMMYFUNCTION("""COMPUTED_VALUE"""),14163.0)</f>
        <v>14163</v>
      </c>
      <c r="N161" s="4">
        <f>IFERROR(__xludf.DUMMYFUNCTION("""COMPUTED_VALUE"""),19705.0)</f>
        <v>19705</v>
      </c>
    </row>
    <row r="162">
      <c r="A162" s="1" t="str">
        <f>vlookup(B162:B465,split_names!A161:B1072,2,0)</f>
        <v>Kia</v>
      </c>
      <c r="B162" s="1" t="str">
        <f>IFERROR(__xludf.DUMMYFUNCTION("""COMPUTED_VALUE"""),"Kia Cadenza")</f>
        <v>Kia Cadenza</v>
      </c>
      <c r="C162" s="1">
        <f>IFERROR(__xludf.DUMMYFUNCTION("""COMPUTED_VALUE"""),197.0)</f>
        <v>197</v>
      </c>
      <c r="D162" s="1">
        <f>IFERROR(__xludf.DUMMYFUNCTION("""COMPUTED_VALUE"""),192.0)</f>
        <v>192</v>
      </c>
      <c r="E162" s="1">
        <f>IFERROR(__xludf.DUMMYFUNCTION("""COMPUTED_VALUE"""),96.0)</f>
        <v>96</v>
      </c>
      <c r="F162" s="1">
        <f>IFERROR(__xludf.DUMMYFUNCTION("""COMPUTED_VALUE"""),50.0)</f>
        <v>50</v>
      </c>
      <c r="G162" s="1">
        <f>IFERROR(__xludf.DUMMYFUNCTION("""COMPUTED_VALUE"""),70.0)</f>
        <v>70</v>
      </c>
      <c r="H162" s="1">
        <f>IFERROR(__xludf.DUMMYFUNCTION("""COMPUTED_VALUE"""),65.0)</f>
        <v>65</v>
      </c>
      <c r="I162" s="1">
        <f>IFERROR(__xludf.DUMMYFUNCTION("""COMPUTED_VALUE"""),100.0)</f>
        <v>100</v>
      </c>
      <c r="J162" s="1">
        <f>IFERROR(__xludf.DUMMYFUNCTION("""COMPUTED_VALUE"""),53.0)</f>
        <v>53</v>
      </c>
      <c r="K162" s="1">
        <f>IFERROR(__xludf.DUMMYFUNCTION("""COMPUTED_VALUE"""),99.0)</f>
        <v>99</v>
      </c>
      <c r="L162" s="1">
        <f>IFERROR(__xludf.DUMMYFUNCTION("""COMPUTED_VALUE"""),115.0)</f>
        <v>115</v>
      </c>
      <c r="M162" s="1">
        <f>IFERROR(__xludf.DUMMYFUNCTION("""COMPUTED_VALUE"""),99.0)</f>
        <v>99</v>
      </c>
      <c r="N162" s="1">
        <f>IFERROR(__xludf.DUMMYFUNCTION("""COMPUTED_VALUE"""),129.0)</f>
        <v>129</v>
      </c>
    </row>
    <row r="163">
      <c r="A163" s="1" t="str">
        <f>vlookup(B163:B466,split_names!A162:B1073,2,0)</f>
        <v>Kia</v>
      </c>
      <c r="B163" s="1" t="str">
        <f>IFERROR(__xludf.DUMMYFUNCTION("""COMPUTED_VALUE"""),"Kia Forte")</f>
        <v>Kia Forte</v>
      </c>
      <c r="C163" s="4">
        <f>IFERROR(__xludf.DUMMYFUNCTION("""COMPUTED_VALUE"""),6248.0)</f>
        <v>6248</v>
      </c>
      <c r="D163" s="4">
        <f>IFERROR(__xludf.DUMMYFUNCTION("""COMPUTED_VALUE"""),8513.0)</f>
        <v>8513</v>
      </c>
      <c r="E163" s="4">
        <f>IFERROR(__xludf.DUMMYFUNCTION("""COMPUTED_VALUE"""),7598.0)</f>
        <v>7598</v>
      </c>
      <c r="F163" s="4">
        <f>IFERROR(__xludf.DUMMYFUNCTION("""COMPUTED_VALUE"""),4222.0)</f>
        <v>4222</v>
      </c>
      <c r="G163" s="4">
        <f>IFERROR(__xludf.DUMMYFUNCTION("""COMPUTED_VALUE"""),6603.0)</f>
        <v>6603</v>
      </c>
      <c r="H163" s="4">
        <f>IFERROR(__xludf.DUMMYFUNCTION("""COMPUTED_VALUE"""),6260.0)</f>
        <v>6260</v>
      </c>
      <c r="I163" s="4">
        <f>IFERROR(__xludf.DUMMYFUNCTION("""COMPUTED_VALUE"""),7410.0)</f>
        <v>7410</v>
      </c>
      <c r="J163" s="4">
        <f>IFERROR(__xludf.DUMMYFUNCTION("""COMPUTED_VALUE"""),8414.0)</f>
        <v>8414</v>
      </c>
      <c r="K163" s="4">
        <f>IFERROR(__xludf.DUMMYFUNCTION("""COMPUTED_VALUE"""),7643.0)</f>
        <v>7643</v>
      </c>
      <c r="L163" s="4">
        <f>IFERROR(__xludf.DUMMYFUNCTION("""COMPUTED_VALUE"""),8107.0)</f>
        <v>8107</v>
      </c>
      <c r="M163" s="4">
        <f>IFERROR(__xludf.DUMMYFUNCTION("""COMPUTED_VALUE"""),6860.0)</f>
        <v>6860</v>
      </c>
      <c r="N163" s="4">
        <f>IFERROR(__xludf.DUMMYFUNCTION("""COMPUTED_VALUE"""),7119.0)</f>
        <v>7119</v>
      </c>
    </row>
    <row r="164">
      <c r="A164" s="1" t="str">
        <f>vlookup(B164:B467,split_names!A163:B1074,2,0)</f>
        <v>Kia</v>
      </c>
      <c r="B164" s="1" t="str">
        <f>IFERROR(__xludf.DUMMYFUNCTION("""COMPUTED_VALUE"""),"Kia K5")</f>
        <v>Kia K5</v>
      </c>
      <c r="C164" s="1">
        <f>IFERROR(__xludf.DUMMYFUNCTION("""COMPUTED_VALUE"""),0.0)</f>
        <v>0</v>
      </c>
      <c r="D164" s="1">
        <f>IFERROR(__xludf.DUMMYFUNCTION("""COMPUTED_VALUE"""),0.0)</f>
        <v>0</v>
      </c>
      <c r="E164" s="1">
        <f>IFERROR(__xludf.DUMMYFUNCTION("""COMPUTED_VALUE"""),0.0)</f>
        <v>0</v>
      </c>
      <c r="F164" s="1">
        <f>IFERROR(__xludf.DUMMYFUNCTION("""COMPUTED_VALUE"""),0.0)</f>
        <v>0</v>
      </c>
      <c r="G164" s="1">
        <f>IFERROR(__xludf.DUMMYFUNCTION("""COMPUTED_VALUE"""),0.0)</f>
        <v>0</v>
      </c>
      <c r="H164" s="1">
        <f>IFERROR(__xludf.DUMMYFUNCTION("""COMPUTED_VALUE"""),0.0)</f>
        <v>0</v>
      </c>
      <c r="I164" s="4">
        <f>IFERROR(__xludf.DUMMYFUNCTION("""COMPUTED_VALUE"""),1268.0)</f>
        <v>1268</v>
      </c>
      <c r="J164" s="4">
        <f>IFERROR(__xludf.DUMMYFUNCTION("""COMPUTED_VALUE"""),3631.0)</f>
        <v>3631</v>
      </c>
      <c r="K164" s="4">
        <f>IFERROR(__xludf.DUMMYFUNCTION("""COMPUTED_VALUE"""),5763.0)</f>
        <v>5763</v>
      </c>
      <c r="L164" s="4">
        <f>IFERROR(__xludf.DUMMYFUNCTION("""COMPUTED_VALUE"""),7528.0)</f>
        <v>7528</v>
      </c>
      <c r="M164" s="4">
        <f>IFERROR(__xludf.DUMMYFUNCTION("""COMPUTED_VALUE"""),7437.0)</f>
        <v>7437</v>
      </c>
      <c r="N164" s="4">
        <f>IFERROR(__xludf.DUMMYFUNCTION("""COMPUTED_VALUE"""),6029.0)</f>
        <v>6029</v>
      </c>
    </row>
    <row r="165">
      <c r="A165" s="1" t="str">
        <f>vlookup(B165:B468,split_names!A164:B1075,2,0)</f>
        <v>Kia</v>
      </c>
      <c r="B165" s="1" t="str">
        <f>IFERROR(__xludf.DUMMYFUNCTION("""COMPUTED_VALUE"""),"Kia K900")</f>
        <v>Kia K900</v>
      </c>
      <c r="C165" s="1">
        <f>IFERROR(__xludf.DUMMYFUNCTION("""COMPUTED_VALUE"""),26.0)</f>
        <v>26</v>
      </c>
      <c r="D165" s="1">
        <f>IFERROR(__xludf.DUMMYFUNCTION("""COMPUTED_VALUE"""),23.0)</f>
        <v>23</v>
      </c>
      <c r="E165" s="1">
        <f>IFERROR(__xludf.DUMMYFUNCTION("""COMPUTED_VALUE"""),16.0)</f>
        <v>16</v>
      </c>
      <c r="F165" s="1">
        <f>IFERROR(__xludf.DUMMYFUNCTION("""COMPUTED_VALUE"""),12.0)</f>
        <v>12</v>
      </c>
      <c r="G165" s="1">
        <f>IFERROR(__xludf.DUMMYFUNCTION("""COMPUTED_VALUE"""),25.0)</f>
        <v>25</v>
      </c>
      <c r="H165" s="1">
        <f>IFERROR(__xludf.DUMMYFUNCTION("""COMPUTED_VALUE"""),23.0)</f>
        <v>23</v>
      </c>
      <c r="I165" s="1">
        <f>IFERROR(__xludf.DUMMYFUNCTION("""COMPUTED_VALUE"""),25.0)</f>
        <v>25</v>
      </c>
      <c r="J165" s="1">
        <f>IFERROR(__xludf.DUMMYFUNCTION("""COMPUTED_VALUE"""),34.0)</f>
        <v>34</v>
      </c>
      <c r="K165" s="1">
        <f>IFERROR(__xludf.DUMMYFUNCTION("""COMPUTED_VALUE"""),25.0)</f>
        <v>25</v>
      </c>
      <c r="L165" s="1">
        <f>IFERROR(__xludf.DUMMYFUNCTION("""COMPUTED_VALUE"""),41.0)</f>
        <v>41</v>
      </c>
      <c r="M165" s="1">
        <f>IFERROR(__xludf.DUMMYFUNCTION("""COMPUTED_VALUE"""),22.0)</f>
        <v>22</v>
      </c>
      <c r="N165" s="1">
        <f>IFERROR(__xludf.DUMMYFUNCTION("""COMPUTED_VALUE"""),33.0)</f>
        <v>33</v>
      </c>
    </row>
    <row r="166">
      <c r="A166" s="1" t="str">
        <f>vlookup(B166:B469,split_names!A165:B1076,2,0)</f>
        <v>Kia</v>
      </c>
      <c r="B166" s="1" t="str">
        <f>IFERROR(__xludf.DUMMYFUNCTION("""COMPUTED_VALUE"""),"Kia Niro")</f>
        <v>Kia Niro</v>
      </c>
      <c r="C166" s="4">
        <f>IFERROR(__xludf.DUMMYFUNCTION("""COMPUTED_VALUE"""),1570.0)</f>
        <v>1570</v>
      </c>
      <c r="D166" s="4">
        <f>IFERROR(__xludf.DUMMYFUNCTION("""COMPUTED_VALUE"""),1951.0)</f>
        <v>1951</v>
      </c>
      <c r="E166" s="4">
        <f>IFERROR(__xludf.DUMMYFUNCTION("""COMPUTED_VALUE"""),1454.0)</f>
        <v>1454</v>
      </c>
      <c r="F166" s="1">
        <f>IFERROR(__xludf.DUMMYFUNCTION("""COMPUTED_VALUE"""),774.0)</f>
        <v>774</v>
      </c>
      <c r="G166" s="4">
        <f>IFERROR(__xludf.DUMMYFUNCTION("""COMPUTED_VALUE"""),1318.0)</f>
        <v>1318</v>
      </c>
      <c r="H166" s="4">
        <f>IFERROR(__xludf.DUMMYFUNCTION("""COMPUTED_VALUE"""),1185.0)</f>
        <v>1185</v>
      </c>
      <c r="I166" s="4">
        <f>IFERROR(__xludf.DUMMYFUNCTION("""COMPUTED_VALUE"""),1307.0)</f>
        <v>1307</v>
      </c>
      <c r="J166" s="4">
        <f>IFERROR(__xludf.DUMMYFUNCTION("""COMPUTED_VALUE"""),1991.0)</f>
        <v>1991</v>
      </c>
      <c r="K166" s="4">
        <f>IFERROR(__xludf.DUMMYFUNCTION("""COMPUTED_VALUE"""),1682.0)</f>
        <v>1682</v>
      </c>
      <c r="L166" s="4">
        <f>IFERROR(__xludf.DUMMYFUNCTION("""COMPUTED_VALUE"""),1524.0)</f>
        <v>1524</v>
      </c>
      <c r="M166" s="4">
        <f>IFERROR(__xludf.DUMMYFUNCTION("""COMPUTED_VALUE"""),1144.0)</f>
        <v>1144</v>
      </c>
      <c r="N166" s="4">
        <f>IFERROR(__xludf.DUMMYFUNCTION("""COMPUTED_VALUE"""),1534.0)</f>
        <v>1534</v>
      </c>
    </row>
    <row r="167">
      <c r="A167" s="1" t="str">
        <f>vlookup(B167:B470,split_names!A166:B1077,2,0)</f>
        <v>Kia</v>
      </c>
      <c r="B167" s="1" t="str">
        <f>IFERROR(__xludf.DUMMYFUNCTION("""COMPUTED_VALUE"""),"Kia Optima")</f>
        <v>Kia Optima</v>
      </c>
      <c r="C167" s="4">
        <f>IFERROR(__xludf.DUMMYFUNCTION("""COMPUTED_VALUE"""),6177.0)</f>
        <v>6177</v>
      </c>
      <c r="D167" s="4">
        <f>IFERROR(__xludf.DUMMYFUNCTION("""COMPUTED_VALUE"""),5760.0)</f>
        <v>5760</v>
      </c>
      <c r="E167" s="4">
        <f>IFERROR(__xludf.DUMMYFUNCTION("""COMPUTED_VALUE"""),8408.0)</f>
        <v>8408</v>
      </c>
      <c r="F167" s="4">
        <f>IFERROR(__xludf.DUMMYFUNCTION("""COMPUTED_VALUE"""),6894.0)</f>
        <v>6894</v>
      </c>
      <c r="G167" s="4">
        <f>IFERROR(__xludf.DUMMYFUNCTION("""COMPUTED_VALUE"""),5854.0)</f>
        <v>5854</v>
      </c>
      <c r="H167" s="4">
        <f>IFERROR(__xludf.DUMMYFUNCTION("""COMPUTED_VALUE"""),5732.0)</f>
        <v>5732</v>
      </c>
      <c r="I167" s="4">
        <f>IFERROR(__xludf.DUMMYFUNCTION("""COMPUTED_VALUE"""),4949.0)</f>
        <v>4949</v>
      </c>
      <c r="J167" s="4">
        <f>IFERROR(__xludf.DUMMYFUNCTION("""COMPUTED_VALUE"""),3307.0)</f>
        <v>3307</v>
      </c>
      <c r="K167" s="4">
        <f>IFERROR(__xludf.DUMMYFUNCTION("""COMPUTED_VALUE"""),1020.0)</f>
        <v>1020</v>
      </c>
      <c r="L167" s="1">
        <f>IFERROR(__xludf.DUMMYFUNCTION("""COMPUTED_VALUE"""),255.0)</f>
        <v>255</v>
      </c>
      <c r="M167" s="1">
        <f>IFERROR(__xludf.DUMMYFUNCTION("""COMPUTED_VALUE"""),104.0)</f>
        <v>104</v>
      </c>
      <c r="N167" s="1">
        <f>IFERROR(__xludf.DUMMYFUNCTION("""COMPUTED_VALUE"""),24.0)</f>
        <v>24</v>
      </c>
    </row>
    <row r="168">
      <c r="A168" s="1" t="str">
        <f>vlookup(B168:B471,split_names!A167:B1078,2,0)</f>
        <v>Kia</v>
      </c>
      <c r="B168" s="1" t="str">
        <f>IFERROR(__xludf.DUMMYFUNCTION("""COMPUTED_VALUE"""),"Kia Rio")</f>
        <v>Kia Rio</v>
      </c>
      <c r="C168" s="4">
        <f>IFERROR(__xludf.DUMMYFUNCTION("""COMPUTED_VALUE"""),1628.0)</f>
        <v>1628</v>
      </c>
      <c r="D168" s="4">
        <f>IFERROR(__xludf.DUMMYFUNCTION("""COMPUTED_VALUE"""),3082.0)</f>
        <v>3082</v>
      </c>
      <c r="E168" s="4">
        <f>IFERROR(__xludf.DUMMYFUNCTION("""COMPUTED_VALUE"""),2135.0)</f>
        <v>2135</v>
      </c>
      <c r="F168" s="4">
        <f>IFERROR(__xludf.DUMMYFUNCTION("""COMPUTED_VALUE"""),1436.0)</f>
        <v>1436</v>
      </c>
      <c r="G168" s="4">
        <f>IFERROR(__xludf.DUMMYFUNCTION("""COMPUTED_VALUE"""),1760.0)</f>
        <v>1760</v>
      </c>
      <c r="H168" s="4">
        <f>IFERROR(__xludf.DUMMYFUNCTION("""COMPUTED_VALUE"""),1706.0)</f>
        <v>1706</v>
      </c>
      <c r="I168" s="4">
        <f>IFERROR(__xludf.DUMMYFUNCTION("""COMPUTED_VALUE"""),2056.0)</f>
        <v>2056</v>
      </c>
      <c r="J168" s="4">
        <f>IFERROR(__xludf.DUMMYFUNCTION("""COMPUTED_VALUE"""),2097.0)</f>
        <v>2097</v>
      </c>
      <c r="K168" s="4">
        <f>IFERROR(__xludf.DUMMYFUNCTION("""COMPUTED_VALUE"""),2143.0)</f>
        <v>2143</v>
      </c>
      <c r="L168" s="4">
        <f>IFERROR(__xludf.DUMMYFUNCTION("""COMPUTED_VALUE"""),2104.0)</f>
        <v>2104</v>
      </c>
      <c r="M168" s="4">
        <f>IFERROR(__xludf.DUMMYFUNCTION("""COMPUTED_VALUE"""),1728.0)</f>
        <v>1728</v>
      </c>
      <c r="N168" s="4">
        <f>IFERROR(__xludf.DUMMYFUNCTION("""COMPUTED_VALUE"""),2052.0)</f>
        <v>2052</v>
      </c>
    </row>
    <row r="169">
      <c r="A169" s="1" t="str">
        <f>vlookup(B169:B472,split_names!A168:B1079,2,0)</f>
        <v>Kia</v>
      </c>
      <c r="B169" s="1" t="str">
        <f>IFERROR(__xludf.DUMMYFUNCTION("""COMPUTED_VALUE"""),"Kia Sedona")</f>
        <v>Kia Sedona</v>
      </c>
      <c r="C169" s="4">
        <f>IFERROR(__xludf.DUMMYFUNCTION("""COMPUTED_VALUE"""),1012.0)</f>
        <v>1012</v>
      </c>
      <c r="D169" s="4">
        <f>IFERROR(__xludf.DUMMYFUNCTION("""COMPUTED_VALUE"""),1416.0)</f>
        <v>1416</v>
      </c>
      <c r="E169" s="4">
        <f>IFERROR(__xludf.DUMMYFUNCTION("""COMPUTED_VALUE"""),1180.0)</f>
        <v>1180</v>
      </c>
      <c r="F169" s="1">
        <f>IFERROR(__xludf.DUMMYFUNCTION("""COMPUTED_VALUE"""),705.0)</f>
        <v>705</v>
      </c>
      <c r="G169" s="4">
        <f>IFERROR(__xludf.DUMMYFUNCTION("""COMPUTED_VALUE"""),1482.0)</f>
        <v>1482</v>
      </c>
      <c r="H169" s="4">
        <f>IFERROR(__xludf.DUMMYFUNCTION("""COMPUTED_VALUE"""),1219.0)</f>
        <v>1219</v>
      </c>
      <c r="I169" s="4">
        <f>IFERROR(__xludf.DUMMYFUNCTION("""COMPUTED_VALUE"""),1036.0)</f>
        <v>1036</v>
      </c>
      <c r="J169" s="4">
        <f>IFERROR(__xludf.DUMMYFUNCTION("""COMPUTED_VALUE"""),1036.0)</f>
        <v>1036</v>
      </c>
      <c r="K169" s="4">
        <f>IFERROR(__xludf.DUMMYFUNCTION("""COMPUTED_VALUE"""),1045.0)</f>
        <v>1045</v>
      </c>
      <c r="L169" s="4">
        <f>IFERROR(__xludf.DUMMYFUNCTION("""COMPUTED_VALUE"""),1029.0)</f>
        <v>1029</v>
      </c>
      <c r="M169" s="1">
        <f>IFERROR(__xludf.DUMMYFUNCTION("""COMPUTED_VALUE"""),797.0)</f>
        <v>797</v>
      </c>
      <c r="N169" s="4">
        <f>IFERROR(__xludf.DUMMYFUNCTION("""COMPUTED_VALUE"""),1233.0)</f>
        <v>1233</v>
      </c>
    </row>
    <row r="170">
      <c r="A170" s="1" t="str">
        <f>vlookup(B170:B473,split_names!A169:B1080,2,0)</f>
        <v>Kia</v>
      </c>
      <c r="B170" s="1" t="str">
        <f>IFERROR(__xludf.DUMMYFUNCTION("""COMPUTED_VALUE"""),"Kia Seltos")</f>
        <v>Kia Seltos</v>
      </c>
      <c r="C170" s="1">
        <f>IFERROR(__xludf.DUMMYFUNCTION("""COMPUTED_VALUE"""),94.0)</f>
        <v>94</v>
      </c>
      <c r="D170" s="4">
        <f>IFERROR(__xludf.DUMMYFUNCTION("""COMPUTED_VALUE"""),2798.0)</f>
        <v>2798</v>
      </c>
      <c r="E170" s="4">
        <f>IFERROR(__xludf.DUMMYFUNCTION("""COMPUTED_VALUE"""),2160.0)</f>
        <v>2160</v>
      </c>
      <c r="F170" s="4">
        <f>IFERROR(__xludf.DUMMYFUNCTION("""COMPUTED_VALUE"""),1839.0)</f>
        <v>1839</v>
      </c>
      <c r="G170" s="4">
        <f>IFERROR(__xludf.DUMMYFUNCTION("""COMPUTED_VALUE"""),3551.0)</f>
        <v>3551</v>
      </c>
      <c r="H170" s="4">
        <f>IFERROR(__xludf.DUMMYFUNCTION("""COMPUTED_VALUE"""),3636.0)</f>
        <v>3636</v>
      </c>
      <c r="I170" s="4">
        <f>IFERROR(__xludf.DUMMYFUNCTION("""COMPUTED_VALUE"""),4504.0)</f>
        <v>4504</v>
      </c>
      <c r="J170" s="4">
        <f>IFERROR(__xludf.DUMMYFUNCTION("""COMPUTED_VALUE"""),5314.0)</f>
        <v>5314</v>
      </c>
      <c r="K170" s="4">
        <f>IFERROR(__xludf.DUMMYFUNCTION("""COMPUTED_VALUE"""),5613.0)</f>
        <v>5613</v>
      </c>
      <c r="L170" s="4">
        <f>IFERROR(__xludf.DUMMYFUNCTION("""COMPUTED_VALUE"""),5542.0)</f>
        <v>5542</v>
      </c>
      <c r="M170" s="4">
        <f>IFERROR(__xludf.DUMMYFUNCTION("""COMPUTED_VALUE"""),5122.0)</f>
        <v>5122</v>
      </c>
      <c r="N170" s="4">
        <f>IFERROR(__xludf.DUMMYFUNCTION("""COMPUTED_VALUE"""),6107.0)</f>
        <v>6107</v>
      </c>
    </row>
    <row r="171">
      <c r="A171" s="1" t="str">
        <f>vlookup(B171:B474,split_names!A170:B1081,2,0)</f>
        <v>Kia</v>
      </c>
      <c r="B171" s="1" t="str">
        <f>IFERROR(__xludf.DUMMYFUNCTION("""COMPUTED_VALUE"""),"Kia Sorento")</f>
        <v>Kia Sorento</v>
      </c>
      <c r="C171" s="4">
        <f>IFERROR(__xludf.DUMMYFUNCTION("""COMPUTED_VALUE"""),5470.0)</f>
        <v>5470</v>
      </c>
      <c r="D171" s="4">
        <f>IFERROR(__xludf.DUMMYFUNCTION("""COMPUTED_VALUE"""),6875.0)</f>
        <v>6875</v>
      </c>
      <c r="E171" s="4">
        <f>IFERROR(__xludf.DUMMYFUNCTION("""COMPUTED_VALUE"""),5710.0)</f>
        <v>5710</v>
      </c>
      <c r="F171" s="4">
        <f>IFERROR(__xludf.DUMMYFUNCTION("""COMPUTED_VALUE"""),4286.0)</f>
        <v>4286</v>
      </c>
      <c r="G171" s="4">
        <f>IFERROR(__xludf.DUMMYFUNCTION("""COMPUTED_VALUE"""),7262.0)</f>
        <v>7262</v>
      </c>
      <c r="H171" s="4">
        <f>IFERROR(__xludf.DUMMYFUNCTION("""COMPUTED_VALUE"""),8193.0)</f>
        <v>8193</v>
      </c>
      <c r="I171" s="4">
        <f>IFERROR(__xludf.DUMMYFUNCTION("""COMPUTED_VALUE"""),8008.0)</f>
        <v>8008</v>
      </c>
      <c r="J171" s="4">
        <f>IFERROR(__xludf.DUMMYFUNCTION("""COMPUTED_VALUE"""),7809.0)</f>
        <v>7809</v>
      </c>
      <c r="K171" s="4">
        <f>IFERROR(__xludf.DUMMYFUNCTION("""COMPUTED_VALUE"""),6879.0)</f>
        <v>6879</v>
      </c>
      <c r="L171" s="4">
        <f>IFERROR(__xludf.DUMMYFUNCTION("""COMPUTED_VALUE"""),5832.0)</f>
        <v>5832</v>
      </c>
      <c r="M171" s="4">
        <f>IFERROR(__xludf.DUMMYFUNCTION("""COMPUTED_VALUE"""),2938.0)</f>
        <v>2938</v>
      </c>
      <c r="N171" s="4">
        <f>IFERROR(__xludf.DUMMYFUNCTION("""COMPUTED_VALUE"""),5415.0)</f>
        <v>5415</v>
      </c>
    </row>
    <row r="172">
      <c r="A172" s="1" t="str">
        <f>vlookup(B172:B475,split_names!A171:B1082,2,0)</f>
        <v>Kia</v>
      </c>
      <c r="B172" s="1" t="str">
        <f>IFERROR(__xludf.DUMMYFUNCTION("""COMPUTED_VALUE"""),"Kia Soul")</f>
        <v>Kia Soul</v>
      </c>
      <c r="C172" s="4">
        <f>IFERROR(__xludf.DUMMYFUNCTION("""COMPUTED_VALUE"""),5530.0)</f>
        <v>5530</v>
      </c>
      <c r="D172" s="4">
        <f>IFERROR(__xludf.DUMMYFUNCTION("""COMPUTED_VALUE"""),5816.0)</f>
        <v>5816</v>
      </c>
      <c r="E172" s="4">
        <f>IFERROR(__xludf.DUMMYFUNCTION("""COMPUTED_VALUE"""),5367.0)</f>
        <v>5367</v>
      </c>
      <c r="F172" s="4">
        <f>IFERROR(__xludf.DUMMYFUNCTION("""COMPUTED_VALUE"""),3565.0)</f>
        <v>3565</v>
      </c>
      <c r="G172" s="4">
        <f>IFERROR(__xludf.DUMMYFUNCTION("""COMPUTED_VALUE"""),6234.0)</f>
        <v>6234</v>
      </c>
      <c r="H172" s="4">
        <f>IFERROR(__xludf.DUMMYFUNCTION("""COMPUTED_VALUE"""),7439.0)</f>
        <v>7439</v>
      </c>
      <c r="I172" s="4">
        <f>IFERROR(__xludf.DUMMYFUNCTION("""COMPUTED_VALUE"""),7622.0)</f>
        <v>7622</v>
      </c>
      <c r="J172" s="4">
        <f>IFERROR(__xludf.DUMMYFUNCTION("""COMPUTED_VALUE"""),6968.0)</f>
        <v>6968</v>
      </c>
      <c r="K172" s="4">
        <f>IFERROR(__xludf.DUMMYFUNCTION("""COMPUTED_VALUE"""),6700.0)</f>
        <v>6700</v>
      </c>
      <c r="L172" s="4">
        <f>IFERROR(__xludf.DUMMYFUNCTION("""COMPUTED_VALUE"""),6318.0)</f>
        <v>6318</v>
      </c>
      <c r="M172" s="4">
        <f>IFERROR(__xludf.DUMMYFUNCTION("""COMPUTED_VALUE"""),4767.0)</f>
        <v>4767</v>
      </c>
      <c r="N172" s="4">
        <f>IFERROR(__xludf.DUMMYFUNCTION("""COMPUTED_VALUE"""),5446.0)</f>
        <v>5446</v>
      </c>
    </row>
    <row r="173">
      <c r="A173" s="1" t="str">
        <f>vlookup(B173:B476,split_names!A172:B1083,2,0)</f>
        <v>Kia</v>
      </c>
      <c r="B173" s="1" t="str">
        <f>IFERROR(__xludf.DUMMYFUNCTION("""COMPUTED_VALUE"""),"Kia Sportage")</f>
        <v>Kia Sportage</v>
      </c>
      <c r="C173" s="4">
        <f>IFERROR(__xludf.DUMMYFUNCTION("""COMPUTED_VALUE"""),6741.0)</f>
        <v>6741</v>
      </c>
      <c r="D173" s="4">
        <f>IFERROR(__xludf.DUMMYFUNCTION("""COMPUTED_VALUE"""),7934.0)</f>
        <v>7934</v>
      </c>
      <c r="E173" s="4">
        <f>IFERROR(__xludf.DUMMYFUNCTION("""COMPUTED_VALUE"""),5382.0)</f>
        <v>5382</v>
      </c>
      <c r="F173" s="4">
        <f>IFERROR(__xludf.DUMMYFUNCTION("""COMPUTED_VALUE"""),3964.0)</f>
        <v>3964</v>
      </c>
      <c r="G173" s="4">
        <f>IFERROR(__xludf.DUMMYFUNCTION("""COMPUTED_VALUE"""),7576.0)</f>
        <v>7576</v>
      </c>
      <c r="H173" s="4">
        <f>IFERROR(__xludf.DUMMYFUNCTION("""COMPUTED_VALUE"""),8021.0)</f>
        <v>8021</v>
      </c>
      <c r="I173" s="4">
        <f>IFERROR(__xludf.DUMMYFUNCTION("""COMPUTED_VALUE"""),7945.0)</f>
        <v>7945</v>
      </c>
      <c r="J173" s="4">
        <f>IFERROR(__xludf.DUMMYFUNCTION("""COMPUTED_VALUE"""),7672.0)</f>
        <v>7672</v>
      </c>
      <c r="K173" s="4">
        <f>IFERROR(__xludf.DUMMYFUNCTION("""COMPUTED_VALUE"""),7165.0)</f>
        <v>7165</v>
      </c>
      <c r="L173" s="4">
        <f>IFERROR(__xludf.DUMMYFUNCTION("""COMPUTED_VALUE"""),6989.0)</f>
        <v>6989</v>
      </c>
      <c r="M173" s="4">
        <f>IFERROR(__xludf.DUMMYFUNCTION("""COMPUTED_VALUE"""),7039.0)</f>
        <v>7039</v>
      </c>
      <c r="N173" s="4">
        <f>IFERROR(__xludf.DUMMYFUNCTION("""COMPUTED_VALUE"""),7915.0)</f>
        <v>7915</v>
      </c>
    </row>
    <row r="174">
      <c r="A174" s="1" t="str">
        <f>vlookup(B174:B477,split_names!A173:B1084,2,0)</f>
        <v>Kia</v>
      </c>
      <c r="B174" s="1" t="str">
        <f>IFERROR(__xludf.DUMMYFUNCTION("""COMPUTED_VALUE"""),"Kia Stinger")</f>
        <v>Kia Stinger</v>
      </c>
      <c r="C174" s="1">
        <f>IFERROR(__xludf.DUMMYFUNCTION("""COMPUTED_VALUE"""),743.0)</f>
        <v>743</v>
      </c>
      <c r="D174" s="4">
        <f>IFERROR(__xludf.DUMMYFUNCTION("""COMPUTED_VALUE"""),1063.0)</f>
        <v>1063</v>
      </c>
      <c r="E174" s="1">
        <f>IFERROR(__xludf.DUMMYFUNCTION("""COMPUTED_VALUE"""),754.0)</f>
        <v>754</v>
      </c>
      <c r="F174" s="1">
        <f>IFERROR(__xludf.DUMMYFUNCTION("""COMPUTED_VALUE"""),871.0)</f>
        <v>871</v>
      </c>
      <c r="G174" s="4">
        <f>IFERROR(__xludf.DUMMYFUNCTION("""COMPUTED_VALUE"""),1393.0)</f>
        <v>1393</v>
      </c>
      <c r="H174" s="4">
        <f>IFERROR(__xludf.DUMMYFUNCTION("""COMPUTED_VALUE"""),1527.0)</f>
        <v>1527</v>
      </c>
      <c r="I174" s="4">
        <f>IFERROR(__xludf.DUMMYFUNCTION("""COMPUTED_VALUE"""),1427.0)</f>
        <v>1427</v>
      </c>
      <c r="J174" s="4">
        <f>IFERROR(__xludf.DUMMYFUNCTION("""COMPUTED_VALUE"""),1101.0)</f>
        <v>1101</v>
      </c>
      <c r="K174" s="1">
        <f>IFERROR(__xludf.DUMMYFUNCTION("""COMPUTED_VALUE"""),913.0)</f>
        <v>913</v>
      </c>
      <c r="L174" s="4">
        <f>IFERROR(__xludf.DUMMYFUNCTION("""COMPUTED_VALUE"""),1013.0)</f>
        <v>1013</v>
      </c>
      <c r="M174" s="1">
        <f>IFERROR(__xludf.DUMMYFUNCTION("""COMPUTED_VALUE"""),847.0)</f>
        <v>847</v>
      </c>
      <c r="N174" s="1">
        <f>IFERROR(__xludf.DUMMYFUNCTION("""COMPUTED_VALUE"""),904.0)</f>
        <v>904</v>
      </c>
    </row>
    <row r="175">
      <c r="A175" s="1" t="str">
        <f>vlookup(B175:B478,split_names!A174:B1085,2,0)</f>
        <v>Kia</v>
      </c>
      <c r="B175" s="1" t="str">
        <f>IFERROR(__xludf.DUMMYFUNCTION("""COMPUTED_VALUE"""),"Kia Telluride")</f>
        <v>Kia Telluride</v>
      </c>
      <c r="C175" s="4">
        <f>IFERROR(__xludf.DUMMYFUNCTION("""COMPUTED_VALUE"""),4919.0)</f>
        <v>4919</v>
      </c>
      <c r="D175" s="4">
        <f>IFERROR(__xludf.DUMMYFUNCTION("""COMPUTED_VALUE"""),6754.0)</f>
        <v>6754</v>
      </c>
      <c r="E175" s="4">
        <f>IFERROR(__xludf.DUMMYFUNCTION("""COMPUTED_VALUE"""),5153.0)</f>
        <v>5153</v>
      </c>
      <c r="F175" s="4">
        <f>IFERROR(__xludf.DUMMYFUNCTION("""COMPUTED_VALUE"""),3087.0)</f>
        <v>3087</v>
      </c>
      <c r="G175" s="4">
        <f>IFERROR(__xludf.DUMMYFUNCTION("""COMPUTED_VALUE"""),2599.0)</f>
        <v>2599</v>
      </c>
      <c r="H175" s="4">
        <f>IFERROR(__xludf.DUMMYFUNCTION("""COMPUTED_VALUE"""),2864.0)</f>
        <v>2864</v>
      </c>
      <c r="I175" s="4">
        <f>IFERROR(__xludf.DUMMYFUNCTION("""COMPUTED_VALUE"""),4822.0)</f>
        <v>4822</v>
      </c>
      <c r="J175" s="4">
        <f>IFERROR(__xludf.DUMMYFUNCTION("""COMPUTED_VALUE"""),7588.0)</f>
        <v>7588</v>
      </c>
      <c r="K175" s="4">
        <f>IFERROR(__xludf.DUMMYFUNCTION("""COMPUTED_VALUE"""),8829.0)</f>
        <v>8829</v>
      </c>
      <c r="L175" s="4">
        <f>IFERROR(__xludf.DUMMYFUNCTION("""COMPUTED_VALUE"""),9687.0)</f>
        <v>9687</v>
      </c>
      <c r="M175" s="4">
        <f>IFERROR(__xludf.DUMMYFUNCTION("""COMPUTED_VALUE"""),8993.0)</f>
        <v>8993</v>
      </c>
      <c r="N175" s="4">
        <f>IFERROR(__xludf.DUMMYFUNCTION("""COMPUTED_VALUE"""),9824.0)</f>
        <v>9824</v>
      </c>
    </row>
    <row r="176">
      <c r="A176" s="1" t="str">
        <f>vlookup(B176:B479,split_names!A175:B1086,2,0)</f>
        <v>Land</v>
      </c>
      <c r="B176" s="1" t="str">
        <f>IFERROR(__xludf.DUMMYFUNCTION("""COMPUTED_VALUE"""),"Land Rover Defender")</f>
        <v>Land Rover Defender</v>
      </c>
      <c r="C176" s="1">
        <f>IFERROR(__xludf.DUMMYFUNCTION("""COMPUTED_VALUE"""),0.0)</f>
        <v>0</v>
      </c>
      <c r="D176" s="1">
        <f>IFERROR(__xludf.DUMMYFUNCTION("""COMPUTED_VALUE"""),0.0)</f>
        <v>0</v>
      </c>
      <c r="E176" s="1">
        <f>IFERROR(__xludf.DUMMYFUNCTION("""COMPUTED_VALUE"""),0.0)</f>
        <v>0</v>
      </c>
      <c r="F176" s="1">
        <f>IFERROR(__xludf.DUMMYFUNCTION("""COMPUTED_VALUE"""),108.0)</f>
        <v>108</v>
      </c>
      <c r="G176" s="1">
        <f>IFERROR(__xludf.DUMMYFUNCTION("""COMPUTED_VALUE"""),240.0)</f>
        <v>240</v>
      </c>
      <c r="H176" s="1">
        <f>IFERROR(__xludf.DUMMYFUNCTION("""COMPUTED_VALUE"""),252.0)</f>
        <v>252</v>
      </c>
      <c r="I176" s="1">
        <f>IFERROR(__xludf.DUMMYFUNCTION("""COMPUTED_VALUE"""),456.0)</f>
        <v>456</v>
      </c>
      <c r="J176" s="1">
        <f>IFERROR(__xludf.DUMMYFUNCTION("""COMPUTED_VALUE"""),405.0)</f>
        <v>405</v>
      </c>
      <c r="K176" s="1">
        <f>IFERROR(__xludf.DUMMYFUNCTION("""COMPUTED_VALUE"""),439.0)</f>
        <v>439</v>
      </c>
      <c r="L176" s="4">
        <f>IFERROR(__xludf.DUMMYFUNCTION("""COMPUTED_VALUE"""),2429.0)</f>
        <v>2429</v>
      </c>
      <c r="M176" s="4">
        <f>IFERROR(__xludf.DUMMYFUNCTION("""COMPUTED_VALUE"""),1995.0)</f>
        <v>1995</v>
      </c>
      <c r="N176" s="4">
        <f>IFERROR(__xludf.DUMMYFUNCTION("""COMPUTED_VALUE"""),2776.0)</f>
        <v>2776</v>
      </c>
    </row>
    <row r="177">
      <c r="A177" s="1" t="str">
        <f>vlookup(B177:B480,split_names!A176:B1087,2,0)</f>
        <v>Land</v>
      </c>
      <c r="B177" s="1" t="str">
        <f>IFERROR(__xludf.DUMMYFUNCTION("""COMPUTED_VALUE"""),"Land Rover Discovery / LR4")</f>
        <v>Land Rover Discovery / LR4</v>
      </c>
      <c r="C177" s="1">
        <f>IFERROR(__xludf.DUMMYFUNCTION("""COMPUTED_VALUE"""),821.0)</f>
        <v>821</v>
      </c>
      <c r="D177" s="1">
        <f>IFERROR(__xludf.DUMMYFUNCTION("""COMPUTED_VALUE"""),730.0)</f>
        <v>730</v>
      </c>
      <c r="E177" s="1">
        <f>IFERROR(__xludf.DUMMYFUNCTION("""COMPUTED_VALUE"""),760.0)</f>
        <v>760</v>
      </c>
      <c r="F177" s="1">
        <f>IFERROR(__xludf.DUMMYFUNCTION("""COMPUTED_VALUE"""),234.0)</f>
        <v>234</v>
      </c>
      <c r="G177" s="1">
        <f>IFERROR(__xludf.DUMMYFUNCTION("""COMPUTED_VALUE"""),520.0)</f>
        <v>520</v>
      </c>
      <c r="H177" s="1">
        <f>IFERROR(__xludf.DUMMYFUNCTION("""COMPUTED_VALUE"""),546.0)</f>
        <v>546</v>
      </c>
      <c r="I177" s="1">
        <f>IFERROR(__xludf.DUMMYFUNCTION("""COMPUTED_VALUE"""),421.0)</f>
        <v>421</v>
      </c>
      <c r="J177" s="1">
        <f>IFERROR(__xludf.DUMMYFUNCTION("""COMPUTED_VALUE"""),374.0)</f>
        <v>374</v>
      </c>
      <c r="K177" s="1">
        <f>IFERROR(__xludf.DUMMYFUNCTION("""COMPUTED_VALUE"""),405.0)</f>
        <v>405</v>
      </c>
      <c r="L177" s="1">
        <f>IFERROR(__xludf.DUMMYFUNCTION("""COMPUTED_VALUE"""),337.0)</f>
        <v>337</v>
      </c>
      <c r="M177" s="1">
        <f>IFERROR(__xludf.DUMMYFUNCTION("""COMPUTED_VALUE"""),277.0)</f>
        <v>277</v>
      </c>
      <c r="N177" s="1">
        <f>IFERROR(__xludf.DUMMYFUNCTION("""COMPUTED_VALUE"""),386.0)</f>
        <v>386</v>
      </c>
    </row>
    <row r="178">
      <c r="A178" s="1" t="str">
        <f>vlookup(B178:B481,split_names!A177:B1088,2,0)</f>
        <v>Land</v>
      </c>
      <c r="B178" s="1" t="str">
        <f>IFERROR(__xludf.DUMMYFUNCTION("""COMPUTED_VALUE"""),"Land Rover Discovery Sport")</f>
        <v>Land Rover Discovery Sport</v>
      </c>
      <c r="C178" s="1">
        <f>IFERROR(__xludf.DUMMYFUNCTION("""COMPUTED_VALUE"""),874.0)</f>
        <v>874</v>
      </c>
      <c r="D178" s="1">
        <f>IFERROR(__xludf.DUMMYFUNCTION("""COMPUTED_VALUE"""),777.0)</f>
        <v>777</v>
      </c>
      <c r="E178" s="1">
        <f>IFERROR(__xludf.DUMMYFUNCTION("""COMPUTED_VALUE"""),809.0)</f>
        <v>809</v>
      </c>
      <c r="F178" s="1">
        <f>IFERROR(__xludf.DUMMYFUNCTION("""COMPUTED_VALUE"""),252.0)</f>
        <v>252</v>
      </c>
      <c r="G178" s="1">
        <f>IFERROR(__xludf.DUMMYFUNCTION("""COMPUTED_VALUE"""),560.0)</f>
        <v>560</v>
      </c>
      <c r="H178" s="1">
        <f>IFERROR(__xludf.DUMMYFUNCTION("""COMPUTED_VALUE"""),588.0)</f>
        <v>588</v>
      </c>
      <c r="I178" s="1">
        <f>IFERROR(__xludf.DUMMYFUNCTION("""COMPUTED_VALUE"""),701.0)</f>
        <v>701</v>
      </c>
      <c r="J178" s="1">
        <f>IFERROR(__xludf.DUMMYFUNCTION("""COMPUTED_VALUE"""),623.0)</f>
        <v>623</v>
      </c>
      <c r="K178" s="1">
        <f>IFERROR(__xludf.DUMMYFUNCTION("""COMPUTED_VALUE"""),675.0)</f>
        <v>675</v>
      </c>
      <c r="L178" s="1">
        <f>IFERROR(__xludf.DUMMYFUNCTION("""COMPUTED_VALUE"""),641.0)</f>
        <v>641</v>
      </c>
      <c r="M178" s="1">
        <f>IFERROR(__xludf.DUMMYFUNCTION("""COMPUTED_VALUE"""),527.0)</f>
        <v>527</v>
      </c>
      <c r="N178" s="1">
        <f>IFERROR(__xludf.DUMMYFUNCTION("""COMPUTED_VALUE"""),733.0)</f>
        <v>733</v>
      </c>
    </row>
    <row r="179">
      <c r="A179" s="1" t="str">
        <f>vlookup(B179:B482,split_names!A178:B1089,2,0)</f>
        <v>Land</v>
      </c>
      <c r="B179" s="1" t="str">
        <f>IFERROR(__xludf.DUMMYFUNCTION("""COMPUTED_VALUE"""),"Land Rover Range Rover")</f>
        <v>Land Rover Range Rover</v>
      </c>
      <c r="C179" s="4">
        <f>IFERROR(__xludf.DUMMYFUNCTION("""COMPUTED_VALUE"""),1486.0)</f>
        <v>1486</v>
      </c>
      <c r="D179" s="4">
        <f>IFERROR(__xludf.DUMMYFUNCTION("""COMPUTED_VALUE"""),1321.0)</f>
        <v>1321</v>
      </c>
      <c r="E179" s="4">
        <f>IFERROR(__xludf.DUMMYFUNCTION("""COMPUTED_VALUE"""),1376.0)</f>
        <v>1376</v>
      </c>
      <c r="F179" s="1">
        <f>IFERROR(__xludf.DUMMYFUNCTION("""COMPUTED_VALUE"""),504.0)</f>
        <v>504</v>
      </c>
      <c r="G179" s="4">
        <f>IFERROR(__xludf.DUMMYFUNCTION("""COMPUTED_VALUE"""),1120.0)</f>
        <v>1120</v>
      </c>
      <c r="H179" s="4">
        <f>IFERROR(__xludf.DUMMYFUNCTION("""COMPUTED_VALUE"""),1176.0)</f>
        <v>1176</v>
      </c>
      <c r="I179" s="4">
        <f>IFERROR(__xludf.DUMMYFUNCTION("""COMPUTED_VALUE"""),1052.0)</f>
        <v>1052</v>
      </c>
      <c r="J179" s="1">
        <f>IFERROR(__xludf.DUMMYFUNCTION("""COMPUTED_VALUE"""),935.0)</f>
        <v>935</v>
      </c>
      <c r="K179" s="4">
        <f>IFERROR(__xludf.DUMMYFUNCTION("""COMPUTED_VALUE"""),1013.0)</f>
        <v>1013</v>
      </c>
      <c r="L179" s="4">
        <f>IFERROR(__xludf.DUMMYFUNCTION("""COMPUTED_VALUE"""),1349.0)</f>
        <v>1349</v>
      </c>
      <c r="M179" s="4">
        <f>IFERROR(__xludf.DUMMYFUNCTION("""COMPUTED_VALUE"""),1108.0)</f>
        <v>1108</v>
      </c>
      <c r="N179" s="4">
        <f>IFERROR(__xludf.DUMMYFUNCTION("""COMPUTED_VALUE"""),1542.0)</f>
        <v>1542</v>
      </c>
    </row>
    <row r="180">
      <c r="A180" s="1" t="str">
        <f>vlookup(B180:B483,split_names!A179:B1090,2,0)</f>
        <v>Land</v>
      </c>
      <c r="B180" s="1" t="str">
        <f>IFERROR(__xludf.DUMMYFUNCTION("""COMPUTED_VALUE"""),"Land Rover Range Rover Evoque")</f>
        <v>Land Rover Range Rover Evoque</v>
      </c>
      <c r="C180" s="4">
        <f>IFERROR(__xludf.DUMMYFUNCTION("""COMPUTED_VALUE"""),1389.0)</f>
        <v>1389</v>
      </c>
      <c r="D180" s="4">
        <f>IFERROR(__xludf.DUMMYFUNCTION("""COMPUTED_VALUE"""),1235.0)</f>
        <v>1235</v>
      </c>
      <c r="E180" s="4">
        <f>IFERROR(__xludf.DUMMYFUNCTION("""COMPUTED_VALUE"""),1287.0)</f>
        <v>1287</v>
      </c>
      <c r="F180" s="1">
        <f>IFERROR(__xludf.DUMMYFUNCTION("""COMPUTED_VALUE"""),378.0)</f>
        <v>378</v>
      </c>
      <c r="G180" s="1">
        <f>IFERROR(__xludf.DUMMYFUNCTION("""COMPUTED_VALUE"""),840.0)</f>
        <v>840</v>
      </c>
      <c r="H180" s="1">
        <f>IFERROR(__xludf.DUMMYFUNCTION("""COMPUTED_VALUE"""),882.0)</f>
        <v>882</v>
      </c>
      <c r="I180" s="1">
        <f>IFERROR(__xludf.DUMMYFUNCTION("""COMPUTED_VALUE"""),666.0)</f>
        <v>666</v>
      </c>
      <c r="J180" s="1">
        <f>IFERROR(__xludf.DUMMYFUNCTION("""COMPUTED_VALUE"""),592.0)</f>
        <v>592</v>
      </c>
      <c r="K180" s="1">
        <f>IFERROR(__xludf.DUMMYFUNCTION("""COMPUTED_VALUE"""),642.0)</f>
        <v>642</v>
      </c>
      <c r="L180" s="1">
        <f>IFERROR(__xludf.DUMMYFUNCTION("""COMPUTED_VALUE"""),877.0)</f>
        <v>877</v>
      </c>
      <c r="M180" s="1">
        <f>IFERROR(__xludf.DUMMYFUNCTION("""COMPUTED_VALUE"""),720.0)</f>
        <v>720</v>
      </c>
      <c r="N180" s="4">
        <f>IFERROR(__xludf.DUMMYFUNCTION("""COMPUTED_VALUE"""),1002.0)</f>
        <v>1002</v>
      </c>
    </row>
    <row r="181">
      <c r="A181" s="1" t="str">
        <f>vlookup(B181:B484,split_names!A180:B1091,2,0)</f>
        <v>Land</v>
      </c>
      <c r="B181" s="1" t="str">
        <f>IFERROR(__xludf.DUMMYFUNCTION("""COMPUTED_VALUE"""),"Land Rover Range Rover Sport")</f>
        <v>Land Rover Range Rover Sport</v>
      </c>
      <c r="C181" s="4">
        <f>IFERROR(__xludf.DUMMYFUNCTION("""COMPUTED_VALUE"""),1938.0)</f>
        <v>1938</v>
      </c>
      <c r="D181" s="4">
        <f>IFERROR(__xludf.DUMMYFUNCTION("""COMPUTED_VALUE"""),1722.0)</f>
        <v>1722</v>
      </c>
      <c r="E181" s="4">
        <f>IFERROR(__xludf.DUMMYFUNCTION("""COMPUTED_VALUE"""),1794.0)</f>
        <v>1794</v>
      </c>
      <c r="F181" s="1">
        <f>IFERROR(__xludf.DUMMYFUNCTION("""COMPUTED_VALUE"""),684.0)</f>
        <v>684</v>
      </c>
      <c r="G181" s="4">
        <f>IFERROR(__xludf.DUMMYFUNCTION("""COMPUTED_VALUE"""),1520.0)</f>
        <v>1520</v>
      </c>
      <c r="H181" s="4">
        <f>IFERROR(__xludf.DUMMYFUNCTION("""COMPUTED_VALUE"""),1596.0)</f>
        <v>1596</v>
      </c>
      <c r="I181" s="4">
        <f>IFERROR(__xludf.DUMMYFUNCTION("""COMPUTED_VALUE"""),1332.0)</f>
        <v>1332</v>
      </c>
      <c r="J181" s="4">
        <f>IFERROR(__xludf.DUMMYFUNCTION("""COMPUTED_VALUE"""),1184.0)</f>
        <v>1184</v>
      </c>
      <c r="K181" s="4">
        <f>IFERROR(__xludf.DUMMYFUNCTION("""COMPUTED_VALUE"""),1283.0)</f>
        <v>1283</v>
      </c>
      <c r="L181" s="4">
        <f>IFERROR(__xludf.DUMMYFUNCTION("""COMPUTED_VALUE"""),2361.0)</f>
        <v>2361</v>
      </c>
      <c r="M181" s="4">
        <f>IFERROR(__xludf.DUMMYFUNCTION("""COMPUTED_VALUE"""),1940.0)</f>
        <v>1940</v>
      </c>
      <c r="N181" s="4">
        <f>IFERROR(__xludf.DUMMYFUNCTION("""COMPUTED_VALUE"""),2699.0)</f>
        <v>2699</v>
      </c>
    </row>
    <row r="182">
      <c r="A182" s="1" t="str">
        <f>vlookup(B182:B485,split_names!A181:B1092,2,0)</f>
        <v>Land</v>
      </c>
      <c r="B182" s="1" t="str">
        <f>IFERROR(__xludf.DUMMYFUNCTION("""COMPUTED_VALUE"""),"Land Rover Range Rover Velar")</f>
        <v>Land Rover Range Rover Velar</v>
      </c>
      <c r="C182" s="4">
        <f>IFERROR(__xludf.DUMMYFUNCTION("""COMPUTED_VALUE"""),1285.0)</f>
        <v>1285</v>
      </c>
      <c r="D182" s="4">
        <f>IFERROR(__xludf.DUMMYFUNCTION("""COMPUTED_VALUE"""),1142.0)</f>
        <v>1142</v>
      </c>
      <c r="E182" s="4">
        <f>IFERROR(__xludf.DUMMYFUNCTION("""COMPUTED_VALUE"""),1190.0)</f>
        <v>1190</v>
      </c>
      <c r="F182" s="1">
        <f>IFERROR(__xludf.DUMMYFUNCTION("""COMPUTED_VALUE"""),450.0)</f>
        <v>450</v>
      </c>
      <c r="G182" s="4">
        <f>IFERROR(__xludf.DUMMYFUNCTION("""COMPUTED_VALUE"""),1000.0)</f>
        <v>1000</v>
      </c>
      <c r="H182" s="4">
        <f>IFERROR(__xludf.DUMMYFUNCTION("""COMPUTED_VALUE"""),1050.0)</f>
        <v>1050</v>
      </c>
      <c r="I182" s="1">
        <f>IFERROR(__xludf.DUMMYFUNCTION("""COMPUTED_VALUE"""),947.0)</f>
        <v>947</v>
      </c>
      <c r="J182" s="1">
        <f>IFERROR(__xludf.DUMMYFUNCTION("""COMPUTED_VALUE"""),842.0)</f>
        <v>842</v>
      </c>
      <c r="K182" s="1">
        <f>IFERROR(__xludf.DUMMYFUNCTION("""COMPUTED_VALUE"""),912.0)</f>
        <v>912</v>
      </c>
      <c r="L182" s="4">
        <f>IFERROR(__xludf.DUMMYFUNCTION("""COMPUTED_VALUE"""),1349.0)</f>
        <v>1349</v>
      </c>
      <c r="M182" s="4">
        <f>IFERROR(__xludf.DUMMYFUNCTION("""COMPUTED_VALUE"""),1108.0)</f>
        <v>1108</v>
      </c>
      <c r="N182" s="4">
        <f>IFERROR(__xludf.DUMMYFUNCTION("""COMPUTED_VALUE"""),1542.0)</f>
        <v>1542</v>
      </c>
    </row>
    <row r="183">
      <c r="A183" s="1" t="str">
        <f>vlookup(B183:B486,split_names!A182:B1093,2,0)</f>
        <v>Lexus</v>
      </c>
      <c r="B183" s="1" t="str">
        <f>IFERROR(__xludf.DUMMYFUNCTION("""COMPUTED_VALUE"""),"Lexus ES")</f>
        <v>Lexus ES</v>
      </c>
      <c r="C183" s="4">
        <f>IFERROR(__xludf.DUMMYFUNCTION("""COMPUTED_VALUE"""),3037.0)</f>
        <v>3037</v>
      </c>
      <c r="D183" s="4">
        <f>IFERROR(__xludf.DUMMYFUNCTION("""COMPUTED_VALUE"""),3356.0)</f>
        <v>3356</v>
      </c>
      <c r="E183" s="4">
        <f>IFERROR(__xludf.DUMMYFUNCTION("""COMPUTED_VALUE"""),2854.0)</f>
        <v>2854</v>
      </c>
      <c r="F183" s="4">
        <f>IFERROR(__xludf.DUMMYFUNCTION("""COMPUTED_VALUE"""),1397.0)</f>
        <v>1397</v>
      </c>
      <c r="G183" s="4">
        <f>IFERROR(__xludf.DUMMYFUNCTION("""COMPUTED_VALUE"""),3105.0)</f>
        <v>3105</v>
      </c>
      <c r="H183" s="4">
        <f>IFERROR(__xludf.DUMMYFUNCTION("""COMPUTED_VALUE"""),3260.0)</f>
        <v>3260</v>
      </c>
      <c r="I183" s="4">
        <f>IFERROR(__xludf.DUMMYFUNCTION("""COMPUTED_VALUE"""),3868.0)</f>
        <v>3868</v>
      </c>
      <c r="J183" s="4">
        <f>IFERROR(__xludf.DUMMYFUNCTION("""COMPUTED_VALUE"""),4366.0)</f>
        <v>4366</v>
      </c>
      <c r="K183" s="4">
        <f>IFERROR(__xludf.DUMMYFUNCTION("""COMPUTED_VALUE"""),4541.0)</f>
        <v>4541</v>
      </c>
      <c r="L183" s="4">
        <f>IFERROR(__xludf.DUMMYFUNCTION("""COMPUTED_VALUE"""),4117.0)</f>
        <v>4117</v>
      </c>
      <c r="M183" s="4">
        <f>IFERROR(__xludf.DUMMYFUNCTION("""COMPUTED_VALUE"""),4290.0)</f>
        <v>4290</v>
      </c>
      <c r="N183" s="4">
        <f>IFERROR(__xludf.DUMMYFUNCTION("""COMPUTED_VALUE"""),5101.0)</f>
        <v>5101</v>
      </c>
    </row>
    <row r="184">
      <c r="A184" s="1" t="str">
        <f>vlookup(B184:B487,split_names!A183:B1094,2,0)</f>
        <v>Lexus</v>
      </c>
      <c r="B184" s="1" t="str">
        <f>IFERROR(__xludf.DUMMYFUNCTION("""COMPUTED_VALUE"""),"Lexus GS")</f>
        <v>Lexus GS</v>
      </c>
      <c r="C184" s="1">
        <f>IFERROR(__xludf.DUMMYFUNCTION("""COMPUTED_VALUE"""),227.0)</f>
        <v>227</v>
      </c>
      <c r="D184" s="1">
        <f>IFERROR(__xludf.DUMMYFUNCTION("""COMPUTED_VALUE"""),224.0)</f>
        <v>224</v>
      </c>
      <c r="E184" s="1">
        <f>IFERROR(__xludf.DUMMYFUNCTION("""COMPUTED_VALUE"""),173.0)</f>
        <v>173</v>
      </c>
      <c r="F184" s="1">
        <f>IFERROR(__xludf.DUMMYFUNCTION("""COMPUTED_VALUE"""),122.0)</f>
        <v>122</v>
      </c>
      <c r="G184" s="1">
        <f>IFERROR(__xludf.DUMMYFUNCTION("""COMPUTED_VALUE"""),272.0)</f>
        <v>272</v>
      </c>
      <c r="H184" s="1">
        <f>IFERROR(__xludf.DUMMYFUNCTION("""COMPUTED_VALUE"""),285.0)</f>
        <v>285</v>
      </c>
      <c r="I184" s="1">
        <f>IFERROR(__xludf.DUMMYFUNCTION("""COMPUTED_VALUE"""),269.0)</f>
        <v>269</v>
      </c>
      <c r="J184" s="1">
        <f>IFERROR(__xludf.DUMMYFUNCTION("""COMPUTED_VALUE"""),330.0)</f>
        <v>330</v>
      </c>
      <c r="K184" s="1">
        <f>IFERROR(__xludf.DUMMYFUNCTION("""COMPUTED_VALUE"""),262.0)</f>
        <v>262</v>
      </c>
      <c r="L184" s="1">
        <f>IFERROR(__xludf.DUMMYFUNCTION("""COMPUTED_VALUE"""),200.0)</f>
        <v>200</v>
      </c>
      <c r="M184" s="1">
        <f>IFERROR(__xludf.DUMMYFUNCTION("""COMPUTED_VALUE"""),111.0)</f>
        <v>111</v>
      </c>
      <c r="N184" s="1">
        <f>IFERROR(__xludf.DUMMYFUNCTION("""COMPUTED_VALUE"""),85.0)</f>
        <v>85</v>
      </c>
    </row>
    <row r="185">
      <c r="A185" s="1" t="str">
        <f>vlookup(B185:B488,split_names!A184:B1095,2,0)</f>
        <v>Lexus</v>
      </c>
      <c r="B185" s="1" t="str">
        <f>IFERROR(__xludf.DUMMYFUNCTION("""COMPUTED_VALUE"""),"Lexus GX")</f>
        <v>Lexus GX</v>
      </c>
      <c r="C185" s="4">
        <f>IFERROR(__xludf.DUMMYFUNCTION("""COMPUTED_VALUE"""),1804.0)</f>
        <v>1804</v>
      </c>
      <c r="D185" s="4">
        <f>IFERROR(__xludf.DUMMYFUNCTION("""COMPUTED_VALUE"""),1968.0)</f>
        <v>1968</v>
      </c>
      <c r="E185" s="4">
        <f>IFERROR(__xludf.DUMMYFUNCTION("""COMPUTED_VALUE"""),1350.0)</f>
        <v>1350</v>
      </c>
      <c r="F185" s="4">
        <f>IFERROR(__xludf.DUMMYFUNCTION("""COMPUTED_VALUE"""),1115.0)</f>
        <v>1115</v>
      </c>
      <c r="G185" s="4">
        <f>IFERROR(__xludf.DUMMYFUNCTION("""COMPUTED_VALUE"""),2478.0)</f>
        <v>2478</v>
      </c>
      <c r="H185" s="4">
        <f>IFERROR(__xludf.DUMMYFUNCTION("""COMPUTED_VALUE"""),2601.0)</f>
        <v>2601</v>
      </c>
      <c r="I185" s="4">
        <f>IFERROR(__xludf.DUMMYFUNCTION("""COMPUTED_VALUE"""),2167.0)</f>
        <v>2167</v>
      </c>
      <c r="J185" s="4">
        <f>IFERROR(__xludf.DUMMYFUNCTION("""COMPUTED_VALUE"""),2706.0)</f>
        <v>2706</v>
      </c>
      <c r="K185" s="4">
        <f>IFERROR(__xludf.DUMMYFUNCTION("""COMPUTED_VALUE"""),2388.0)</f>
        <v>2388</v>
      </c>
      <c r="L185" s="4">
        <f>IFERROR(__xludf.DUMMYFUNCTION("""COMPUTED_VALUE"""),2828.0)</f>
        <v>2828</v>
      </c>
      <c r="M185" s="4">
        <f>IFERROR(__xludf.DUMMYFUNCTION("""COMPUTED_VALUE"""),2975.0)</f>
        <v>2975</v>
      </c>
      <c r="N185" s="4">
        <f>IFERROR(__xludf.DUMMYFUNCTION("""COMPUTED_VALUE"""),4139.0)</f>
        <v>4139</v>
      </c>
    </row>
    <row r="186">
      <c r="A186" s="1" t="str">
        <f>vlookup(B186:B489,split_names!A185:B1096,2,0)</f>
        <v>Lexus</v>
      </c>
      <c r="B186" s="1" t="str">
        <f>IFERROR(__xludf.DUMMYFUNCTION("""COMPUTED_VALUE"""),"Lexus IS")</f>
        <v>Lexus IS</v>
      </c>
      <c r="C186" s="1">
        <f>IFERROR(__xludf.DUMMYFUNCTION("""COMPUTED_VALUE"""),741.0)</f>
        <v>741</v>
      </c>
      <c r="D186" s="4">
        <f>IFERROR(__xludf.DUMMYFUNCTION("""COMPUTED_VALUE"""),1058.0)</f>
        <v>1058</v>
      </c>
      <c r="E186" s="1">
        <f>IFERROR(__xludf.DUMMYFUNCTION("""COMPUTED_VALUE"""),913.0)</f>
        <v>913</v>
      </c>
      <c r="F186" s="1">
        <f>IFERROR(__xludf.DUMMYFUNCTION("""COMPUTED_VALUE"""),428.0)</f>
        <v>428</v>
      </c>
      <c r="G186" s="1">
        <f>IFERROR(__xludf.DUMMYFUNCTION("""COMPUTED_VALUE"""),952.0)</f>
        <v>952</v>
      </c>
      <c r="H186" s="4">
        <f>IFERROR(__xludf.DUMMYFUNCTION("""COMPUTED_VALUE"""),1000.0)</f>
        <v>1000</v>
      </c>
      <c r="I186" s="1">
        <f>IFERROR(__xludf.DUMMYFUNCTION("""COMPUTED_VALUE"""),886.0)</f>
        <v>886</v>
      </c>
      <c r="J186" s="4">
        <f>IFERROR(__xludf.DUMMYFUNCTION("""COMPUTED_VALUE"""),1212.0)</f>
        <v>1212</v>
      </c>
      <c r="K186" s="4">
        <f>IFERROR(__xludf.DUMMYFUNCTION("""COMPUTED_VALUE"""),1531.0)</f>
        <v>1531</v>
      </c>
      <c r="L186" s="4">
        <f>IFERROR(__xludf.DUMMYFUNCTION("""COMPUTED_VALUE"""),1362.0)</f>
        <v>1362</v>
      </c>
      <c r="M186" s="4">
        <f>IFERROR(__xludf.DUMMYFUNCTION("""COMPUTED_VALUE"""),1228.0)</f>
        <v>1228</v>
      </c>
      <c r="N186" s="4">
        <f>IFERROR(__xludf.DUMMYFUNCTION("""COMPUTED_VALUE"""),2289.0)</f>
        <v>2289</v>
      </c>
    </row>
    <row r="187">
      <c r="A187" s="1" t="str">
        <f>vlookup(B187:B490,split_names!A186:B1097,2,0)</f>
        <v>Lexus</v>
      </c>
      <c r="B187" s="1" t="str">
        <f>IFERROR(__xludf.DUMMYFUNCTION("""COMPUTED_VALUE"""),"Lexus LC")</f>
        <v>Lexus LC</v>
      </c>
      <c r="C187" s="1">
        <f>IFERROR(__xludf.DUMMYFUNCTION("""COMPUTED_VALUE"""),98.0)</f>
        <v>98</v>
      </c>
      <c r="D187" s="1">
        <f>IFERROR(__xludf.DUMMYFUNCTION("""COMPUTED_VALUE"""),86.0)</f>
        <v>86</v>
      </c>
      <c r="E187" s="1">
        <f>IFERROR(__xludf.DUMMYFUNCTION("""COMPUTED_VALUE"""),56.0)</f>
        <v>56</v>
      </c>
      <c r="F187" s="1">
        <f>IFERROR(__xludf.DUMMYFUNCTION("""COMPUTED_VALUE"""),0.0)</f>
        <v>0</v>
      </c>
      <c r="G187" s="1">
        <f>IFERROR(__xludf.DUMMYFUNCTION("""COMPUTED_VALUE"""),70.0)</f>
        <v>70</v>
      </c>
      <c r="H187" s="1">
        <f>IFERROR(__xludf.DUMMYFUNCTION("""COMPUTED_VALUE"""),74.0)</f>
        <v>74</v>
      </c>
      <c r="I187" s="1">
        <f>IFERROR(__xludf.DUMMYFUNCTION("""COMPUTED_VALUE"""),89.0)</f>
        <v>89</v>
      </c>
      <c r="J187" s="1">
        <f>IFERROR(__xludf.DUMMYFUNCTION("""COMPUTED_VALUE"""),107.0)</f>
        <v>107</v>
      </c>
      <c r="K187" s="1">
        <f>IFERROR(__xludf.DUMMYFUNCTION("""COMPUTED_VALUE"""),131.0)</f>
        <v>131</v>
      </c>
      <c r="L187" s="1">
        <f>IFERROR(__xludf.DUMMYFUNCTION("""COMPUTED_VALUE"""),164.0)</f>
        <v>164</v>
      </c>
      <c r="M187" s="1">
        <f>IFERROR(__xludf.DUMMYFUNCTION("""COMPUTED_VALUE"""),188.0)</f>
        <v>188</v>
      </c>
      <c r="N187" s="1">
        <f>IFERROR(__xludf.DUMMYFUNCTION("""COMPUTED_VALUE"""),230.0)</f>
        <v>230</v>
      </c>
    </row>
    <row r="188">
      <c r="A188" s="1" t="str">
        <f>vlookup(B188:B491,split_names!A187:B1098,2,0)</f>
        <v>Lexus</v>
      </c>
      <c r="B188" s="1" t="str">
        <f>IFERROR(__xludf.DUMMYFUNCTION("""COMPUTED_VALUE"""),"Lexus LFA")</f>
        <v>Lexus LFA</v>
      </c>
      <c r="C188" s="1">
        <f>IFERROR(__xludf.DUMMYFUNCTION("""COMPUTED_VALUE"""),0.0)</f>
        <v>0</v>
      </c>
      <c r="D188" s="1">
        <f>IFERROR(__xludf.DUMMYFUNCTION("""COMPUTED_VALUE"""),2.0)</f>
        <v>2</v>
      </c>
      <c r="E188" s="1">
        <f>IFERROR(__xludf.DUMMYFUNCTION("""COMPUTED_VALUE"""),0.0)</f>
        <v>0</v>
      </c>
      <c r="F188" s="1">
        <f>IFERROR(__xludf.DUMMYFUNCTION("""COMPUTED_VALUE"""),0.0)</f>
        <v>0</v>
      </c>
      <c r="G188" s="1">
        <f>IFERROR(__xludf.DUMMYFUNCTION("""COMPUTED_VALUE"""),0.0)</f>
        <v>0</v>
      </c>
      <c r="H188" s="1">
        <f>IFERROR(__xludf.DUMMYFUNCTION("""COMPUTED_VALUE"""),0.0)</f>
        <v>0</v>
      </c>
      <c r="I188" s="1">
        <f>IFERROR(__xludf.DUMMYFUNCTION("""COMPUTED_VALUE"""),0.0)</f>
        <v>0</v>
      </c>
      <c r="J188" s="1">
        <f>IFERROR(__xludf.DUMMYFUNCTION("""COMPUTED_VALUE"""),0.0)</f>
        <v>0</v>
      </c>
      <c r="K188" s="1">
        <f>IFERROR(__xludf.DUMMYFUNCTION("""COMPUTED_VALUE"""),1.0)</f>
        <v>1</v>
      </c>
      <c r="L188" s="1">
        <f>IFERROR(__xludf.DUMMYFUNCTION("""COMPUTED_VALUE"""),0.0)</f>
        <v>0</v>
      </c>
      <c r="M188" s="1">
        <f>IFERROR(__xludf.DUMMYFUNCTION("""COMPUTED_VALUE"""),0.0)</f>
        <v>0</v>
      </c>
      <c r="N188" s="1">
        <f>IFERROR(__xludf.DUMMYFUNCTION("""COMPUTED_VALUE"""),0.0)</f>
        <v>0</v>
      </c>
    </row>
    <row r="189">
      <c r="A189" s="1" t="str">
        <f>vlookup(B189:B492,split_names!A188:B1099,2,0)</f>
        <v>Lexus</v>
      </c>
      <c r="B189" s="1" t="str">
        <f>IFERROR(__xludf.DUMMYFUNCTION("""COMPUTED_VALUE"""),"Lexus LS")</f>
        <v>Lexus LS</v>
      </c>
      <c r="C189" s="1">
        <f>IFERROR(__xludf.DUMMYFUNCTION("""COMPUTED_VALUE"""),378.0)</f>
        <v>378</v>
      </c>
      <c r="D189" s="1">
        <f>IFERROR(__xludf.DUMMYFUNCTION("""COMPUTED_VALUE"""),261.0)</f>
        <v>261</v>
      </c>
      <c r="E189" s="1">
        <f>IFERROR(__xludf.DUMMYFUNCTION("""COMPUTED_VALUE"""),162.0)</f>
        <v>162</v>
      </c>
      <c r="F189" s="1">
        <f>IFERROR(__xludf.DUMMYFUNCTION("""COMPUTED_VALUE"""),145.0)</f>
        <v>145</v>
      </c>
      <c r="G189" s="1">
        <f>IFERROR(__xludf.DUMMYFUNCTION("""COMPUTED_VALUE"""),250.0)</f>
        <v>250</v>
      </c>
      <c r="H189" s="1">
        <f>IFERROR(__xludf.DUMMYFUNCTION("""COMPUTED_VALUE"""),263.0)</f>
        <v>263</v>
      </c>
      <c r="I189" s="1">
        <f>IFERROR(__xludf.DUMMYFUNCTION("""COMPUTED_VALUE"""),255.0)</f>
        <v>255</v>
      </c>
      <c r="J189" s="1">
        <f>IFERROR(__xludf.DUMMYFUNCTION("""COMPUTED_VALUE"""),299.0)</f>
        <v>299</v>
      </c>
      <c r="K189" s="1">
        <f>IFERROR(__xludf.DUMMYFUNCTION("""COMPUTED_VALUE"""),303.0)</f>
        <v>303</v>
      </c>
      <c r="L189" s="1">
        <f>IFERROR(__xludf.DUMMYFUNCTION("""COMPUTED_VALUE"""),471.0)</f>
        <v>471</v>
      </c>
      <c r="M189" s="1">
        <f>IFERROR(__xludf.DUMMYFUNCTION("""COMPUTED_VALUE"""),339.0)</f>
        <v>339</v>
      </c>
      <c r="N189" s="1">
        <f>IFERROR(__xludf.DUMMYFUNCTION("""COMPUTED_VALUE"""),524.0)</f>
        <v>524</v>
      </c>
    </row>
    <row r="190">
      <c r="A190" s="1" t="str">
        <f>vlookup(B190:B493,split_names!A189:B1100,2,0)</f>
        <v>Lexus</v>
      </c>
      <c r="B190" s="1" t="str">
        <f>IFERROR(__xludf.DUMMYFUNCTION("""COMPUTED_VALUE"""),"Lexus LX")</f>
        <v>Lexus LX</v>
      </c>
      <c r="C190" s="1">
        <f>IFERROR(__xludf.DUMMYFUNCTION("""COMPUTED_VALUE"""),340.0)</f>
        <v>340</v>
      </c>
      <c r="D190" s="1">
        <f>IFERROR(__xludf.DUMMYFUNCTION("""COMPUTED_VALUE"""),291.0)</f>
        <v>291</v>
      </c>
      <c r="E190" s="1">
        <f>IFERROR(__xludf.DUMMYFUNCTION("""COMPUTED_VALUE"""),215.0)</f>
        <v>215</v>
      </c>
      <c r="F190" s="1">
        <f>IFERROR(__xludf.DUMMYFUNCTION("""COMPUTED_VALUE"""),174.0)</f>
        <v>174</v>
      </c>
      <c r="G190" s="1">
        <f>IFERROR(__xludf.DUMMYFUNCTION("""COMPUTED_VALUE"""),387.0)</f>
        <v>387</v>
      </c>
      <c r="H190" s="1">
        <f>IFERROR(__xludf.DUMMYFUNCTION("""COMPUTED_VALUE"""),407.0)</f>
        <v>407</v>
      </c>
      <c r="I190" s="1">
        <f>IFERROR(__xludf.DUMMYFUNCTION("""COMPUTED_VALUE"""),317.0)</f>
        <v>317</v>
      </c>
      <c r="J190" s="1">
        <f>IFERROR(__xludf.DUMMYFUNCTION("""COMPUTED_VALUE"""),422.0)</f>
        <v>422</v>
      </c>
      <c r="K190" s="1">
        <f>IFERROR(__xludf.DUMMYFUNCTION("""COMPUTED_VALUE"""),323.0)</f>
        <v>323</v>
      </c>
      <c r="L190" s="1">
        <f>IFERROR(__xludf.DUMMYFUNCTION("""COMPUTED_VALUE"""),408.0)</f>
        <v>408</v>
      </c>
      <c r="M190" s="1">
        <f>IFERROR(__xludf.DUMMYFUNCTION("""COMPUTED_VALUE"""),407.0)</f>
        <v>407</v>
      </c>
      <c r="N190" s="1">
        <f>IFERROR(__xludf.DUMMYFUNCTION("""COMPUTED_VALUE"""),821.0)</f>
        <v>821</v>
      </c>
    </row>
    <row r="191">
      <c r="A191" s="1" t="str">
        <f>vlookup(B191:B494,split_names!A190:B1101,2,0)</f>
        <v>Lexus</v>
      </c>
      <c r="B191" s="1" t="str">
        <f>IFERROR(__xludf.DUMMYFUNCTION("""COMPUTED_VALUE"""),"Lexus NX")</f>
        <v>Lexus NX</v>
      </c>
      <c r="C191" s="4">
        <f>IFERROR(__xludf.DUMMYFUNCTION("""COMPUTED_VALUE"""),3826.0)</f>
        <v>3826</v>
      </c>
      <c r="D191" s="4">
        <f>IFERROR(__xludf.DUMMYFUNCTION("""COMPUTED_VALUE"""),4308.0)</f>
        <v>4308</v>
      </c>
      <c r="E191" s="4">
        <f>IFERROR(__xludf.DUMMYFUNCTION("""COMPUTED_VALUE"""),3175.0)</f>
        <v>3175</v>
      </c>
      <c r="F191" s="4">
        <f>IFERROR(__xludf.DUMMYFUNCTION("""COMPUTED_VALUE"""),2055.0)</f>
        <v>2055</v>
      </c>
      <c r="G191" s="4">
        <f>IFERROR(__xludf.DUMMYFUNCTION("""COMPUTED_VALUE"""),4566.0)</f>
        <v>4566</v>
      </c>
      <c r="H191" s="4">
        <f>IFERROR(__xludf.DUMMYFUNCTION("""COMPUTED_VALUE"""),4795.0)</f>
        <v>4795</v>
      </c>
      <c r="I191" s="4">
        <f>IFERROR(__xludf.DUMMYFUNCTION("""COMPUTED_VALUE"""),4726.0)</f>
        <v>4726</v>
      </c>
      <c r="J191" s="4">
        <f>IFERROR(__xludf.DUMMYFUNCTION("""COMPUTED_VALUE"""),4784.0)</f>
        <v>4784</v>
      </c>
      <c r="K191" s="4">
        <f>IFERROR(__xludf.DUMMYFUNCTION("""COMPUTED_VALUE"""),3694.0)</f>
        <v>3694</v>
      </c>
      <c r="L191" s="4">
        <f>IFERROR(__xludf.DUMMYFUNCTION("""COMPUTED_VALUE"""),5470.0)</f>
        <v>5470</v>
      </c>
      <c r="M191" s="4">
        <f>IFERROR(__xludf.DUMMYFUNCTION("""COMPUTED_VALUE"""),6129.0)</f>
        <v>6129</v>
      </c>
      <c r="N191" s="4">
        <f>IFERROR(__xludf.DUMMYFUNCTION("""COMPUTED_VALUE"""),8256.0)</f>
        <v>8256</v>
      </c>
    </row>
    <row r="192">
      <c r="A192" s="1" t="str">
        <f>vlookup(B192:B495,split_names!A191:B1102,2,0)</f>
        <v>Lexus</v>
      </c>
      <c r="B192" s="1" t="str">
        <f>IFERROR(__xludf.DUMMYFUNCTION("""COMPUTED_VALUE"""),"Lexus RC")</f>
        <v>Lexus RC</v>
      </c>
      <c r="C192" s="1">
        <f>IFERROR(__xludf.DUMMYFUNCTION("""COMPUTED_VALUE"""),289.0)</f>
        <v>289</v>
      </c>
      <c r="D192" s="1">
        <f>IFERROR(__xludf.DUMMYFUNCTION("""COMPUTED_VALUE"""),299.0)</f>
        <v>299</v>
      </c>
      <c r="E192" s="1">
        <f>IFERROR(__xludf.DUMMYFUNCTION("""COMPUTED_VALUE"""),169.0)</f>
        <v>169</v>
      </c>
      <c r="F192" s="1">
        <f>IFERROR(__xludf.DUMMYFUNCTION("""COMPUTED_VALUE"""),140.0)</f>
        <v>140</v>
      </c>
      <c r="G192" s="1">
        <f>IFERROR(__xludf.DUMMYFUNCTION("""COMPUTED_VALUE"""),312.0)</f>
        <v>312</v>
      </c>
      <c r="H192" s="1">
        <f>IFERROR(__xludf.DUMMYFUNCTION("""COMPUTED_VALUE"""),328.0)</f>
        <v>328</v>
      </c>
      <c r="I192" s="1">
        <f>IFERROR(__xludf.DUMMYFUNCTION("""COMPUTED_VALUE"""),341.0)</f>
        <v>341</v>
      </c>
      <c r="J192" s="1">
        <f>IFERROR(__xludf.DUMMYFUNCTION("""COMPUTED_VALUE"""),372.0)</f>
        <v>372</v>
      </c>
      <c r="K192" s="1">
        <f>IFERROR(__xludf.DUMMYFUNCTION("""COMPUTED_VALUE"""),389.0)</f>
        <v>389</v>
      </c>
      <c r="L192" s="1">
        <f>IFERROR(__xludf.DUMMYFUNCTION("""COMPUTED_VALUE"""),406.0)</f>
        <v>406</v>
      </c>
      <c r="M192" s="1">
        <f>IFERROR(__xludf.DUMMYFUNCTION("""COMPUTED_VALUE"""),347.0)</f>
        <v>347</v>
      </c>
      <c r="N192" s="1">
        <f>IFERROR(__xludf.DUMMYFUNCTION("""COMPUTED_VALUE"""),416.0)</f>
        <v>416</v>
      </c>
    </row>
    <row r="193">
      <c r="A193" s="1" t="str">
        <f>vlookup(B193:B496,split_names!A192:B1103,2,0)</f>
        <v>Lexus</v>
      </c>
      <c r="B193" s="1" t="str">
        <f>IFERROR(__xludf.DUMMYFUNCTION("""COMPUTED_VALUE"""),"Lexus RX")</f>
        <v>Lexus RX</v>
      </c>
      <c r="C193" s="4">
        <f>IFERROR(__xludf.DUMMYFUNCTION("""COMPUTED_VALUE"""),7377.0)</f>
        <v>7377</v>
      </c>
      <c r="D193" s="4">
        <f>IFERROR(__xludf.DUMMYFUNCTION("""COMPUTED_VALUE"""),7936.0)</f>
        <v>7936</v>
      </c>
      <c r="E193" s="4">
        <f>IFERROR(__xludf.DUMMYFUNCTION("""COMPUTED_VALUE"""),5534.0)</f>
        <v>5534</v>
      </c>
      <c r="F193" s="4">
        <f>IFERROR(__xludf.DUMMYFUNCTION("""COMPUTED_VALUE"""),2874.0)</f>
        <v>2874</v>
      </c>
      <c r="G193" s="4">
        <f>IFERROR(__xludf.DUMMYFUNCTION("""COMPUTED_VALUE"""),6386.0)</f>
        <v>6386</v>
      </c>
      <c r="H193" s="4">
        <f>IFERROR(__xludf.DUMMYFUNCTION("""COMPUTED_VALUE"""),6706.0)</f>
        <v>6706</v>
      </c>
      <c r="I193" s="4">
        <f>IFERROR(__xludf.DUMMYFUNCTION("""COMPUTED_VALUE"""),8800.0)</f>
        <v>8800</v>
      </c>
      <c r="J193" s="4">
        <f>IFERROR(__xludf.DUMMYFUNCTION("""COMPUTED_VALUE"""),10972.0)</f>
        <v>10972</v>
      </c>
      <c r="K193" s="4">
        <f>IFERROR(__xludf.DUMMYFUNCTION("""COMPUTED_VALUE"""),9666.0)</f>
        <v>9666</v>
      </c>
      <c r="L193" s="4">
        <f>IFERROR(__xludf.DUMMYFUNCTION("""COMPUTED_VALUE"""),9738.0)</f>
        <v>9738</v>
      </c>
      <c r="M193" s="4">
        <f>IFERROR(__xludf.DUMMYFUNCTION("""COMPUTED_VALUE"""),10556.0)</f>
        <v>10556</v>
      </c>
      <c r="N193" s="4">
        <f>IFERROR(__xludf.DUMMYFUNCTION("""COMPUTED_VALUE"""),14514.0)</f>
        <v>14514</v>
      </c>
    </row>
    <row r="194">
      <c r="A194" s="1" t="str">
        <f>vlookup(B194:B497,split_names!A193:B1104,2,0)</f>
        <v>Lexus</v>
      </c>
      <c r="B194" s="1" t="str">
        <f>IFERROR(__xludf.DUMMYFUNCTION("""COMPUTED_VALUE"""),"Lexus UX")</f>
        <v>Lexus UX</v>
      </c>
      <c r="C194" s="4">
        <f>IFERROR(__xludf.DUMMYFUNCTION("""COMPUTED_VALUE"""),1504.0)</f>
        <v>1504</v>
      </c>
      <c r="D194" s="4">
        <f>IFERROR(__xludf.DUMMYFUNCTION("""COMPUTED_VALUE"""),1350.0)</f>
        <v>1350</v>
      </c>
      <c r="E194" s="1">
        <f>IFERROR(__xludf.DUMMYFUNCTION("""COMPUTED_VALUE"""),984.0)</f>
        <v>984</v>
      </c>
      <c r="F194" s="1">
        <f>IFERROR(__xludf.DUMMYFUNCTION("""COMPUTED_VALUE"""),632.0)</f>
        <v>632</v>
      </c>
      <c r="G194" s="4">
        <f>IFERROR(__xludf.DUMMYFUNCTION("""COMPUTED_VALUE"""),1404.0)</f>
        <v>1404</v>
      </c>
      <c r="H194" s="4">
        <f>IFERROR(__xludf.DUMMYFUNCTION("""COMPUTED_VALUE"""),1475.0)</f>
        <v>1475</v>
      </c>
      <c r="I194" s="4">
        <f>IFERROR(__xludf.DUMMYFUNCTION("""COMPUTED_VALUE"""),1722.0)</f>
        <v>1722</v>
      </c>
      <c r="J194" s="4">
        <f>IFERROR(__xludf.DUMMYFUNCTION("""COMPUTED_VALUE"""),1521.0)</f>
        <v>1521</v>
      </c>
      <c r="K194" s="4">
        <f>IFERROR(__xludf.DUMMYFUNCTION("""COMPUTED_VALUE"""),1525.0)</f>
        <v>1525</v>
      </c>
      <c r="L194" s="4">
        <f>IFERROR(__xludf.DUMMYFUNCTION("""COMPUTED_VALUE"""),1527.0)</f>
        <v>1527</v>
      </c>
      <c r="M194" s="4">
        <f>IFERROR(__xludf.DUMMYFUNCTION("""COMPUTED_VALUE"""),1470.0)</f>
        <v>1470</v>
      </c>
      <c r="N194" s="4">
        <f>IFERROR(__xludf.DUMMYFUNCTION("""COMPUTED_VALUE"""),1848.0)</f>
        <v>1848</v>
      </c>
    </row>
    <row r="195">
      <c r="A195" s="1" t="str">
        <f>vlookup(B195:B498,split_names!A194:B1105,2,0)</f>
        <v>Lincoln</v>
      </c>
      <c r="B195" s="1" t="str">
        <f>IFERROR(__xludf.DUMMYFUNCTION("""COMPUTED_VALUE"""),"Lincoln Aviator")</f>
        <v>Lincoln Aviator</v>
      </c>
      <c r="C195" s="4">
        <f>IFERROR(__xludf.DUMMYFUNCTION("""COMPUTED_VALUE"""),1840.0)</f>
        <v>1840</v>
      </c>
      <c r="D195" s="4">
        <f>IFERROR(__xludf.DUMMYFUNCTION("""COMPUTED_VALUE"""),2383.0)</f>
        <v>2383</v>
      </c>
      <c r="E195" s="4">
        <f>IFERROR(__xludf.DUMMYFUNCTION("""COMPUTED_VALUE"""),1443.0)</f>
        <v>1443</v>
      </c>
      <c r="F195" s="1">
        <f>IFERROR(__xludf.DUMMYFUNCTION("""COMPUTED_VALUE"""),723.0)</f>
        <v>723</v>
      </c>
      <c r="G195" s="4">
        <f>IFERROR(__xludf.DUMMYFUNCTION("""COMPUTED_VALUE"""),1606.0)</f>
        <v>1606</v>
      </c>
      <c r="H195" s="4">
        <f>IFERROR(__xludf.DUMMYFUNCTION("""COMPUTED_VALUE"""),1687.0)</f>
        <v>1687</v>
      </c>
      <c r="I195" s="4">
        <f>IFERROR(__xludf.DUMMYFUNCTION("""COMPUTED_VALUE"""),2145.0)</f>
        <v>2145</v>
      </c>
      <c r="J195" s="4">
        <f>IFERROR(__xludf.DUMMYFUNCTION("""COMPUTED_VALUE"""),1907.0)</f>
        <v>1907</v>
      </c>
      <c r="K195" s="4">
        <f>IFERROR(__xludf.DUMMYFUNCTION("""COMPUTED_VALUE"""),2066.0)</f>
        <v>2066</v>
      </c>
      <c r="L195" s="4">
        <f>IFERROR(__xludf.DUMMYFUNCTION("""COMPUTED_VALUE"""),2184.0)</f>
        <v>2184</v>
      </c>
      <c r="M195" s="4">
        <f>IFERROR(__xludf.DUMMYFUNCTION("""COMPUTED_VALUE"""),1942.0)</f>
        <v>1942</v>
      </c>
      <c r="N195" s="4">
        <f>IFERROR(__xludf.DUMMYFUNCTION("""COMPUTED_VALUE"""),3154.0)</f>
        <v>3154</v>
      </c>
    </row>
    <row r="196">
      <c r="A196" s="1" t="str">
        <f>vlookup(B196:B499,split_names!A195:B1106,2,0)</f>
        <v>Lincoln</v>
      </c>
      <c r="B196" s="1" t="str">
        <f>IFERROR(__xludf.DUMMYFUNCTION("""COMPUTED_VALUE"""),"Lincoln Continental")</f>
        <v>Lincoln Continental</v>
      </c>
      <c r="C196" s="1">
        <f>IFERROR(__xludf.DUMMYFUNCTION("""COMPUTED_VALUE"""),508.0)</f>
        <v>508</v>
      </c>
      <c r="D196" s="1">
        <f>IFERROR(__xludf.DUMMYFUNCTION("""COMPUTED_VALUE"""),657.0)</f>
        <v>657</v>
      </c>
      <c r="E196" s="1">
        <f>IFERROR(__xludf.DUMMYFUNCTION("""COMPUTED_VALUE"""),398.0)</f>
        <v>398</v>
      </c>
      <c r="F196" s="1">
        <f>IFERROR(__xludf.DUMMYFUNCTION("""COMPUTED_VALUE"""),182.0)</f>
        <v>182</v>
      </c>
      <c r="G196" s="1">
        <f>IFERROR(__xludf.DUMMYFUNCTION("""COMPUTED_VALUE"""),405.0)</f>
        <v>405</v>
      </c>
      <c r="H196" s="1">
        <f>IFERROR(__xludf.DUMMYFUNCTION("""COMPUTED_VALUE"""),425.0)</f>
        <v>425</v>
      </c>
      <c r="I196" s="1">
        <f>IFERROR(__xludf.DUMMYFUNCTION("""COMPUTED_VALUE"""),455.0)</f>
        <v>455</v>
      </c>
      <c r="J196" s="1">
        <f>IFERROR(__xludf.DUMMYFUNCTION("""COMPUTED_VALUE"""),404.0)</f>
        <v>404</v>
      </c>
      <c r="K196" s="1">
        <f>IFERROR(__xludf.DUMMYFUNCTION("""COMPUTED_VALUE"""),438.0)</f>
        <v>438</v>
      </c>
      <c r="L196" s="1">
        <f>IFERROR(__xludf.DUMMYFUNCTION("""COMPUTED_VALUE"""),501.0)</f>
        <v>501</v>
      </c>
      <c r="M196" s="1">
        <f>IFERROR(__xludf.DUMMYFUNCTION("""COMPUTED_VALUE"""),378.0)</f>
        <v>378</v>
      </c>
      <c r="N196" s="1">
        <f>IFERROR(__xludf.DUMMYFUNCTION("""COMPUTED_VALUE"""),505.0)</f>
        <v>505</v>
      </c>
    </row>
    <row r="197">
      <c r="A197" s="1" t="str">
        <f>vlookup(B197:B500,split_names!A196:B1107,2,0)</f>
        <v>Lincoln</v>
      </c>
      <c r="B197" s="1" t="str">
        <f>IFERROR(__xludf.DUMMYFUNCTION("""COMPUTED_VALUE"""),"Lincoln MKC")</f>
        <v>Lincoln MKC</v>
      </c>
      <c r="C197" s="4">
        <f>IFERROR(__xludf.DUMMYFUNCTION("""COMPUTED_VALUE"""),1842.0)</f>
        <v>1842</v>
      </c>
      <c r="D197" s="4">
        <f>IFERROR(__xludf.DUMMYFUNCTION("""COMPUTED_VALUE"""),2384.0)</f>
        <v>2384</v>
      </c>
      <c r="E197" s="4">
        <f>IFERROR(__xludf.DUMMYFUNCTION("""COMPUTED_VALUE"""),1444.0)</f>
        <v>1444</v>
      </c>
      <c r="F197" s="1">
        <f>IFERROR(__xludf.DUMMYFUNCTION("""COMPUTED_VALUE"""),983.0)</f>
        <v>983</v>
      </c>
      <c r="G197" s="4">
        <f>IFERROR(__xludf.DUMMYFUNCTION("""COMPUTED_VALUE"""),2185.0)</f>
        <v>2185</v>
      </c>
      <c r="H197" s="4">
        <f>IFERROR(__xludf.DUMMYFUNCTION("""COMPUTED_VALUE"""),2294.0)</f>
        <v>2294</v>
      </c>
      <c r="I197" s="4">
        <f>IFERROR(__xludf.DUMMYFUNCTION("""COMPUTED_VALUE"""),2470.0)</f>
        <v>2470</v>
      </c>
      <c r="J197" s="4">
        <f>IFERROR(__xludf.DUMMYFUNCTION("""COMPUTED_VALUE"""),2196.0)</f>
        <v>2196</v>
      </c>
      <c r="K197" s="4">
        <f>IFERROR(__xludf.DUMMYFUNCTION("""COMPUTED_VALUE"""),2378.0)</f>
        <v>2378</v>
      </c>
      <c r="L197" s="4">
        <f>IFERROR(__xludf.DUMMYFUNCTION("""COMPUTED_VALUE"""),3053.0)</f>
        <v>3053</v>
      </c>
      <c r="M197" s="4">
        <f>IFERROR(__xludf.DUMMYFUNCTION("""COMPUTED_VALUE"""),2242.0)</f>
        <v>2242</v>
      </c>
      <c r="N197" s="4">
        <f>IFERROR(__xludf.DUMMYFUNCTION("""COMPUTED_VALUE"""),2755.0)</f>
        <v>2755</v>
      </c>
    </row>
    <row r="198">
      <c r="A198" s="1" t="str">
        <f>vlookup(B198:B501,split_names!A197:B1108,2,0)</f>
        <v>Lincoln</v>
      </c>
      <c r="B198" s="1" t="str">
        <f>IFERROR(__xludf.DUMMYFUNCTION("""COMPUTED_VALUE"""),"Lincoln MKT")</f>
        <v>Lincoln MKT</v>
      </c>
      <c r="C198" s="1">
        <f>IFERROR(__xludf.DUMMYFUNCTION("""COMPUTED_VALUE"""),35.0)</f>
        <v>35</v>
      </c>
      <c r="D198" s="1">
        <f>IFERROR(__xludf.DUMMYFUNCTION("""COMPUTED_VALUE"""),46.0)</f>
        <v>46</v>
      </c>
      <c r="E198" s="1">
        <f>IFERROR(__xludf.DUMMYFUNCTION("""COMPUTED_VALUE"""),28.0)</f>
        <v>28</v>
      </c>
      <c r="F198" s="1">
        <f>IFERROR(__xludf.DUMMYFUNCTION("""COMPUTED_VALUE"""),4.0)</f>
        <v>4</v>
      </c>
      <c r="G198" s="1">
        <f>IFERROR(__xludf.DUMMYFUNCTION("""COMPUTED_VALUE"""),8.0)</f>
        <v>8</v>
      </c>
      <c r="H198" s="1">
        <f>IFERROR(__xludf.DUMMYFUNCTION("""COMPUTED_VALUE"""),8.0)</f>
        <v>8</v>
      </c>
      <c r="I198" s="1">
        <f>IFERROR(__xludf.DUMMYFUNCTION("""COMPUTED_VALUE"""),8.0)</f>
        <v>8</v>
      </c>
      <c r="J198" s="1">
        <f>IFERROR(__xludf.DUMMYFUNCTION("""COMPUTED_VALUE"""),7.0)</f>
        <v>7</v>
      </c>
      <c r="K198" s="1">
        <f>IFERROR(__xludf.DUMMYFUNCTION("""COMPUTED_VALUE"""),8.0)</f>
        <v>8</v>
      </c>
      <c r="L198" s="1">
        <f>IFERROR(__xludf.DUMMYFUNCTION("""COMPUTED_VALUE"""),12.0)</f>
        <v>12</v>
      </c>
      <c r="M198" s="1">
        <f>IFERROR(__xludf.DUMMYFUNCTION("""COMPUTED_VALUE"""),6.0)</f>
        <v>6</v>
      </c>
      <c r="N198" s="1">
        <f>IFERROR(__xludf.DUMMYFUNCTION("""COMPUTED_VALUE"""),159.0)</f>
        <v>159</v>
      </c>
    </row>
    <row r="199">
      <c r="A199" s="1" t="str">
        <f>vlookup(B199:B502,split_names!A198:B1109,2,0)</f>
        <v>Lincoln</v>
      </c>
      <c r="B199" s="1" t="str">
        <f>IFERROR(__xludf.DUMMYFUNCTION("""COMPUTED_VALUE"""),"Lincoln MKX/Nautilus")</f>
        <v>Lincoln MKX/Nautilus</v>
      </c>
      <c r="C199" s="4">
        <f>IFERROR(__xludf.DUMMYFUNCTION("""COMPUTED_VALUE"""),1704.0)</f>
        <v>1704</v>
      </c>
      <c r="D199" s="4">
        <f>IFERROR(__xludf.DUMMYFUNCTION("""COMPUTED_VALUE"""),2206.0)</f>
        <v>2206</v>
      </c>
      <c r="E199" s="4">
        <f>IFERROR(__xludf.DUMMYFUNCTION("""COMPUTED_VALUE"""),1336.0)</f>
        <v>1336</v>
      </c>
      <c r="F199" s="1">
        <f>IFERROR(__xludf.DUMMYFUNCTION("""COMPUTED_VALUE"""),906.0)</f>
        <v>906</v>
      </c>
      <c r="G199" s="4">
        <f>IFERROR(__xludf.DUMMYFUNCTION("""COMPUTED_VALUE"""),2014.0)</f>
        <v>2014</v>
      </c>
      <c r="H199" s="4">
        <f>IFERROR(__xludf.DUMMYFUNCTION("""COMPUTED_VALUE"""),2115.0)</f>
        <v>2115</v>
      </c>
      <c r="I199" s="4">
        <f>IFERROR(__xludf.DUMMYFUNCTION("""COMPUTED_VALUE"""),2024.0)</f>
        <v>2024</v>
      </c>
      <c r="J199" s="4">
        <f>IFERROR(__xludf.DUMMYFUNCTION("""COMPUTED_VALUE"""),1799.0)</f>
        <v>1799</v>
      </c>
      <c r="K199" s="4">
        <f>IFERROR(__xludf.DUMMYFUNCTION("""COMPUTED_VALUE"""),1949.0)</f>
        <v>1949</v>
      </c>
      <c r="L199" s="4">
        <f>IFERROR(__xludf.DUMMYFUNCTION("""COMPUTED_VALUE"""),2123.0)</f>
        <v>2123</v>
      </c>
      <c r="M199" s="4">
        <f>IFERROR(__xludf.DUMMYFUNCTION("""COMPUTED_VALUE"""),1874.0)</f>
        <v>1874</v>
      </c>
      <c r="N199" s="4">
        <f>IFERROR(__xludf.DUMMYFUNCTION("""COMPUTED_VALUE"""),2693.0)</f>
        <v>2693</v>
      </c>
    </row>
    <row r="200">
      <c r="A200" s="1" t="str">
        <f>vlookup(B200:B503,split_names!A199:B1110,2,0)</f>
        <v>Lincoln</v>
      </c>
      <c r="B200" s="1" t="str">
        <f>IFERROR(__xludf.DUMMYFUNCTION("""COMPUTED_VALUE"""),"Lincoln MKZ")</f>
        <v>Lincoln MKZ</v>
      </c>
      <c r="C200" s="4">
        <f>IFERROR(__xludf.DUMMYFUNCTION("""COMPUTED_VALUE"""),1131.0)</f>
        <v>1131</v>
      </c>
      <c r="D200" s="4">
        <f>IFERROR(__xludf.DUMMYFUNCTION("""COMPUTED_VALUE"""),1464.0)</f>
        <v>1464</v>
      </c>
      <c r="E200" s="1">
        <f>IFERROR(__xludf.DUMMYFUNCTION("""COMPUTED_VALUE"""),887.0)</f>
        <v>887</v>
      </c>
      <c r="F200" s="1">
        <f>IFERROR(__xludf.DUMMYFUNCTION("""COMPUTED_VALUE"""),537.0)</f>
        <v>537</v>
      </c>
      <c r="G200" s="4">
        <f>IFERROR(__xludf.DUMMYFUNCTION("""COMPUTED_VALUE"""),1194.0)</f>
        <v>1194</v>
      </c>
      <c r="H200" s="4">
        <f>IFERROR(__xludf.DUMMYFUNCTION("""COMPUTED_VALUE"""),1254.0)</f>
        <v>1254</v>
      </c>
      <c r="I200" s="4">
        <f>IFERROR(__xludf.DUMMYFUNCTION("""COMPUTED_VALUE"""),1285.0)</f>
        <v>1285</v>
      </c>
      <c r="J200" s="4">
        <f>IFERROR(__xludf.DUMMYFUNCTION("""COMPUTED_VALUE"""),1143.0)</f>
        <v>1143</v>
      </c>
      <c r="K200" s="4">
        <f>IFERROR(__xludf.DUMMYFUNCTION("""COMPUTED_VALUE"""),1238.0)</f>
        <v>1238</v>
      </c>
      <c r="L200" s="1">
        <f>IFERROR(__xludf.DUMMYFUNCTION("""COMPUTED_VALUE"""),791.0)</f>
        <v>791</v>
      </c>
      <c r="M200" s="1">
        <f>IFERROR(__xludf.DUMMYFUNCTION("""COMPUTED_VALUE"""),583.0)</f>
        <v>583</v>
      </c>
      <c r="N200" s="4">
        <f>IFERROR(__xludf.DUMMYFUNCTION("""COMPUTED_VALUE"""),1011.0)</f>
        <v>1011</v>
      </c>
    </row>
    <row r="201">
      <c r="A201" s="1" t="str">
        <f>vlookup(B201:B504,split_names!A200:B1111,2,0)</f>
        <v>Lincoln</v>
      </c>
      <c r="B201" s="1" t="str">
        <f>IFERROR(__xludf.DUMMYFUNCTION("""COMPUTED_VALUE"""),"Lincoln Navigator")</f>
        <v>Lincoln Navigator</v>
      </c>
      <c r="C201" s="4">
        <f>IFERROR(__xludf.DUMMYFUNCTION("""COMPUTED_VALUE"""),1243.0)</f>
        <v>1243</v>
      </c>
      <c r="D201" s="4">
        <f>IFERROR(__xludf.DUMMYFUNCTION("""COMPUTED_VALUE"""),1609.0)</f>
        <v>1609</v>
      </c>
      <c r="E201" s="1">
        <f>IFERROR(__xludf.DUMMYFUNCTION("""COMPUTED_VALUE"""),974.0)</f>
        <v>974</v>
      </c>
      <c r="F201" s="1">
        <f>IFERROR(__xludf.DUMMYFUNCTION("""COMPUTED_VALUE"""),495.0)</f>
        <v>495</v>
      </c>
      <c r="G201" s="4">
        <f>IFERROR(__xludf.DUMMYFUNCTION("""COMPUTED_VALUE"""),1100.0)</f>
        <v>1100</v>
      </c>
      <c r="H201" s="4">
        <f>IFERROR(__xludf.DUMMYFUNCTION("""COMPUTED_VALUE"""),1155.0)</f>
        <v>1155</v>
      </c>
      <c r="I201" s="4">
        <f>IFERROR(__xludf.DUMMYFUNCTION("""COMPUTED_VALUE"""),1275.0)</f>
        <v>1275</v>
      </c>
      <c r="J201" s="4">
        <f>IFERROR(__xludf.DUMMYFUNCTION("""COMPUTED_VALUE"""),1133.0)</f>
        <v>1133</v>
      </c>
      <c r="K201" s="4">
        <f>IFERROR(__xludf.DUMMYFUNCTION("""COMPUTED_VALUE"""),1227.0)</f>
        <v>1227</v>
      </c>
      <c r="L201" s="4">
        <f>IFERROR(__xludf.DUMMYFUNCTION("""COMPUTED_VALUE"""),1386.0)</f>
        <v>1386</v>
      </c>
      <c r="M201" s="4">
        <f>IFERROR(__xludf.DUMMYFUNCTION("""COMPUTED_VALUE"""),1362.0)</f>
        <v>1362</v>
      </c>
      <c r="N201" s="4">
        <f>IFERROR(__xludf.DUMMYFUNCTION("""COMPUTED_VALUE"""),2294.0)</f>
        <v>2294</v>
      </c>
    </row>
    <row r="202">
      <c r="A202" s="1" t="str">
        <f>vlookup(B202:B505,split_names!A201:B1112,2,0)</f>
        <v>Mazda</v>
      </c>
      <c r="B202" s="1" t="str">
        <f>IFERROR(__xludf.DUMMYFUNCTION("""COMPUTED_VALUE"""),"Mazda 2")</f>
        <v>Mazda 2</v>
      </c>
      <c r="C202" s="1">
        <f>IFERROR(__xludf.DUMMYFUNCTION("""COMPUTED_VALUE"""),0.0)</f>
        <v>0</v>
      </c>
      <c r="D202" s="1">
        <f>IFERROR(__xludf.DUMMYFUNCTION("""COMPUTED_VALUE"""),0.0)</f>
        <v>0</v>
      </c>
      <c r="E202" s="1">
        <f>IFERROR(__xludf.DUMMYFUNCTION("""COMPUTED_VALUE"""),0.0)</f>
        <v>0</v>
      </c>
      <c r="F202" s="1">
        <f>IFERROR(__xludf.DUMMYFUNCTION("""COMPUTED_VALUE"""),0.0)</f>
        <v>0</v>
      </c>
      <c r="G202" s="1">
        <f>IFERROR(__xludf.DUMMYFUNCTION("""COMPUTED_VALUE"""),0.0)</f>
        <v>0</v>
      </c>
      <c r="H202" s="1">
        <f>IFERROR(__xludf.DUMMYFUNCTION("""COMPUTED_VALUE"""),0.0)</f>
        <v>0</v>
      </c>
      <c r="I202" s="1">
        <f>IFERROR(__xludf.DUMMYFUNCTION("""COMPUTED_VALUE"""),0.0)</f>
        <v>0</v>
      </c>
      <c r="J202" s="1">
        <f>IFERROR(__xludf.DUMMYFUNCTION("""COMPUTED_VALUE"""),0.0)</f>
        <v>0</v>
      </c>
      <c r="K202" s="1">
        <f>IFERROR(__xludf.DUMMYFUNCTION("""COMPUTED_VALUE"""),0.0)</f>
        <v>0</v>
      </c>
      <c r="L202" s="1">
        <f>IFERROR(__xludf.DUMMYFUNCTION("""COMPUTED_VALUE"""),0.0)</f>
        <v>0</v>
      </c>
      <c r="M202" s="1">
        <f>IFERROR(__xludf.DUMMYFUNCTION("""COMPUTED_VALUE"""),0.0)</f>
        <v>0</v>
      </c>
      <c r="N202" s="4">
        <f>IFERROR(__xludf.DUMMYFUNCTION("""COMPUTED_VALUE"""),3256.0)</f>
        <v>3256</v>
      </c>
    </row>
    <row r="203">
      <c r="A203" s="1" t="str">
        <f>vlookup(B203:B506,split_names!A202:B1113,2,0)</f>
        <v>Mazda</v>
      </c>
      <c r="B203" s="1" t="str">
        <f>IFERROR(__xludf.DUMMYFUNCTION("""COMPUTED_VALUE"""),"Mazda 3")</f>
        <v>Mazda 3</v>
      </c>
      <c r="C203" s="4">
        <f>IFERROR(__xludf.DUMMYFUNCTION("""COMPUTED_VALUE"""),2496.0)</f>
        <v>2496</v>
      </c>
      <c r="D203" s="4">
        <f>IFERROR(__xludf.DUMMYFUNCTION("""COMPUTED_VALUE"""),3759.0)</f>
        <v>3759</v>
      </c>
      <c r="E203" s="4">
        <f>IFERROR(__xludf.DUMMYFUNCTION("""COMPUTED_VALUE"""),1863.0)</f>
        <v>1863</v>
      </c>
      <c r="F203" s="4">
        <f>IFERROR(__xludf.DUMMYFUNCTION("""COMPUTED_VALUE"""),1492.0)</f>
        <v>1492</v>
      </c>
      <c r="G203" s="4">
        <f>IFERROR(__xludf.DUMMYFUNCTION("""COMPUTED_VALUE"""),3368.0)</f>
        <v>3368</v>
      </c>
      <c r="H203" s="4">
        <f>IFERROR(__xludf.DUMMYFUNCTION("""COMPUTED_VALUE"""),3250.0)</f>
        <v>3250</v>
      </c>
      <c r="I203" s="4">
        <f>IFERROR(__xludf.DUMMYFUNCTION("""COMPUTED_VALUE"""),3231.0)</f>
        <v>3231</v>
      </c>
      <c r="J203" s="4">
        <f>IFERROR(__xludf.DUMMYFUNCTION("""COMPUTED_VALUE"""),3175.0)</f>
        <v>3175</v>
      </c>
      <c r="K203" s="4">
        <f>IFERROR(__xludf.DUMMYFUNCTION("""COMPUTED_VALUE"""),2535.0)</f>
        <v>2535</v>
      </c>
      <c r="L203" s="4">
        <f>IFERROR(__xludf.DUMMYFUNCTION("""COMPUTED_VALUE"""),2570.0)</f>
        <v>2570</v>
      </c>
      <c r="M203" s="4">
        <f>IFERROR(__xludf.DUMMYFUNCTION("""COMPUTED_VALUE"""),2613.0)</f>
        <v>2613</v>
      </c>
      <c r="N203" s="1">
        <f>IFERROR(__xludf.DUMMYFUNCTION("""COMPUTED_VALUE"""),0.0)</f>
        <v>0</v>
      </c>
    </row>
    <row r="204">
      <c r="A204" s="1" t="str">
        <f>vlookup(B204:B507,split_names!A203:B1114,2,0)</f>
        <v>Mazda</v>
      </c>
      <c r="B204" s="1" t="str">
        <f>IFERROR(__xludf.DUMMYFUNCTION("""COMPUTED_VALUE"""),"Mazda 6")</f>
        <v>Mazda 6</v>
      </c>
      <c r="C204" s="4">
        <f>IFERROR(__xludf.DUMMYFUNCTION("""COMPUTED_VALUE"""),1755.0)</f>
        <v>1755</v>
      </c>
      <c r="D204" s="4">
        <f>IFERROR(__xludf.DUMMYFUNCTION("""COMPUTED_VALUE"""),1730.0)</f>
        <v>1730</v>
      </c>
      <c r="E204" s="4">
        <f>IFERROR(__xludf.DUMMYFUNCTION("""COMPUTED_VALUE"""),1021.0)</f>
        <v>1021</v>
      </c>
      <c r="F204" s="1">
        <f>IFERROR(__xludf.DUMMYFUNCTION("""COMPUTED_VALUE"""),746.0)</f>
        <v>746</v>
      </c>
      <c r="G204" s="4">
        <f>IFERROR(__xludf.DUMMYFUNCTION("""COMPUTED_VALUE"""),1477.0)</f>
        <v>1477</v>
      </c>
      <c r="H204" s="4">
        <f>IFERROR(__xludf.DUMMYFUNCTION("""COMPUTED_VALUE"""),1356.0)</f>
        <v>1356</v>
      </c>
      <c r="I204" s="4">
        <f>IFERROR(__xludf.DUMMYFUNCTION("""COMPUTED_VALUE"""),1199.0)</f>
        <v>1199</v>
      </c>
      <c r="J204" s="4">
        <f>IFERROR(__xludf.DUMMYFUNCTION("""COMPUTED_VALUE"""),1230.0)</f>
        <v>1230</v>
      </c>
      <c r="K204" s="4">
        <f>IFERROR(__xludf.DUMMYFUNCTION("""COMPUTED_VALUE"""),1451.0)</f>
        <v>1451</v>
      </c>
      <c r="L204" s="4">
        <f>IFERROR(__xludf.DUMMYFUNCTION("""COMPUTED_VALUE"""),1356.0)</f>
        <v>1356</v>
      </c>
      <c r="M204" s="4">
        <f>IFERROR(__xludf.DUMMYFUNCTION("""COMPUTED_VALUE"""),1196.0)</f>
        <v>1196</v>
      </c>
      <c r="N204" s="4">
        <f>IFERROR(__xludf.DUMMYFUNCTION("""COMPUTED_VALUE"""),1687.0)</f>
        <v>1687</v>
      </c>
    </row>
    <row r="205">
      <c r="A205" s="1" t="str">
        <f>vlookup(B205:B508,split_names!A204:B1115,2,0)</f>
        <v>Mazda</v>
      </c>
      <c r="B205" s="1" t="str">
        <f>IFERROR(__xludf.DUMMYFUNCTION("""COMPUTED_VALUE"""),"Mazda CX-3")</f>
        <v>Mazda CX-3</v>
      </c>
      <c r="C205" s="4">
        <f>IFERROR(__xludf.DUMMYFUNCTION("""COMPUTED_VALUE"""),1146.0)</f>
        <v>1146</v>
      </c>
      <c r="D205" s="1">
        <f>IFERROR(__xludf.DUMMYFUNCTION("""COMPUTED_VALUE"""),947.0)</f>
        <v>947</v>
      </c>
      <c r="E205" s="1">
        <f>IFERROR(__xludf.DUMMYFUNCTION("""COMPUTED_VALUE"""),459.0)</f>
        <v>459</v>
      </c>
      <c r="F205" s="1">
        <f>IFERROR(__xludf.DUMMYFUNCTION("""COMPUTED_VALUE"""),363.0)</f>
        <v>363</v>
      </c>
      <c r="G205" s="1">
        <f>IFERROR(__xludf.DUMMYFUNCTION("""COMPUTED_VALUE"""),842.0)</f>
        <v>842</v>
      </c>
      <c r="H205" s="4">
        <f>IFERROR(__xludf.DUMMYFUNCTION("""COMPUTED_VALUE"""),1000.0)</f>
        <v>1000</v>
      </c>
      <c r="I205" s="1">
        <f>IFERROR(__xludf.DUMMYFUNCTION("""COMPUTED_VALUE"""),959.0)</f>
        <v>959</v>
      </c>
      <c r="J205" s="1">
        <f>IFERROR(__xludf.DUMMYFUNCTION("""COMPUTED_VALUE"""),860.0)</f>
        <v>860</v>
      </c>
      <c r="K205" s="1">
        <f>IFERROR(__xludf.DUMMYFUNCTION("""COMPUTED_VALUE"""),436.0)</f>
        <v>436</v>
      </c>
      <c r="L205" s="1">
        <f>IFERROR(__xludf.DUMMYFUNCTION("""COMPUTED_VALUE"""),473.0)</f>
        <v>473</v>
      </c>
      <c r="M205" s="1">
        <f>IFERROR(__xludf.DUMMYFUNCTION("""COMPUTED_VALUE"""),413.0)</f>
        <v>413</v>
      </c>
      <c r="N205" s="1">
        <f>IFERROR(__xludf.DUMMYFUNCTION("""COMPUTED_VALUE"""),437.0)</f>
        <v>437</v>
      </c>
    </row>
    <row r="206">
      <c r="A206" s="1" t="str">
        <f>vlookup(B206:B509,split_names!A205:B1116,2,0)</f>
        <v>Mazda</v>
      </c>
      <c r="B206" s="1" t="str">
        <f>IFERROR(__xludf.DUMMYFUNCTION("""COMPUTED_VALUE"""),"Mazda CX-30")</f>
        <v>Mazda CX-30</v>
      </c>
      <c r="C206" s="4">
        <f>IFERROR(__xludf.DUMMYFUNCTION("""COMPUTED_VALUE"""),2368.0)</f>
        <v>2368</v>
      </c>
      <c r="D206" s="4">
        <f>IFERROR(__xludf.DUMMYFUNCTION("""COMPUTED_VALUE"""),3754.0)</f>
        <v>3754</v>
      </c>
      <c r="E206" s="4">
        <f>IFERROR(__xludf.DUMMYFUNCTION("""COMPUTED_VALUE"""),2242.0)</f>
        <v>2242</v>
      </c>
      <c r="F206" s="4">
        <f>IFERROR(__xludf.DUMMYFUNCTION("""COMPUTED_VALUE"""),1483.0)</f>
        <v>1483</v>
      </c>
      <c r="G206" s="4">
        <f>IFERROR(__xludf.DUMMYFUNCTION("""COMPUTED_VALUE"""),3583.0)</f>
        <v>3583</v>
      </c>
      <c r="H206" s="4">
        <f>IFERROR(__xludf.DUMMYFUNCTION("""COMPUTED_VALUE"""),3526.0)</f>
        <v>3526</v>
      </c>
      <c r="I206" s="4">
        <f>IFERROR(__xludf.DUMMYFUNCTION("""COMPUTED_VALUE"""),3787.0)</f>
        <v>3787</v>
      </c>
      <c r="J206" s="4">
        <f>IFERROR(__xludf.DUMMYFUNCTION("""COMPUTED_VALUE"""),3862.0)</f>
        <v>3862</v>
      </c>
      <c r="K206" s="4">
        <f>IFERROR(__xludf.DUMMYFUNCTION("""COMPUTED_VALUE"""),3188.0)</f>
        <v>3188</v>
      </c>
      <c r="L206" s="4">
        <f>IFERROR(__xludf.DUMMYFUNCTION("""COMPUTED_VALUE"""),3214.0)</f>
        <v>3214</v>
      </c>
      <c r="M206" s="4">
        <f>IFERROR(__xludf.DUMMYFUNCTION("""COMPUTED_VALUE"""),2649.0)</f>
        <v>2649</v>
      </c>
      <c r="N206" s="4">
        <f>IFERROR(__xludf.DUMMYFUNCTION("""COMPUTED_VALUE"""),4408.0)</f>
        <v>4408</v>
      </c>
    </row>
    <row r="207">
      <c r="A207" s="1" t="str">
        <f>vlookup(B207:B510,split_names!A206:B1117,2,0)</f>
        <v>Mazda</v>
      </c>
      <c r="B207" s="1" t="str">
        <f>IFERROR(__xludf.DUMMYFUNCTION("""COMPUTED_VALUE"""),"Mazda CX-5")</f>
        <v>Mazda CX-5</v>
      </c>
      <c r="C207" s="4">
        <f>IFERROR(__xludf.DUMMYFUNCTION("""COMPUTED_VALUE"""),12908.0)</f>
        <v>12908</v>
      </c>
      <c r="D207" s="4">
        <f>IFERROR(__xludf.DUMMYFUNCTION("""COMPUTED_VALUE"""),14462.0)</f>
        <v>14462</v>
      </c>
      <c r="E207" s="4">
        <f>IFERROR(__xludf.DUMMYFUNCTION("""COMPUTED_VALUE"""),7841.0)</f>
        <v>7841</v>
      </c>
      <c r="F207" s="4">
        <f>IFERROR(__xludf.DUMMYFUNCTION("""COMPUTED_VALUE"""),5220.0)</f>
        <v>5220</v>
      </c>
      <c r="G207" s="4">
        <f>IFERROR(__xludf.DUMMYFUNCTION("""COMPUTED_VALUE"""),12140.0)</f>
        <v>12140</v>
      </c>
      <c r="H207" s="4">
        <f>IFERROR(__xludf.DUMMYFUNCTION("""COMPUTED_VALUE"""),12501.0)</f>
        <v>12501</v>
      </c>
      <c r="I207" s="4">
        <f>IFERROR(__xludf.DUMMYFUNCTION("""COMPUTED_VALUE"""),11878.0)</f>
        <v>11878</v>
      </c>
      <c r="J207" s="4">
        <f>IFERROR(__xludf.DUMMYFUNCTION("""COMPUTED_VALUE"""),13745.0)</f>
        <v>13745</v>
      </c>
      <c r="K207" s="4">
        <f>IFERROR(__xludf.DUMMYFUNCTION("""COMPUTED_VALUE"""),13582.0)</f>
        <v>13582</v>
      </c>
      <c r="L207" s="4">
        <f>IFERROR(__xludf.DUMMYFUNCTION("""COMPUTED_VALUE"""),11890.0)</f>
        <v>11890</v>
      </c>
      <c r="M207" s="4">
        <f>IFERROR(__xludf.DUMMYFUNCTION("""COMPUTED_VALUE"""),12299.0)</f>
        <v>12299</v>
      </c>
      <c r="N207" s="4">
        <f>IFERROR(__xludf.DUMMYFUNCTION("""COMPUTED_VALUE"""),17954.0)</f>
        <v>17954</v>
      </c>
    </row>
    <row r="208">
      <c r="A208" s="1" t="str">
        <f>vlookup(B208:B511,split_names!A207:B1118,2,0)</f>
        <v>Mazda</v>
      </c>
      <c r="B208" s="1" t="str">
        <f>IFERROR(__xludf.DUMMYFUNCTION("""COMPUTED_VALUE"""),"Mazda CX-9")</f>
        <v>Mazda CX-9</v>
      </c>
      <c r="C208" s="4">
        <f>IFERROR(__xludf.DUMMYFUNCTION("""COMPUTED_VALUE"""),2552.0)</f>
        <v>2552</v>
      </c>
      <c r="D208" s="4">
        <f>IFERROR(__xludf.DUMMYFUNCTION("""COMPUTED_VALUE"""),2926.0)</f>
        <v>2926</v>
      </c>
      <c r="E208" s="4">
        <f>IFERROR(__xludf.DUMMYFUNCTION("""COMPUTED_VALUE"""),1741.0)</f>
        <v>1741</v>
      </c>
      <c r="F208" s="4">
        <f>IFERROR(__xludf.DUMMYFUNCTION("""COMPUTED_VALUE"""),1084.0)</f>
        <v>1084</v>
      </c>
      <c r="G208" s="4">
        <f>IFERROR(__xludf.DUMMYFUNCTION("""COMPUTED_VALUE"""),2421.0)</f>
        <v>2421</v>
      </c>
      <c r="H208" s="4">
        <f>IFERROR(__xludf.DUMMYFUNCTION("""COMPUTED_VALUE"""),2727.0)</f>
        <v>2727</v>
      </c>
      <c r="I208" s="4">
        <f>IFERROR(__xludf.DUMMYFUNCTION("""COMPUTED_VALUE"""),2335.0)</f>
        <v>2335</v>
      </c>
      <c r="J208" s="4">
        <f>IFERROR(__xludf.DUMMYFUNCTION("""COMPUTED_VALUE"""),2443.0)</f>
        <v>2443</v>
      </c>
      <c r="K208" s="4">
        <f>IFERROR(__xludf.DUMMYFUNCTION("""COMPUTED_VALUE"""),2183.0)</f>
        <v>2183</v>
      </c>
      <c r="L208" s="4">
        <f>IFERROR(__xludf.DUMMYFUNCTION("""COMPUTED_VALUE"""),2382.0)</f>
        <v>2382</v>
      </c>
      <c r="M208" s="4">
        <f>IFERROR(__xludf.DUMMYFUNCTION("""COMPUTED_VALUE"""),1972.0)</f>
        <v>1972</v>
      </c>
      <c r="N208" s="4">
        <f>IFERROR(__xludf.DUMMYFUNCTION("""COMPUTED_VALUE"""),2872.0)</f>
        <v>2872</v>
      </c>
    </row>
    <row r="209">
      <c r="A209" s="1" t="str">
        <f>vlookup(B209:B512,split_names!A208:B1119,2,0)</f>
        <v>Mazda</v>
      </c>
      <c r="B209" s="1" t="str">
        <f>IFERROR(__xludf.DUMMYFUNCTION("""COMPUTED_VALUE"""),"Mazda MX-5 Miata")</f>
        <v>Mazda MX-5 Miata</v>
      </c>
      <c r="C209" s="1">
        <f>IFERROR(__xludf.DUMMYFUNCTION("""COMPUTED_VALUE"""),396.0)</f>
        <v>396</v>
      </c>
      <c r="D209" s="1">
        <f>IFERROR(__xludf.DUMMYFUNCTION("""COMPUTED_VALUE"""),807.0)</f>
        <v>807</v>
      </c>
      <c r="E209" s="1">
        <f>IFERROR(__xludf.DUMMYFUNCTION("""COMPUTED_VALUE"""),497.0)</f>
        <v>497</v>
      </c>
      <c r="F209" s="1">
        <f>IFERROR(__xludf.DUMMYFUNCTION("""COMPUTED_VALUE"""),552.0)</f>
        <v>552</v>
      </c>
      <c r="G209" s="4">
        <f>IFERROR(__xludf.DUMMYFUNCTION("""COMPUTED_VALUE"""),1102.0)</f>
        <v>1102</v>
      </c>
      <c r="H209" s="1">
        <f>IFERROR(__xludf.DUMMYFUNCTION("""COMPUTED_VALUE"""),966.0)</f>
        <v>966</v>
      </c>
      <c r="I209" s="1">
        <f>IFERROR(__xludf.DUMMYFUNCTION("""COMPUTED_VALUE"""),696.0)</f>
        <v>696</v>
      </c>
      <c r="J209" s="1">
        <f>IFERROR(__xludf.DUMMYFUNCTION("""COMPUTED_VALUE"""),774.0)</f>
        <v>774</v>
      </c>
      <c r="K209" s="1">
        <f>IFERROR(__xludf.DUMMYFUNCTION("""COMPUTED_VALUE"""),862.0)</f>
        <v>862</v>
      </c>
      <c r="L209" s="1">
        <f>IFERROR(__xludf.DUMMYFUNCTION("""COMPUTED_VALUE"""),851.0)</f>
        <v>851</v>
      </c>
      <c r="M209" s="1">
        <f>IFERROR(__xludf.DUMMYFUNCTION("""COMPUTED_VALUE"""),610.0)</f>
        <v>610</v>
      </c>
      <c r="N209" s="1">
        <f>IFERROR(__xludf.DUMMYFUNCTION("""COMPUTED_VALUE"""),694.0)</f>
        <v>694</v>
      </c>
    </row>
    <row r="210">
      <c r="A210" s="1" t="str">
        <f>vlookup(B210:B513,split_names!A209:B1120,2,0)</f>
        <v>Mercedes-Benz</v>
      </c>
      <c r="B210" s="1" t="str">
        <f>IFERROR(__xludf.DUMMYFUNCTION("""COMPUTED_VALUE"""),"Mercedes-Benz A-Class")</f>
        <v>Mercedes-Benz A-Class</v>
      </c>
      <c r="C210" s="4">
        <f>IFERROR(__xludf.DUMMYFUNCTION("""COMPUTED_VALUE"""),1201.0)</f>
        <v>1201</v>
      </c>
      <c r="D210" s="4">
        <f>IFERROR(__xludf.DUMMYFUNCTION("""COMPUTED_VALUE"""),1555.0)</f>
        <v>1555</v>
      </c>
      <c r="E210" s="1">
        <f>IFERROR(__xludf.DUMMYFUNCTION("""COMPUTED_VALUE"""),942.0)</f>
        <v>942</v>
      </c>
      <c r="F210" s="1">
        <f>IFERROR(__xludf.DUMMYFUNCTION("""COMPUTED_VALUE"""),739.0)</f>
        <v>739</v>
      </c>
      <c r="G210" s="4">
        <f>IFERROR(__xludf.DUMMYFUNCTION("""COMPUTED_VALUE"""),1642.0)</f>
        <v>1642</v>
      </c>
      <c r="H210" s="4">
        <f>IFERROR(__xludf.DUMMYFUNCTION("""COMPUTED_VALUE"""),1724.0)</f>
        <v>1724</v>
      </c>
      <c r="I210" s="4">
        <f>IFERROR(__xludf.DUMMYFUNCTION("""COMPUTED_VALUE"""),1378.0)</f>
        <v>1378</v>
      </c>
      <c r="J210" s="4">
        <f>IFERROR(__xludf.DUMMYFUNCTION("""COMPUTED_VALUE"""),1225.0)</f>
        <v>1225</v>
      </c>
      <c r="K210" s="4">
        <f>IFERROR(__xludf.DUMMYFUNCTION("""COMPUTED_VALUE"""),1327.0)</f>
        <v>1327</v>
      </c>
      <c r="L210" s="4">
        <f>IFERROR(__xludf.DUMMYFUNCTION("""COMPUTED_VALUE"""),1214.0)</f>
        <v>1214</v>
      </c>
      <c r="M210" s="1">
        <f>IFERROR(__xludf.DUMMYFUNCTION("""COMPUTED_VALUE"""),998.0)</f>
        <v>998</v>
      </c>
      <c r="N210" s="4">
        <f>IFERROR(__xludf.DUMMYFUNCTION("""COMPUTED_VALUE"""),1388.0)</f>
        <v>1388</v>
      </c>
    </row>
    <row r="211">
      <c r="A211" s="1" t="str">
        <f>vlookup(B211:B514,split_names!A210:B1121,2,0)</f>
        <v>Mercedes-Benz</v>
      </c>
      <c r="B211" s="1" t="str">
        <f>IFERROR(__xludf.DUMMYFUNCTION("""COMPUTED_VALUE"""),"Mercedes-Benz AMG GT")</f>
        <v>Mercedes-Benz AMG GT</v>
      </c>
      <c r="C211" s="1">
        <f>IFERROR(__xludf.DUMMYFUNCTION("""COMPUTED_VALUE"""),314.0)</f>
        <v>314</v>
      </c>
      <c r="D211" s="1">
        <f>IFERROR(__xludf.DUMMYFUNCTION("""COMPUTED_VALUE"""),407.0)</f>
        <v>407</v>
      </c>
      <c r="E211" s="1">
        <f>IFERROR(__xludf.DUMMYFUNCTION("""COMPUTED_VALUE"""),246.0)</f>
        <v>246</v>
      </c>
      <c r="F211" s="1">
        <f>IFERROR(__xludf.DUMMYFUNCTION("""COMPUTED_VALUE"""),153.0)</f>
        <v>153</v>
      </c>
      <c r="G211" s="1">
        <f>IFERROR(__xludf.DUMMYFUNCTION("""COMPUTED_VALUE"""),153.0)</f>
        <v>153</v>
      </c>
      <c r="H211" s="1">
        <f>IFERROR(__xludf.DUMMYFUNCTION("""COMPUTED_VALUE"""),356.0)</f>
        <v>356</v>
      </c>
      <c r="I211" s="1">
        <f>IFERROR(__xludf.DUMMYFUNCTION("""COMPUTED_VALUE"""),263.0)</f>
        <v>263</v>
      </c>
      <c r="J211" s="1">
        <f>IFERROR(__xludf.DUMMYFUNCTION("""COMPUTED_VALUE"""),234.0)</f>
        <v>234</v>
      </c>
      <c r="K211" s="1">
        <f>IFERROR(__xludf.DUMMYFUNCTION("""COMPUTED_VALUE"""),253.0)</f>
        <v>253</v>
      </c>
      <c r="L211" s="1">
        <f>IFERROR(__xludf.DUMMYFUNCTION("""COMPUTED_VALUE"""),312.0)</f>
        <v>312</v>
      </c>
      <c r="M211" s="1">
        <f>IFERROR(__xludf.DUMMYFUNCTION("""COMPUTED_VALUE"""),256.0)</f>
        <v>256</v>
      </c>
      <c r="N211" s="1">
        <f>IFERROR(__xludf.DUMMYFUNCTION("""COMPUTED_VALUE"""),356.0)</f>
        <v>356</v>
      </c>
    </row>
    <row r="212">
      <c r="A212" s="1" t="str">
        <f>vlookup(B212:B515,split_names!A211:B1122,2,0)</f>
        <v>Mercedes-Benz</v>
      </c>
      <c r="B212" s="1" t="str">
        <f>IFERROR(__xludf.DUMMYFUNCTION("""COMPUTED_VALUE"""),"Mercedes-Benz C-Class")</f>
        <v>Mercedes-Benz C-Class</v>
      </c>
      <c r="C212" s="4">
        <f>IFERROR(__xludf.DUMMYFUNCTION("""COMPUTED_VALUE"""),2227.0)</f>
        <v>2227</v>
      </c>
      <c r="D212" s="4">
        <f>IFERROR(__xludf.DUMMYFUNCTION("""COMPUTED_VALUE"""),2883.0)</f>
        <v>2883</v>
      </c>
      <c r="E212" s="4">
        <f>IFERROR(__xludf.DUMMYFUNCTION("""COMPUTED_VALUE"""),1746.0)</f>
        <v>1746</v>
      </c>
      <c r="F212" s="1">
        <f>IFERROR(__xludf.DUMMYFUNCTION("""COMPUTED_VALUE"""),0.0)</f>
        <v>0</v>
      </c>
      <c r="G212" s="4">
        <f>IFERROR(__xludf.DUMMYFUNCTION("""COMPUTED_VALUE"""),2610.0)</f>
        <v>2610</v>
      </c>
      <c r="H212" s="4">
        <f>IFERROR(__xludf.DUMMYFUNCTION("""COMPUTED_VALUE"""),2741.0)</f>
        <v>2741</v>
      </c>
      <c r="I212" s="4">
        <f>IFERROR(__xludf.DUMMYFUNCTION("""COMPUTED_VALUE"""),2530.0)</f>
        <v>2530</v>
      </c>
      <c r="J212" s="4">
        <f>IFERROR(__xludf.DUMMYFUNCTION("""COMPUTED_VALUE"""),2249.0)</f>
        <v>2249</v>
      </c>
      <c r="K212" s="4">
        <f>IFERROR(__xludf.DUMMYFUNCTION("""COMPUTED_VALUE"""),2436.0)</f>
        <v>2436</v>
      </c>
      <c r="L212" s="4">
        <f>IFERROR(__xludf.DUMMYFUNCTION("""COMPUTED_VALUE"""),1922.0)</f>
        <v>1922</v>
      </c>
      <c r="M212" s="4">
        <f>IFERROR(__xludf.DUMMYFUNCTION("""COMPUTED_VALUE"""),1579.0)</f>
        <v>1579</v>
      </c>
      <c r="N212" s="4">
        <f>IFERROR(__xludf.DUMMYFUNCTION("""COMPUTED_VALUE"""),2196.0)</f>
        <v>2196</v>
      </c>
    </row>
    <row r="213">
      <c r="A213" s="1" t="str">
        <f>vlookup(B213:B516,split_names!A212:B1123,2,0)</f>
        <v>Mercedes-Benz</v>
      </c>
      <c r="B213" s="1" t="str">
        <f>IFERROR(__xludf.DUMMYFUNCTION("""COMPUTED_VALUE"""),"Mercedes-Benz CLA-Class")</f>
        <v>Mercedes-Benz CLA-Class</v>
      </c>
      <c r="C213" s="4">
        <f>IFERROR(__xludf.DUMMYFUNCTION("""COMPUTED_VALUE"""),1065.0)</f>
        <v>1065</v>
      </c>
      <c r="D213" s="4">
        <f>IFERROR(__xludf.DUMMYFUNCTION("""COMPUTED_VALUE"""),1379.0)</f>
        <v>1379</v>
      </c>
      <c r="E213" s="1">
        <f>IFERROR(__xludf.DUMMYFUNCTION("""COMPUTED_VALUE"""),835.0)</f>
        <v>835</v>
      </c>
      <c r="F213" s="4">
        <f>IFERROR(__xludf.DUMMYFUNCTION("""COMPUTED_VALUE"""),1175.0)</f>
        <v>1175</v>
      </c>
      <c r="G213" s="4">
        <f>IFERROR(__xludf.DUMMYFUNCTION("""COMPUTED_VALUE"""),1172.0)</f>
        <v>1172</v>
      </c>
      <c r="H213" s="4">
        <f>IFERROR(__xludf.DUMMYFUNCTION("""COMPUTED_VALUE"""),1231.0)</f>
        <v>1231</v>
      </c>
      <c r="I213" s="1">
        <f>IFERROR(__xludf.DUMMYFUNCTION("""COMPUTED_VALUE"""),789.0)</f>
        <v>789</v>
      </c>
      <c r="J213" s="1">
        <f>IFERROR(__xludf.DUMMYFUNCTION("""COMPUTED_VALUE"""),701.0)</f>
        <v>701</v>
      </c>
      <c r="K213" s="1">
        <f>IFERROR(__xludf.DUMMYFUNCTION("""COMPUTED_VALUE"""),760.0)</f>
        <v>760</v>
      </c>
      <c r="L213" s="1">
        <f>IFERROR(__xludf.DUMMYFUNCTION("""COMPUTED_VALUE"""),856.0)</f>
        <v>856</v>
      </c>
      <c r="M213" s="1">
        <f>IFERROR(__xludf.DUMMYFUNCTION("""COMPUTED_VALUE"""),703.0)</f>
        <v>703</v>
      </c>
      <c r="N213" s="1">
        <f>IFERROR(__xludf.DUMMYFUNCTION("""COMPUTED_VALUE"""),978.0)</f>
        <v>978</v>
      </c>
    </row>
    <row r="214">
      <c r="A214" s="1" t="str">
        <f>vlookup(B214:B517,split_names!A213:B1124,2,0)</f>
        <v>Mercedes-Benz</v>
      </c>
      <c r="B214" s="1" t="str">
        <f>IFERROR(__xludf.DUMMYFUNCTION("""COMPUTED_VALUE"""),"Mercedes-Benz E / CLS-Class")</f>
        <v>Mercedes-Benz E / CLS-Class</v>
      </c>
      <c r="C214" s="4">
        <f>IFERROR(__xludf.DUMMYFUNCTION("""COMPUTED_VALUE"""),2293.0)</f>
        <v>2293</v>
      </c>
      <c r="D214" s="4">
        <f>IFERROR(__xludf.DUMMYFUNCTION("""COMPUTED_VALUE"""),2969.0)</f>
        <v>2969</v>
      </c>
      <c r="E214" s="4">
        <f>IFERROR(__xludf.DUMMYFUNCTION("""COMPUTED_VALUE"""),1798.0)</f>
        <v>1798</v>
      </c>
      <c r="F214" s="4">
        <f>IFERROR(__xludf.DUMMYFUNCTION("""COMPUTED_VALUE"""),1234.0)</f>
        <v>1234</v>
      </c>
      <c r="G214" s="4">
        <f>IFERROR(__xludf.DUMMYFUNCTION("""COMPUTED_VALUE"""),2743.0)</f>
        <v>2743</v>
      </c>
      <c r="H214" s="4">
        <f>IFERROR(__xludf.DUMMYFUNCTION("""COMPUTED_VALUE"""),2880.0)</f>
        <v>2880</v>
      </c>
      <c r="I214" s="4">
        <f>IFERROR(__xludf.DUMMYFUNCTION("""COMPUTED_VALUE"""),2271.0)</f>
        <v>2271</v>
      </c>
      <c r="J214" s="4">
        <f>IFERROR(__xludf.DUMMYFUNCTION("""COMPUTED_VALUE"""),2018.0)</f>
        <v>2018</v>
      </c>
      <c r="K214" s="4">
        <f>IFERROR(__xludf.DUMMYFUNCTION("""COMPUTED_VALUE"""),2187.0)</f>
        <v>2187</v>
      </c>
      <c r="L214" s="4">
        <f>IFERROR(__xludf.DUMMYFUNCTION("""COMPUTED_VALUE"""),2263.0)</f>
        <v>2263</v>
      </c>
      <c r="M214" s="4">
        <f>IFERROR(__xludf.DUMMYFUNCTION("""COMPUTED_VALUE"""),1859.0)</f>
        <v>1859</v>
      </c>
      <c r="N214" s="4">
        <f>IFERROR(__xludf.DUMMYFUNCTION("""COMPUTED_VALUE"""),2587.0)</f>
        <v>2587</v>
      </c>
    </row>
    <row r="215">
      <c r="A215" s="1" t="str">
        <f>vlookup(B215:B518,split_names!A214:B1125,2,0)</f>
        <v>Mercedes-Benz</v>
      </c>
      <c r="B215" s="1" t="str">
        <f>IFERROR(__xludf.DUMMYFUNCTION("""COMPUTED_VALUE"""),"Mercedes-Benz G-Class")</f>
        <v>Mercedes-Benz G-Class</v>
      </c>
      <c r="C215" s="1">
        <f>IFERROR(__xludf.DUMMYFUNCTION("""COMPUTED_VALUE"""),529.0)</f>
        <v>529</v>
      </c>
      <c r="D215" s="1">
        <f>IFERROR(__xludf.DUMMYFUNCTION("""COMPUTED_VALUE"""),685.0)</f>
        <v>685</v>
      </c>
      <c r="E215" s="1">
        <f>IFERROR(__xludf.DUMMYFUNCTION("""COMPUTED_VALUE"""),415.0)</f>
        <v>415</v>
      </c>
      <c r="F215" s="1">
        <f>IFERROR(__xludf.DUMMYFUNCTION("""COMPUTED_VALUE"""),313.0)</f>
        <v>313</v>
      </c>
      <c r="G215" s="1">
        <f>IFERROR(__xludf.DUMMYFUNCTION("""COMPUTED_VALUE"""),696.0)</f>
        <v>696</v>
      </c>
      <c r="H215" s="1">
        <f>IFERROR(__xludf.DUMMYFUNCTION("""COMPUTED_VALUE"""),731.0)</f>
        <v>731</v>
      </c>
      <c r="I215" s="1">
        <f>IFERROR(__xludf.DUMMYFUNCTION("""COMPUTED_VALUE"""),630.0)</f>
        <v>630</v>
      </c>
      <c r="J215" s="1">
        <f>IFERROR(__xludf.DUMMYFUNCTION("""COMPUTED_VALUE"""),560.0)</f>
        <v>560</v>
      </c>
      <c r="K215" s="1">
        <f>IFERROR(__xludf.DUMMYFUNCTION("""COMPUTED_VALUE"""),606.0)</f>
        <v>606</v>
      </c>
      <c r="L215" s="1">
        <f>IFERROR(__xludf.DUMMYFUNCTION("""COMPUTED_VALUE"""),863.0)</f>
        <v>863</v>
      </c>
      <c r="M215" s="1">
        <f>IFERROR(__xludf.DUMMYFUNCTION("""COMPUTED_VALUE"""),709.0)</f>
        <v>709</v>
      </c>
      <c r="N215" s="1">
        <f>IFERROR(__xludf.DUMMYFUNCTION("""COMPUTED_VALUE"""),986.0)</f>
        <v>986</v>
      </c>
    </row>
    <row r="216">
      <c r="A216" s="1" t="str">
        <f>vlookup(B216:B519,split_names!A215:B1126,2,0)</f>
        <v>Mercedes-Benz</v>
      </c>
      <c r="B216" s="1" t="str">
        <f>IFERROR(__xludf.DUMMYFUNCTION("""COMPUTED_VALUE"""),"Mercedes-Benz GL/GLS-Class")</f>
        <v>Mercedes-Benz GL/GLS-Class</v>
      </c>
      <c r="C216" s="4">
        <f>IFERROR(__xludf.DUMMYFUNCTION("""COMPUTED_VALUE"""),2073.0)</f>
        <v>2073</v>
      </c>
      <c r="D216" s="4">
        <f>IFERROR(__xludf.DUMMYFUNCTION("""COMPUTED_VALUE"""),2683.0)</f>
        <v>2683</v>
      </c>
      <c r="E216" s="4">
        <f>IFERROR(__xludf.DUMMYFUNCTION("""COMPUTED_VALUE"""),1625.0)</f>
        <v>1625</v>
      </c>
      <c r="F216" s="1">
        <f>IFERROR(__xludf.DUMMYFUNCTION("""COMPUTED_VALUE"""),945.0)</f>
        <v>945</v>
      </c>
      <c r="G216" s="4">
        <f>IFERROR(__xludf.DUMMYFUNCTION("""COMPUTED_VALUE"""),2101.0)</f>
        <v>2101</v>
      </c>
      <c r="H216" s="4">
        <f>IFERROR(__xludf.DUMMYFUNCTION("""COMPUTED_VALUE"""),2206.0)</f>
        <v>2206</v>
      </c>
      <c r="I216" s="4">
        <f>IFERROR(__xludf.DUMMYFUNCTION("""COMPUTED_VALUE"""),1857.0)</f>
        <v>1857</v>
      </c>
      <c r="J216" s="4">
        <f>IFERROR(__xludf.DUMMYFUNCTION("""COMPUTED_VALUE"""),1650.0)</f>
        <v>1650</v>
      </c>
      <c r="K216" s="4">
        <f>IFERROR(__xludf.DUMMYFUNCTION("""COMPUTED_VALUE"""),1788.0)</f>
        <v>1788</v>
      </c>
      <c r="L216" s="4">
        <f>IFERROR(__xludf.DUMMYFUNCTION("""COMPUTED_VALUE"""),1769.0)</f>
        <v>1769</v>
      </c>
      <c r="M216" s="4">
        <f>IFERROR(__xludf.DUMMYFUNCTION("""COMPUTED_VALUE"""),1453.0)</f>
        <v>1453</v>
      </c>
      <c r="N216" s="4">
        <f>IFERROR(__xludf.DUMMYFUNCTION("""COMPUTED_VALUE"""),2022.0)</f>
        <v>2022</v>
      </c>
    </row>
    <row r="217">
      <c r="A217" s="1" t="str">
        <f>vlookup(B217:B520,split_names!A216:B1127,2,0)</f>
        <v>Mercedes-Benz</v>
      </c>
      <c r="B217" s="1" t="str">
        <f>IFERROR(__xludf.DUMMYFUNCTION("""COMPUTED_VALUE"""),"Mercedes-Benz GLA-Class")</f>
        <v>Mercedes-Benz GLA-Class</v>
      </c>
      <c r="C217" s="4">
        <f>IFERROR(__xludf.DUMMYFUNCTION("""COMPUTED_VALUE"""),1614.0)</f>
        <v>1614</v>
      </c>
      <c r="D217" s="4">
        <f>IFERROR(__xludf.DUMMYFUNCTION("""COMPUTED_VALUE"""),2089.0)</f>
        <v>2089</v>
      </c>
      <c r="E217" s="4">
        <f>IFERROR(__xludf.DUMMYFUNCTION("""COMPUTED_VALUE"""),1266.0)</f>
        <v>1266</v>
      </c>
      <c r="F217" s="1">
        <f>IFERROR(__xludf.DUMMYFUNCTION("""COMPUTED_VALUE"""),509.0)</f>
        <v>509</v>
      </c>
      <c r="G217" s="4">
        <f>IFERROR(__xludf.DUMMYFUNCTION("""COMPUTED_VALUE"""),1131.0)</f>
        <v>1131</v>
      </c>
      <c r="H217" s="4">
        <f>IFERROR(__xludf.DUMMYFUNCTION("""COMPUTED_VALUE"""),1188.0)</f>
        <v>1188</v>
      </c>
      <c r="I217" s="4">
        <f>IFERROR(__xludf.DUMMYFUNCTION("""COMPUTED_VALUE"""),3055.0)</f>
        <v>3055</v>
      </c>
      <c r="J217" s="4">
        <f>IFERROR(__xludf.DUMMYFUNCTION("""COMPUTED_VALUE"""),2715.0)</f>
        <v>2715</v>
      </c>
      <c r="K217" s="4">
        <f>IFERROR(__xludf.DUMMYFUNCTION("""COMPUTED_VALUE"""),2942.0)</f>
        <v>2942</v>
      </c>
      <c r="L217" s="4">
        <f>IFERROR(__xludf.DUMMYFUNCTION("""COMPUTED_VALUE"""),2982.0)</f>
        <v>2982</v>
      </c>
      <c r="M217" s="4">
        <f>IFERROR(__xludf.DUMMYFUNCTION("""COMPUTED_VALUE"""),2449.0)</f>
        <v>2449</v>
      </c>
      <c r="N217" s="4">
        <f>IFERROR(__xludf.DUMMYFUNCTION("""COMPUTED_VALUE"""),3408.0)</f>
        <v>3408</v>
      </c>
    </row>
    <row r="218">
      <c r="A218" s="1" t="str">
        <f>vlookup(B218:B521,split_names!A217:B1128,2,0)</f>
        <v>Mercedes-Benz</v>
      </c>
      <c r="B218" s="1" t="str">
        <f>IFERROR(__xludf.DUMMYFUNCTION("""COMPUTED_VALUE"""),"Mercedes-Benz GLB")</f>
        <v>Mercedes-Benz GLB</v>
      </c>
      <c r="C218" s="4">
        <f>IFERROR(__xludf.DUMMYFUNCTION("""COMPUTED_VALUE"""),1566.0)</f>
        <v>1566</v>
      </c>
      <c r="D218" s="4">
        <f>IFERROR(__xludf.DUMMYFUNCTION("""COMPUTED_VALUE"""),2027.0)</f>
        <v>2027</v>
      </c>
      <c r="E218" s="4">
        <f>IFERROR(__xludf.DUMMYFUNCTION("""COMPUTED_VALUE"""),1228.0)</f>
        <v>1228</v>
      </c>
      <c r="F218" s="4">
        <f>IFERROR(__xludf.DUMMYFUNCTION("""COMPUTED_VALUE"""),1206.0)</f>
        <v>1206</v>
      </c>
      <c r="G218" s="4">
        <f>IFERROR(__xludf.DUMMYFUNCTION("""COMPUTED_VALUE"""),2680.0)</f>
        <v>2680</v>
      </c>
      <c r="H218" s="4">
        <f>IFERROR(__xludf.DUMMYFUNCTION("""COMPUTED_VALUE"""),2814.0)</f>
        <v>2814</v>
      </c>
      <c r="I218" s="4">
        <f>IFERROR(__xludf.DUMMYFUNCTION("""COMPUTED_VALUE"""),2521.0)</f>
        <v>2521</v>
      </c>
      <c r="J218" s="4">
        <f>IFERROR(__xludf.DUMMYFUNCTION("""COMPUTED_VALUE"""),2241.0)</f>
        <v>2241</v>
      </c>
      <c r="K218" s="4">
        <f>IFERROR(__xludf.DUMMYFUNCTION("""COMPUTED_VALUE"""),2428.0)</f>
        <v>2428</v>
      </c>
      <c r="L218" s="4">
        <f>IFERROR(__xludf.DUMMYFUNCTION("""COMPUTED_VALUE"""),1509.0)</f>
        <v>1509</v>
      </c>
      <c r="M218" s="4">
        <f>IFERROR(__xludf.DUMMYFUNCTION("""COMPUTED_VALUE"""),1240.0)</f>
        <v>1240</v>
      </c>
      <c r="N218" s="4">
        <f>IFERROR(__xludf.DUMMYFUNCTION("""COMPUTED_VALUE"""),1725.0)</f>
        <v>1725</v>
      </c>
    </row>
    <row r="219">
      <c r="A219" s="1" t="str">
        <f>vlookup(B219:B522,split_names!A218:B1129,2,0)</f>
        <v>Mercedes-Benz</v>
      </c>
      <c r="B219" s="1" t="str">
        <f>IFERROR(__xludf.DUMMYFUNCTION("""COMPUTED_VALUE"""),"Mercedes-Benz GLC/GLK-Class")</f>
        <v>Mercedes-Benz GLC/GLK-Class</v>
      </c>
      <c r="C219" s="4">
        <f>IFERROR(__xludf.DUMMYFUNCTION("""COMPUTED_VALUE"""),4254.0)</f>
        <v>4254</v>
      </c>
      <c r="D219" s="4">
        <f>IFERROR(__xludf.DUMMYFUNCTION("""COMPUTED_VALUE"""),5508.0)</f>
        <v>5508</v>
      </c>
      <c r="E219" s="4">
        <f>IFERROR(__xludf.DUMMYFUNCTION("""COMPUTED_VALUE"""),3336.0)</f>
        <v>3336</v>
      </c>
      <c r="F219" s="4">
        <f>IFERROR(__xludf.DUMMYFUNCTION("""COMPUTED_VALUE"""),1703.0)</f>
        <v>1703</v>
      </c>
      <c r="G219" s="4">
        <f>IFERROR(__xludf.DUMMYFUNCTION("""COMPUTED_VALUE"""),3784.0)</f>
        <v>3784</v>
      </c>
      <c r="H219" s="4">
        <f>IFERROR(__xludf.DUMMYFUNCTION("""COMPUTED_VALUE"""),3974.0)</f>
        <v>3974</v>
      </c>
      <c r="I219" s="4">
        <f>IFERROR(__xludf.DUMMYFUNCTION("""COMPUTED_VALUE"""),4007.0)</f>
        <v>4007</v>
      </c>
      <c r="J219" s="4">
        <f>IFERROR(__xludf.DUMMYFUNCTION("""COMPUTED_VALUE"""),3562.0)</f>
        <v>3562</v>
      </c>
      <c r="K219" s="4">
        <f>IFERROR(__xludf.DUMMYFUNCTION("""COMPUTED_VALUE"""),3859.0)</f>
        <v>3859</v>
      </c>
      <c r="L219" s="4">
        <f>IFERROR(__xludf.DUMMYFUNCTION("""COMPUTED_VALUE"""),6288.0)</f>
        <v>6288</v>
      </c>
      <c r="M219" s="4">
        <f>IFERROR(__xludf.DUMMYFUNCTION("""COMPUTED_VALUE"""),5165.0)</f>
        <v>5165</v>
      </c>
      <c r="N219" s="4">
        <f>IFERROR(__xludf.DUMMYFUNCTION("""COMPUTED_VALUE"""),7186.0)</f>
        <v>7186</v>
      </c>
    </row>
    <row r="220">
      <c r="A220" s="1" t="str">
        <f>vlookup(B220:B523,split_names!A219:B1130,2,0)</f>
        <v>Mercedes-Benz</v>
      </c>
      <c r="B220" s="1" t="str">
        <f>IFERROR(__xludf.DUMMYFUNCTION("""COMPUTED_VALUE"""),"Mercedes-Benz GLE-Class")</f>
        <v>Mercedes-Benz GLE-Class</v>
      </c>
      <c r="C220" s="4">
        <f>IFERROR(__xludf.DUMMYFUNCTION("""COMPUTED_VALUE"""),3833.0)</f>
        <v>3833</v>
      </c>
      <c r="D220" s="4">
        <f>IFERROR(__xludf.DUMMYFUNCTION("""COMPUTED_VALUE"""),4963.0)</f>
        <v>4963</v>
      </c>
      <c r="E220" s="4">
        <f>IFERROR(__xludf.DUMMYFUNCTION("""COMPUTED_VALUE"""),3006.0)</f>
        <v>3006</v>
      </c>
      <c r="F220" s="4">
        <f>IFERROR(__xludf.DUMMYFUNCTION("""COMPUTED_VALUE"""),1710.0)</f>
        <v>1710</v>
      </c>
      <c r="G220" s="4">
        <f>IFERROR(__xludf.DUMMYFUNCTION("""COMPUTED_VALUE"""),3800.0)</f>
        <v>3800</v>
      </c>
      <c r="H220" s="4">
        <f>IFERROR(__xludf.DUMMYFUNCTION("""COMPUTED_VALUE"""),3990.0)</f>
        <v>3990</v>
      </c>
      <c r="I220" s="4">
        <f>IFERROR(__xludf.DUMMYFUNCTION("""COMPUTED_VALUE"""),3807.0)</f>
        <v>3807</v>
      </c>
      <c r="J220" s="4">
        <f>IFERROR(__xludf.DUMMYFUNCTION("""COMPUTED_VALUE"""),3384.0)</f>
        <v>3384</v>
      </c>
      <c r="K220" s="4">
        <f>IFERROR(__xludf.DUMMYFUNCTION("""COMPUTED_VALUE"""),3666.0)</f>
        <v>3666</v>
      </c>
      <c r="L220" s="4">
        <f>IFERROR(__xludf.DUMMYFUNCTION("""COMPUTED_VALUE"""),5396.0)</f>
        <v>5396</v>
      </c>
      <c r="M220" s="4">
        <f>IFERROR(__xludf.DUMMYFUNCTION("""COMPUTED_VALUE"""),4432.0)</f>
        <v>4432</v>
      </c>
      <c r="N220" s="4">
        <f>IFERROR(__xludf.DUMMYFUNCTION("""COMPUTED_VALUE"""),6166.0)</f>
        <v>6166</v>
      </c>
    </row>
    <row r="221">
      <c r="A221" s="1" t="str">
        <f>vlookup(B221:B524,split_names!A220:B1131,2,0)</f>
        <v>Mercedes-Benz</v>
      </c>
      <c r="B221" s="1" t="str">
        <f>IFERROR(__xludf.DUMMYFUNCTION("""COMPUTED_VALUE"""),"Mercedes-Benz Metris")</f>
        <v>Mercedes-Benz Metris</v>
      </c>
      <c r="C221" s="1">
        <f>IFERROR(__xludf.DUMMYFUNCTION("""COMPUTED_VALUE"""),732.0)</f>
        <v>732</v>
      </c>
      <c r="D221" s="1">
        <f>IFERROR(__xludf.DUMMYFUNCTION("""COMPUTED_VALUE"""),948.0)</f>
        <v>948</v>
      </c>
      <c r="E221" s="1">
        <f>IFERROR(__xludf.DUMMYFUNCTION("""COMPUTED_VALUE"""),574.0)</f>
        <v>574</v>
      </c>
      <c r="F221" s="1">
        <f>IFERROR(__xludf.DUMMYFUNCTION("""COMPUTED_VALUE"""),630.0)</f>
        <v>630</v>
      </c>
      <c r="G221" s="4">
        <f>IFERROR(__xludf.DUMMYFUNCTION("""COMPUTED_VALUE"""),1400.0)</f>
        <v>1400</v>
      </c>
      <c r="H221" s="4">
        <f>IFERROR(__xludf.DUMMYFUNCTION("""COMPUTED_VALUE"""),1470.0)</f>
        <v>1470</v>
      </c>
      <c r="I221" s="4">
        <f>IFERROR(__xludf.DUMMYFUNCTION("""COMPUTED_VALUE"""),1753.0)</f>
        <v>1753</v>
      </c>
      <c r="J221" s="4">
        <f>IFERROR(__xludf.DUMMYFUNCTION("""COMPUTED_VALUE"""),1558.0)</f>
        <v>1558</v>
      </c>
      <c r="K221" s="4">
        <f>IFERROR(__xludf.DUMMYFUNCTION("""COMPUTED_VALUE"""),1688.0)</f>
        <v>1688</v>
      </c>
      <c r="L221" s="1">
        <f>IFERROR(__xludf.DUMMYFUNCTION("""COMPUTED_VALUE"""),756.0)</f>
        <v>756</v>
      </c>
      <c r="M221" s="1">
        <f>IFERROR(__xludf.DUMMYFUNCTION("""COMPUTED_VALUE"""),621.0)</f>
        <v>621</v>
      </c>
      <c r="N221" s="1">
        <f>IFERROR(__xludf.DUMMYFUNCTION("""COMPUTED_VALUE"""),864.0)</f>
        <v>864</v>
      </c>
    </row>
    <row r="222">
      <c r="A222" s="1" t="str">
        <f>vlookup(B222:B525,split_names!A221:B1132,2,0)</f>
        <v>Mercedes-Benz</v>
      </c>
      <c r="B222" s="1" t="str">
        <f>IFERROR(__xludf.DUMMYFUNCTION("""COMPUTED_VALUE"""),"Mercedes-Benz S-Class")</f>
        <v>Mercedes-Benz S-Class</v>
      </c>
      <c r="C222" s="1">
        <f>IFERROR(__xludf.DUMMYFUNCTION("""COMPUTED_VALUE"""),768.0)</f>
        <v>768</v>
      </c>
      <c r="D222" s="1">
        <f>IFERROR(__xludf.DUMMYFUNCTION("""COMPUTED_VALUE"""),995.0)</f>
        <v>995</v>
      </c>
      <c r="E222" s="1">
        <f>IFERROR(__xludf.DUMMYFUNCTION("""COMPUTED_VALUE"""),603.0)</f>
        <v>603</v>
      </c>
      <c r="F222" s="1">
        <f>IFERROR(__xludf.DUMMYFUNCTION("""COMPUTED_VALUE"""),327.0)</f>
        <v>327</v>
      </c>
      <c r="G222" s="1">
        <f>IFERROR(__xludf.DUMMYFUNCTION("""COMPUTED_VALUE"""),727.0)</f>
        <v>727</v>
      </c>
      <c r="H222" s="1">
        <f>IFERROR(__xludf.DUMMYFUNCTION("""COMPUTED_VALUE"""),763.0)</f>
        <v>763</v>
      </c>
      <c r="I222" s="1">
        <f>IFERROR(__xludf.DUMMYFUNCTION("""COMPUTED_VALUE"""),858.0)</f>
        <v>858</v>
      </c>
      <c r="J222" s="1">
        <f>IFERROR(__xludf.DUMMYFUNCTION("""COMPUTED_VALUE"""),763.0)</f>
        <v>763</v>
      </c>
      <c r="K222" s="1">
        <f>IFERROR(__xludf.DUMMYFUNCTION("""COMPUTED_VALUE"""),826.0)</f>
        <v>826</v>
      </c>
      <c r="L222" s="1">
        <f>IFERROR(__xludf.DUMMYFUNCTION("""COMPUTED_VALUE"""),661.0)</f>
        <v>661</v>
      </c>
      <c r="M222" s="1">
        <f>IFERROR(__xludf.DUMMYFUNCTION("""COMPUTED_VALUE"""),543.0)</f>
        <v>543</v>
      </c>
      <c r="N222" s="1">
        <f>IFERROR(__xludf.DUMMYFUNCTION("""COMPUTED_VALUE"""),755.0)</f>
        <v>755</v>
      </c>
    </row>
    <row r="223">
      <c r="A223" s="1" t="str">
        <f>vlookup(B223:B526,split_names!A222:B1133,2,0)</f>
        <v>Mercedes-Benz</v>
      </c>
      <c r="B223" s="1" t="str">
        <f>IFERROR(__xludf.DUMMYFUNCTION("""COMPUTED_VALUE"""),"Mercedes-Benz SL-Class")</f>
        <v>Mercedes-Benz SL-Class</v>
      </c>
      <c r="C223" s="1">
        <f>IFERROR(__xludf.DUMMYFUNCTION("""COMPUTED_VALUE"""),130.0)</f>
        <v>130</v>
      </c>
      <c r="D223" s="1">
        <f>IFERROR(__xludf.DUMMYFUNCTION("""COMPUTED_VALUE"""),169.0)</f>
        <v>169</v>
      </c>
      <c r="E223" s="1">
        <f>IFERROR(__xludf.DUMMYFUNCTION("""COMPUTED_VALUE"""),102.0)</f>
        <v>102</v>
      </c>
      <c r="F223" s="1">
        <f>IFERROR(__xludf.DUMMYFUNCTION("""COMPUTED_VALUE"""),71.0)</f>
        <v>71</v>
      </c>
      <c r="G223" s="1">
        <f>IFERROR(__xludf.DUMMYFUNCTION("""COMPUTED_VALUE"""),158.0)</f>
        <v>158</v>
      </c>
      <c r="H223" s="1">
        <f>IFERROR(__xludf.DUMMYFUNCTION("""COMPUTED_VALUE"""),165.0)</f>
        <v>165</v>
      </c>
      <c r="I223" s="1">
        <f>IFERROR(__xludf.DUMMYFUNCTION("""COMPUTED_VALUE"""),195.0)</f>
        <v>195</v>
      </c>
      <c r="J223" s="1">
        <f>IFERROR(__xludf.DUMMYFUNCTION("""COMPUTED_VALUE"""),173.0)</f>
        <v>173</v>
      </c>
      <c r="K223" s="1">
        <f>IFERROR(__xludf.DUMMYFUNCTION("""COMPUTED_VALUE"""),187.0)</f>
        <v>187</v>
      </c>
      <c r="L223" s="1">
        <f>IFERROR(__xludf.DUMMYFUNCTION("""COMPUTED_VALUE"""),146.0)</f>
        <v>146</v>
      </c>
      <c r="M223" s="1">
        <f>IFERROR(__xludf.DUMMYFUNCTION("""COMPUTED_VALUE"""),120.0)</f>
        <v>120</v>
      </c>
      <c r="N223" s="1">
        <f>IFERROR(__xludf.DUMMYFUNCTION("""COMPUTED_VALUE"""),167.0)</f>
        <v>167</v>
      </c>
    </row>
    <row r="224">
      <c r="A224" s="1" t="str">
        <f>vlookup(B224:B527,split_names!A223:B1134,2,0)</f>
        <v>Mercedes-Benz</v>
      </c>
      <c r="B224" s="1" t="str">
        <f>IFERROR(__xludf.DUMMYFUNCTION("""COMPUTED_VALUE"""),"Mercedes-Benz SLC-Class")</f>
        <v>Mercedes-Benz SLC-Class</v>
      </c>
      <c r="C224" s="1">
        <f>IFERROR(__xludf.DUMMYFUNCTION("""COMPUTED_VALUE"""),136.0)</f>
        <v>136</v>
      </c>
      <c r="D224" s="1">
        <f>IFERROR(__xludf.DUMMYFUNCTION("""COMPUTED_VALUE"""),176.0)</f>
        <v>176</v>
      </c>
      <c r="E224" s="1">
        <f>IFERROR(__xludf.DUMMYFUNCTION("""COMPUTED_VALUE"""),107.0)</f>
        <v>107</v>
      </c>
      <c r="F224" s="1">
        <f>IFERROR(__xludf.DUMMYFUNCTION("""COMPUTED_VALUE"""),90.0)</f>
        <v>90</v>
      </c>
      <c r="G224" s="1">
        <f>IFERROR(__xludf.DUMMYFUNCTION("""COMPUTED_VALUE"""),200.0)</f>
        <v>200</v>
      </c>
      <c r="H224" s="1">
        <f>IFERROR(__xludf.DUMMYFUNCTION("""COMPUTED_VALUE"""),210.0)</f>
        <v>210</v>
      </c>
      <c r="I224" s="1">
        <f>IFERROR(__xludf.DUMMYFUNCTION("""COMPUTED_VALUE"""),255.0)</f>
        <v>255</v>
      </c>
      <c r="J224" s="1">
        <f>IFERROR(__xludf.DUMMYFUNCTION("""COMPUTED_VALUE"""),227.0)</f>
        <v>227</v>
      </c>
      <c r="K224" s="1">
        <f>IFERROR(__xludf.DUMMYFUNCTION("""COMPUTED_VALUE"""),246.0)</f>
        <v>246</v>
      </c>
      <c r="L224" s="1">
        <f>IFERROR(__xludf.DUMMYFUNCTION("""COMPUTED_VALUE"""),160.0)</f>
        <v>160</v>
      </c>
      <c r="M224" s="1">
        <f>IFERROR(__xludf.DUMMYFUNCTION("""COMPUTED_VALUE"""),131.0)</f>
        <v>131</v>
      </c>
      <c r="N224" s="1">
        <f>IFERROR(__xludf.DUMMYFUNCTION("""COMPUTED_VALUE"""),183.0)</f>
        <v>183</v>
      </c>
    </row>
    <row r="225">
      <c r="A225" s="1" t="str">
        <f>vlookup(B225:B528,split_names!A224:B1135,2,0)</f>
        <v>Mercedes-Benz</v>
      </c>
      <c r="B225" s="1" t="str">
        <f>IFERROR(__xludf.DUMMYFUNCTION("""COMPUTED_VALUE"""),"Mercedes-Benz Sprinter")</f>
        <v>Mercedes-Benz Sprinter</v>
      </c>
      <c r="C225" s="4">
        <f>IFERROR(__xludf.DUMMYFUNCTION("""COMPUTED_VALUE"""),1710.0)</f>
        <v>1710</v>
      </c>
      <c r="D225" s="4">
        <f>IFERROR(__xludf.DUMMYFUNCTION("""COMPUTED_VALUE"""),2214.0)</f>
        <v>2214</v>
      </c>
      <c r="E225" s="4">
        <f>IFERROR(__xludf.DUMMYFUNCTION("""COMPUTED_VALUE"""),1341.0)</f>
        <v>1341</v>
      </c>
      <c r="F225" s="4">
        <f>IFERROR(__xludf.DUMMYFUNCTION("""COMPUTED_VALUE"""),1307.0)</f>
        <v>1307</v>
      </c>
      <c r="G225" s="4">
        <f>IFERROR(__xludf.DUMMYFUNCTION("""COMPUTED_VALUE"""),2904.0)</f>
        <v>2904</v>
      </c>
      <c r="H225" s="4">
        <f>IFERROR(__xludf.DUMMYFUNCTION("""COMPUTED_VALUE"""),3049.0)</f>
        <v>3049</v>
      </c>
      <c r="I225" s="4">
        <f>IFERROR(__xludf.DUMMYFUNCTION("""COMPUTED_VALUE"""),3506.0)</f>
        <v>3506</v>
      </c>
      <c r="J225" s="4">
        <f>IFERROR(__xludf.DUMMYFUNCTION("""COMPUTED_VALUE"""),3117.0)</f>
        <v>3117</v>
      </c>
      <c r="K225" s="4">
        <f>IFERROR(__xludf.DUMMYFUNCTION("""COMPUTED_VALUE"""),3377.0)</f>
        <v>3377</v>
      </c>
      <c r="L225" s="4">
        <f>IFERROR(__xludf.DUMMYFUNCTION("""COMPUTED_VALUE"""),5056.0)</f>
        <v>5056</v>
      </c>
      <c r="M225" s="4">
        <f>IFERROR(__xludf.DUMMYFUNCTION("""COMPUTED_VALUE"""),4153.0)</f>
        <v>4153</v>
      </c>
      <c r="N225" s="4">
        <f>IFERROR(__xludf.DUMMYFUNCTION("""COMPUTED_VALUE"""),5779.0)</f>
        <v>5779</v>
      </c>
    </row>
    <row r="226">
      <c r="A226" s="1" t="str">
        <f>vlookup(B226:B529,split_names!A225:B1136,2,0)</f>
        <v>Mini</v>
      </c>
      <c r="B226" s="1" t="str">
        <f>IFERROR(__xludf.DUMMYFUNCTION("""COMPUTED_VALUE"""),"Mini Cooper")</f>
        <v>Mini Cooper</v>
      </c>
      <c r="C226" s="4">
        <f>IFERROR(__xludf.DUMMYFUNCTION("""COMPUTED_VALUE"""),1157.0)</f>
        <v>1157</v>
      </c>
      <c r="D226" s="4">
        <f>IFERROR(__xludf.DUMMYFUNCTION("""COMPUTED_VALUE"""),1498.0)</f>
        <v>1498</v>
      </c>
      <c r="E226" s="1">
        <f>IFERROR(__xludf.DUMMYFUNCTION("""COMPUTED_VALUE"""),907.0)</f>
        <v>907</v>
      </c>
      <c r="F226" s="1">
        <f>IFERROR(__xludf.DUMMYFUNCTION("""COMPUTED_VALUE"""),656.0)</f>
        <v>656</v>
      </c>
      <c r="G226" s="4">
        <f>IFERROR(__xludf.DUMMYFUNCTION("""COMPUTED_VALUE"""),1457.0)</f>
        <v>1457</v>
      </c>
      <c r="H226" s="4">
        <f>IFERROR(__xludf.DUMMYFUNCTION("""COMPUTED_VALUE"""),1530.0)</f>
        <v>1530</v>
      </c>
      <c r="I226" s="4">
        <f>IFERROR(__xludf.DUMMYFUNCTION("""COMPUTED_VALUE"""),2119.0)</f>
        <v>2119</v>
      </c>
      <c r="J226" s="4">
        <f>IFERROR(__xludf.DUMMYFUNCTION("""COMPUTED_VALUE"""),1877.0)</f>
        <v>1877</v>
      </c>
      <c r="K226" s="4">
        <f>IFERROR(__xludf.DUMMYFUNCTION("""COMPUTED_VALUE"""),1998.0)</f>
        <v>1998</v>
      </c>
      <c r="L226" s="4">
        <f>IFERROR(__xludf.DUMMYFUNCTION("""COMPUTED_VALUE"""),1850.0)</f>
        <v>1850</v>
      </c>
      <c r="M226" s="4">
        <f>IFERROR(__xludf.DUMMYFUNCTION("""COMPUTED_VALUE"""),1520.0)</f>
        <v>1520</v>
      </c>
      <c r="N226" s="4">
        <f>IFERROR(__xludf.DUMMYFUNCTION("""COMPUTED_VALUE"""),2115.0)</f>
        <v>2115</v>
      </c>
    </row>
    <row r="227">
      <c r="A227" s="1" t="str">
        <f>vlookup(B227:B530,split_names!A226:B1137,2,0)</f>
        <v>Mini</v>
      </c>
      <c r="B227" s="1" t="str">
        <f>IFERROR(__xludf.DUMMYFUNCTION("""COMPUTED_VALUE"""),"Mini Countryman")</f>
        <v>Mini Countryman</v>
      </c>
      <c r="C227" s="1">
        <f>IFERROR(__xludf.DUMMYFUNCTION("""COMPUTED_VALUE"""),544.0)</f>
        <v>544</v>
      </c>
      <c r="D227" s="1">
        <f>IFERROR(__xludf.DUMMYFUNCTION("""COMPUTED_VALUE"""),704.0)</f>
        <v>704</v>
      </c>
      <c r="E227" s="1">
        <f>IFERROR(__xludf.DUMMYFUNCTION("""COMPUTED_VALUE"""),426.0)</f>
        <v>426</v>
      </c>
      <c r="F227" s="1">
        <f>IFERROR(__xludf.DUMMYFUNCTION("""COMPUTED_VALUE"""),296.0)</f>
        <v>296</v>
      </c>
      <c r="G227" s="1">
        <f>IFERROR(__xludf.DUMMYFUNCTION("""COMPUTED_VALUE"""),658.0)</f>
        <v>658</v>
      </c>
      <c r="H227" s="1">
        <f>IFERROR(__xludf.DUMMYFUNCTION("""COMPUTED_VALUE"""),691.0)</f>
        <v>691</v>
      </c>
      <c r="I227" s="4">
        <f>IFERROR(__xludf.DUMMYFUNCTION("""COMPUTED_VALUE"""),1054.0)</f>
        <v>1054</v>
      </c>
      <c r="J227" s="1">
        <f>IFERROR(__xludf.DUMMYFUNCTION("""COMPUTED_VALUE"""),933.0)</f>
        <v>933</v>
      </c>
      <c r="K227" s="1">
        <f>IFERROR(__xludf.DUMMYFUNCTION("""COMPUTED_VALUE"""),993.0)</f>
        <v>993</v>
      </c>
      <c r="L227" s="4">
        <f>IFERROR(__xludf.DUMMYFUNCTION("""COMPUTED_VALUE"""),1034.0)</f>
        <v>1034</v>
      </c>
      <c r="M227" s="1">
        <f>IFERROR(__xludf.DUMMYFUNCTION("""COMPUTED_VALUE"""),849.0)</f>
        <v>849</v>
      </c>
      <c r="N227" s="4">
        <f>IFERROR(__xludf.DUMMYFUNCTION("""COMPUTED_VALUE"""),1181.0)</f>
        <v>1181</v>
      </c>
    </row>
    <row r="228">
      <c r="A228" s="1" t="str">
        <f>vlookup(B228:B531,split_names!A227:B1138,2,0)</f>
        <v>Mitsubishi</v>
      </c>
      <c r="B228" s="1" t="str">
        <f>IFERROR(__xludf.DUMMYFUNCTION("""COMPUTED_VALUE"""),"Mitsubishi Eclipse Cross")</f>
        <v>Mitsubishi Eclipse Cross</v>
      </c>
      <c r="C228" s="4">
        <f>IFERROR(__xludf.DUMMYFUNCTION("""COMPUTED_VALUE"""),2118.0)</f>
        <v>2118</v>
      </c>
      <c r="D228" s="4">
        <f>IFERROR(__xludf.DUMMYFUNCTION("""COMPUTED_VALUE"""),2036.0)</f>
        <v>2036</v>
      </c>
      <c r="E228" s="4">
        <f>IFERROR(__xludf.DUMMYFUNCTION("""COMPUTED_VALUE"""),1030.0)</f>
        <v>1030</v>
      </c>
      <c r="F228" s="1">
        <f>IFERROR(__xludf.DUMMYFUNCTION("""COMPUTED_VALUE"""),413.0)</f>
        <v>413</v>
      </c>
      <c r="G228" s="1">
        <f>IFERROR(__xludf.DUMMYFUNCTION("""COMPUTED_VALUE"""),367.0)</f>
        <v>367</v>
      </c>
      <c r="H228" s="1">
        <f>IFERROR(__xludf.DUMMYFUNCTION("""COMPUTED_VALUE"""),382.0)</f>
        <v>382</v>
      </c>
      <c r="I228" s="1">
        <f>IFERROR(__xludf.DUMMYFUNCTION("""COMPUTED_VALUE"""),852.0)</f>
        <v>852</v>
      </c>
      <c r="J228" s="1">
        <f>IFERROR(__xludf.DUMMYFUNCTION("""COMPUTED_VALUE"""),757.0)</f>
        <v>757</v>
      </c>
      <c r="K228" s="1">
        <f>IFERROR(__xludf.DUMMYFUNCTION("""COMPUTED_VALUE"""),820.0)</f>
        <v>820</v>
      </c>
      <c r="L228" s="1">
        <f>IFERROR(__xludf.DUMMYFUNCTION("""COMPUTED_VALUE"""),521.0)</f>
        <v>521</v>
      </c>
      <c r="M228" s="1">
        <f>IFERROR(__xludf.DUMMYFUNCTION("""COMPUTED_VALUE"""),428.0)</f>
        <v>428</v>
      </c>
      <c r="N228" s="1">
        <f>IFERROR(__xludf.DUMMYFUNCTION("""COMPUTED_VALUE"""),595.0)</f>
        <v>595</v>
      </c>
    </row>
    <row r="229">
      <c r="A229" s="1" t="str">
        <f>vlookup(B229:B532,split_names!A228:B1139,2,0)</f>
        <v>Mitsubishi</v>
      </c>
      <c r="B229" s="1" t="str">
        <f>IFERROR(__xludf.DUMMYFUNCTION("""COMPUTED_VALUE"""),"Mitsubishi Mirage")</f>
        <v>Mitsubishi Mirage</v>
      </c>
      <c r="C229" s="4">
        <f>IFERROR(__xludf.DUMMYFUNCTION("""COMPUTED_VALUE"""),1511.0)</f>
        <v>1511</v>
      </c>
      <c r="D229" s="4">
        <f>IFERROR(__xludf.DUMMYFUNCTION("""COMPUTED_VALUE"""),1852.0)</f>
        <v>1852</v>
      </c>
      <c r="E229" s="4">
        <f>IFERROR(__xludf.DUMMYFUNCTION("""COMPUTED_VALUE"""),1283.0)</f>
        <v>1283</v>
      </c>
      <c r="F229" s="4">
        <f>IFERROR(__xludf.DUMMYFUNCTION("""COMPUTED_VALUE"""),1352.0)</f>
        <v>1352</v>
      </c>
      <c r="G229" s="4">
        <f>IFERROR(__xludf.DUMMYFUNCTION("""COMPUTED_VALUE"""),1202.0)</f>
        <v>1202</v>
      </c>
      <c r="H229" s="4">
        <f>IFERROR(__xludf.DUMMYFUNCTION("""COMPUTED_VALUE"""),1252.0)</f>
        <v>1252</v>
      </c>
      <c r="I229" s="4">
        <f>IFERROR(__xludf.DUMMYFUNCTION("""COMPUTED_VALUE"""),2047.0)</f>
        <v>2047</v>
      </c>
      <c r="J229" s="4">
        <f>IFERROR(__xludf.DUMMYFUNCTION("""COMPUTED_VALUE"""),1820.0)</f>
        <v>1820</v>
      </c>
      <c r="K229" s="4">
        <f>IFERROR(__xludf.DUMMYFUNCTION("""COMPUTED_VALUE"""),1972.0)</f>
        <v>1972</v>
      </c>
      <c r="L229" s="4">
        <f>IFERROR(__xludf.DUMMYFUNCTION("""COMPUTED_VALUE"""),1634.0)</f>
        <v>1634</v>
      </c>
      <c r="M229" s="4">
        <f>IFERROR(__xludf.DUMMYFUNCTION("""COMPUTED_VALUE"""),1342.0)</f>
        <v>1342</v>
      </c>
      <c r="N229" s="4">
        <f>IFERROR(__xludf.DUMMYFUNCTION("""COMPUTED_VALUE"""),1868.0)</f>
        <v>1868</v>
      </c>
    </row>
    <row r="230">
      <c r="A230" s="1" t="str">
        <f>vlookup(B230:B533,split_names!A229:B1140,2,0)</f>
        <v>Mitsubishi</v>
      </c>
      <c r="B230" s="1" t="str">
        <f>IFERROR(__xludf.DUMMYFUNCTION("""COMPUTED_VALUE"""),"Mitsubishi Outlander")</f>
        <v>Mitsubishi Outlander</v>
      </c>
      <c r="C230" s="4">
        <f>IFERROR(__xludf.DUMMYFUNCTION("""COMPUTED_VALUE"""),3891.0)</f>
        <v>3891</v>
      </c>
      <c r="D230" s="4">
        <f>IFERROR(__xludf.DUMMYFUNCTION("""COMPUTED_VALUE"""),5291.0)</f>
        <v>5291</v>
      </c>
      <c r="E230" s="4">
        <f>IFERROR(__xludf.DUMMYFUNCTION("""COMPUTED_VALUE"""),3627.0)</f>
        <v>3627</v>
      </c>
      <c r="F230" s="1">
        <f>IFERROR(__xludf.DUMMYFUNCTION("""COMPUTED_VALUE"""),972.0)</f>
        <v>972</v>
      </c>
      <c r="G230" s="1">
        <f>IFERROR(__xludf.DUMMYFUNCTION("""COMPUTED_VALUE"""),864.0)</f>
        <v>864</v>
      </c>
      <c r="H230" s="1">
        <f>IFERROR(__xludf.DUMMYFUNCTION("""COMPUTED_VALUE"""),900.0)</f>
        <v>900</v>
      </c>
      <c r="I230" s="4">
        <f>IFERROR(__xludf.DUMMYFUNCTION("""COMPUTED_VALUE"""),2778.0)</f>
        <v>2778</v>
      </c>
      <c r="J230" s="4">
        <f>IFERROR(__xludf.DUMMYFUNCTION("""COMPUTED_VALUE"""),2470.0)</f>
        <v>2470</v>
      </c>
      <c r="K230" s="4">
        <f>IFERROR(__xludf.DUMMYFUNCTION("""COMPUTED_VALUE"""),2675.0)</f>
        <v>2675</v>
      </c>
      <c r="L230" s="4">
        <f>IFERROR(__xludf.DUMMYFUNCTION("""COMPUTED_VALUE"""),1236.0)</f>
        <v>1236</v>
      </c>
      <c r="M230" s="4">
        <f>IFERROR(__xludf.DUMMYFUNCTION("""COMPUTED_VALUE"""),1016.0)</f>
        <v>1016</v>
      </c>
      <c r="N230" s="4">
        <f>IFERROR(__xludf.DUMMYFUNCTION("""COMPUTED_VALUE"""),1413.0)</f>
        <v>1413</v>
      </c>
    </row>
    <row r="231">
      <c r="A231" s="1" t="str">
        <f>vlookup(B231:B534,split_names!A230:B1141,2,0)</f>
        <v>Mitsubishi</v>
      </c>
      <c r="B231" s="1" t="str">
        <f>IFERROR(__xludf.DUMMYFUNCTION("""COMPUTED_VALUE"""),"Mitsubishi Outlander PHEV")</f>
        <v>Mitsubishi Outlander PHEV</v>
      </c>
      <c r="C231" s="1">
        <f>IFERROR(__xludf.DUMMYFUNCTION("""COMPUTED_VALUE"""),95.0)</f>
        <v>95</v>
      </c>
      <c r="D231" s="1">
        <f>IFERROR(__xludf.DUMMYFUNCTION("""COMPUTED_VALUE"""),151.0)</f>
        <v>151</v>
      </c>
      <c r="E231" s="1">
        <f>IFERROR(__xludf.DUMMYFUNCTION("""COMPUTED_VALUE"""),101.0)</f>
        <v>101</v>
      </c>
      <c r="F231" s="1">
        <f>IFERROR(__xludf.DUMMYFUNCTION("""COMPUTED_VALUE"""),101.0)</f>
        <v>101</v>
      </c>
      <c r="G231" s="1">
        <f>IFERROR(__xludf.DUMMYFUNCTION("""COMPUTED_VALUE"""),90.0)</f>
        <v>90</v>
      </c>
      <c r="H231" s="1">
        <f>IFERROR(__xludf.DUMMYFUNCTION("""COMPUTED_VALUE"""),94.0)</f>
        <v>94</v>
      </c>
      <c r="I231" s="1">
        <f>IFERROR(__xludf.DUMMYFUNCTION("""COMPUTED_VALUE"""),332.0)</f>
        <v>332</v>
      </c>
      <c r="J231" s="1">
        <f>IFERROR(__xludf.DUMMYFUNCTION("""COMPUTED_VALUE"""),295.0)</f>
        <v>295</v>
      </c>
      <c r="K231" s="1">
        <f>IFERROR(__xludf.DUMMYFUNCTION("""COMPUTED_VALUE"""),320.0)</f>
        <v>320</v>
      </c>
      <c r="L231" s="1">
        <f>IFERROR(__xludf.DUMMYFUNCTION("""COMPUTED_VALUE"""),130.0)</f>
        <v>130</v>
      </c>
      <c r="M231" s="1">
        <f>IFERROR(__xludf.DUMMYFUNCTION("""COMPUTED_VALUE"""),107.0)</f>
        <v>107</v>
      </c>
      <c r="N231" s="1">
        <f>IFERROR(__xludf.DUMMYFUNCTION("""COMPUTED_VALUE"""),148.0)</f>
        <v>148</v>
      </c>
    </row>
    <row r="232">
      <c r="A232" s="1" t="str">
        <f>vlookup(B232:B535,split_names!A231:B1142,2,0)</f>
        <v>Mitsubishi</v>
      </c>
      <c r="B232" s="1" t="str">
        <f>IFERROR(__xludf.DUMMYFUNCTION("""COMPUTED_VALUE"""),"Mitsubishi Outlander Sport")</f>
        <v>Mitsubishi Outlander Sport</v>
      </c>
      <c r="C232" s="4">
        <f>IFERROR(__xludf.DUMMYFUNCTION("""COMPUTED_VALUE"""),3011.0)</f>
        <v>3011</v>
      </c>
      <c r="D232" s="4">
        <f>IFERROR(__xludf.DUMMYFUNCTION("""COMPUTED_VALUE"""),6213.0)</f>
        <v>6213</v>
      </c>
      <c r="E232" s="4">
        <f>IFERROR(__xludf.DUMMYFUNCTION("""COMPUTED_VALUE"""),3353.0)</f>
        <v>3353</v>
      </c>
      <c r="F232" s="4">
        <f>IFERROR(__xludf.DUMMYFUNCTION("""COMPUTED_VALUE"""),1495.0)</f>
        <v>1495</v>
      </c>
      <c r="G232" s="4">
        <f>IFERROR(__xludf.DUMMYFUNCTION("""COMPUTED_VALUE"""),1329.0)</f>
        <v>1329</v>
      </c>
      <c r="H232" s="4">
        <f>IFERROR(__xludf.DUMMYFUNCTION("""COMPUTED_VALUE"""),1384.0)</f>
        <v>1384</v>
      </c>
      <c r="I232" s="4">
        <f>IFERROR(__xludf.DUMMYFUNCTION("""COMPUTED_VALUE"""),2707.0)</f>
        <v>2707</v>
      </c>
      <c r="J232" s="4">
        <f>IFERROR(__xludf.DUMMYFUNCTION("""COMPUTED_VALUE"""),2406.0)</f>
        <v>2406</v>
      </c>
      <c r="K232" s="4">
        <f>IFERROR(__xludf.DUMMYFUNCTION("""COMPUTED_VALUE"""),2606.0)</f>
        <v>2606</v>
      </c>
      <c r="L232" s="4">
        <f>IFERROR(__xludf.DUMMYFUNCTION("""COMPUTED_VALUE"""),1461.0)</f>
        <v>1461</v>
      </c>
      <c r="M232" s="4">
        <f>IFERROR(__xludf.DUMMYFUNCTION("""COMPUTED_VALUE"""),1200.0)</f>
        <v>1200</v>
      </c>
      <c r="N232" s="4">
        <f>IFERROR(__xludf.DUMMYFUNCTION("""COMPUTED_VALUE"""),1670.0)</f>
        <v>1670</v>
      </c>
    </row>
    <row r="233">
      <c r="A233" s="1" t="str">
        <f>vlookup(B233:B536,split_names!A232:B1143,2,0)</f>
        <v>Nissan</v>
      </c>
      <c r="B233" s="1" t="str">
        <f>IFERROR(__xludf.DUMMYFUNCTION("""COMPUTED_VALUE"""),"Nissan 370Z")</f>
        <v>Nissan 370Z</v>
      </c>
      <c r="C233" s="1">
        <f>IFERROR(__xludf.DUMMYFUNCTION("""COMPUTED_VALUE"""),182.0)</f>
        <v>182</v>
      </c>
      <c r="D233" s="1">
        <f>IFERROR(__xludf.DUMMYFUNCTION("""COMPUTED_VALUE"""),236.0)</f>
        <v>236</v>
      </c>
      <c r="E233" s="1">
        <f>IFERROR(__xludf.DUMMYFUNCTION("""COMPUTED_VALUE"""),143.0)</f>
        <v>143</v>
      </c>
      <c r="F233" s="1">
        <f>IFERROR(__xludf.DUMMYFUNCTION("""COMPUTED_VALUE"""),135.0)</f>
        <v>135</v>
      </c>
      <c r="G233" s="1">
        <f>IFERROR(__xludf.DUMMYFUNCTION("""COMPUTED_VALUE"""),300.0)</f>
        <v>300</v>
      </c>
      <c r="H233" s="1">
        <f>IFERROR(__xludf.DUMMYFUNCTION("""COMPUTED_VALUE"""),315.0)</f>
        <v>315</v>
      </c>
      <c r="I233" s="1">
        <f>IFERROR(__xludf.DUMMYFUNCTION("""COMPUTED_VALUE"""),178.0)</f>
        <v>178</v>
      </c>
      <c r="J233" s="1">
        <f>IFERROR(__xludf.DUMMYFUNCTION("""COMPUTED_VALUE"""),159.0)</f>
        <v>159</v>
      </c>
      <c r="K233" s="1">
        <f>IFERROR(__xludf.DUMMYFUNCTION("""COMPUTED_VALUE"""),172.0)</f>
        <v>172</v>
      </c>
      <c r="L233" s="1">
        <f>IFERROR(__xludf.DUMMYFUNCTION("""COMPUTED_VALUE"""),46.0)</f>
        <v>46</v>
      </c>
      <c r="M233" s="1">
        <f>IFERROR(__xludf.DUMMYFUNCTION("""COMPUTED_VALUE"""),37.0)</f>
        <v>37</v>
      </c>
      <c r="N233" s="1">
        <f>IFERROR(__xludf.DUMMYFUNCTION("""COMPUTED_VALUE"""),52.0)</f>
        <v>52</v>
      </c>
    </row>
    <row r="234">
      <c r="A234" s="1" t="str">
        <f>vlookup(B234:B537,split_names!A233:B1144,2,0)</f>
        <v>Nissan</v>
      </c>
      <c r="B234" s="1" t="str">
        <f>IFERROR(__xludf.DUMMYFUNCTION("""COMPUTED_VALUE"""),"Nissan Altima")</f>
        <v>Nissan Altima</v>
      </c>
      <c r="C234" s="4">
        <f>IFERROR(__xludf.DUMMYFUNCTION("""COMPUTED_VALUE"""),15378.0)</f>
        <v>15378</v>
      </c>
      <c r="D234" s="4">
        <f>IFERROR(__xludf.DUMMYFUNCTION("""COMPUTED_VALUE"""),19909.0)</f>
        <v>19909</v>
      </c>
      <c r="E234" s="4">
        <f>IFERROR(__xludf.DUMMYFUNCTION("""COMPUTED_VALUE"""),12059.0)</f>
        <v>12059</v>
      </c>
      <c r="F234" s="4">
        <f>IFERROR(__xludf.DUMMYFUNCTION("""COMPUTED_VALUE"""),3906.0)</f>
        <v>3906</v>
      </c>
      <c r="G234" s="4">
        <f>IFERROR(__xludf.DUMMYFUNCTION("""COMPUTED_VALUE"""),8681.0)</f>
        <v>8681</v>
      </c>
      <c r="H234" s="4">
        <f>IFERROR(__xludf.DUMMYFUNCTION("""COMPUTED_VALUE"""),9115.0)</f>
        <v>9115</v>
      </c>
      <c r="I234" s="4">
        <f>IFERROR(__xludf.DUMMYFUNCTION("""COMPUTED_VALUE"""),9830.0)</f>
        <v>9830</v>
      </c>
      <c r="J234" s="4">
        <f>IFERROR(__xludf.DUMMYFUNCTION("""COMPUTED_VALUE"""),8738.0)</f>
        <v>8738</v>
      </c>
      <c r="K234" s="4">
        <f>IFERROR(__xludf.DUMMYFUNCTION("""COMPUTED_VALUE"""),9466.0)</f>
        <v>9466</v>
      </c>
      <c r="L234" s="4">
        <f>IFERROR(__xludf.DUMMYFUNCTION("""COMPUTED_VALUE"""),13800.0)</f>
        <v>13800</v>
      </c>
      <c r="M234" s="4">
        <f>IFERROR(__xludf.DUMMYFUNCTION("""COMPUTED_VALUE"""),11335.0)</f>
        <v>11335</v>
      </c>
      <c r="N234" s="4">
        <f>IFERROR(__xludf.DUMMYFUNCTION("""COMPUTED_VALUE"""),15771.0)</f>
        <v>15771</v>
      </c>
    </row>
    <row r="235">
      <c r="A235" s="1" t="str">
        <f>vlookup(B235:B538,split_names!A234:B1145,2,0)</f>
        <v>Nissan</v>
      </c>
      <c r="B235" s="1" t="str">
        <f>IFERROR(__xludf.DUMMYFUNCTION("""COMPUTED_VALUE"""),"Nissan Armada")</f>
        <v>Nissan Armada</v>
      </c>
      <c r="C235" s="4">
        <f>IFERROR(__xludf.DUMMYFUNCTION("""COMPUTED_VALUE"""),2607.0)</f>
        <v>2607</v>
      </c>
      <c r="D235" s="4">
        <f>IFERROR(__xludf.DUMMYFUNCTION("""COMPUTED_VALUE"""),3375.0)</f>
        <v>3375</v>
      </c>
      <c r="E235" s="4">
        <f>IFERROR(__xludf.DUMMYFUNCTION("""COMPUTED_VALUE"""),2044.0)</f>
        <v>2044</v>
      </c>
      <c r="F235" s="1">
        <f>IFERROR(__xludf.DUMMYFUNCTION("""COMPUTED_VALUE"""),923.0)</f>
        <v>923</v>
      </c>
      <c r="G235" s="4">
        <f>IFERROR(__xludf.DUMMYFUNCTION("""COMPUTED_VALUE"""),2051.0)</f>
        <v>2051</v>
      </c>
      <c r="H235" s="4">
        <f>IFERROR(__xludf.DUMMYFUNCTION("""COMPUTED_VALUE"""),2153.0)</f>
        <v>2153</v>
      </c>
      <c r="I235" s="4">
        <f>IFERROR(__xludf.DUMMYFUNCTION("""COMPUTED_VALUE"""),1531.0)</f>
        <v>1531</v>
      </c>
      <c r="J235" s="4">
        <f>IFERROR(__xludf.DUMMYFUNCTION("""COMPUTED_VALUE"""),1361.0)</f>
        <v>1361</v>
      </c>
      <c r="K235" s="4">
        <f>IFERROR(__xludf.DUMMYFUNCTION("""COMPUTED_VALUE"""),1474.0)</f>
        <v>1474</v>
      </c>
      <c r="L235" s="1">
        <f>IFERROR(__xludf.DUMMYFUNCTION("""COMPUTED_VALUE"""),715.0)</f>
        <v>715</v>
      </c>
      <c r="M235" s="1">
        <f>IFERROR(__xludf.DUMMYFUNCTION("""COMPUTED_VALUE"""),587.0)</f>
        <v>587</v>
      </c>
      <c r="N235" s="1">
        <f>IFERROR(__xludf.DUMMYFUNCTION("""COMPUTED_VALUE"""),817.0)</f>
        <v>817</v>
      </c>
    </row>
    <row r="236">
      <c r="A236" s="1" t="str">
        <f>vlookup(B236:B539,split_names!A235:B1146,2,0)</f>
        <v>Nissan</v>
      </c>
      <c r="B236" s="1" t="str">
        <f>IFERROR(__xludf.DUMMYFUNCTION("""COMPUTED_VALUE"""),"Nissan Frontier")</f>
        <v>Nissan Frontier</v>
      </c>
      <c r="C236" s="4">
        <f>IFERROR(__xludf.DUMMYFUNCTION("""COMPUTED_VALUE"""),3339.0)</f>
        <v>3339</v>
      </c>
      <c r="D236" s="4">
        <f>IFERROR(__xludf.DUMMYFUNCTION("""COMPUTED_VALUE"""),4323.0)</f>
        <v>4323</v>
      </c>
      <c r="E236" s="4">
        <f>IFERROR(__xludf.DUMMYFUNCTION("""COMPUTED_VALUE"""),2618.0)</f>
        <v>2618</v>
      </c>
      <c r="F236" s="4">
        <f>IFERROR(__xludf.DUMMYFUNCTION("""COMPUTED_VALUE"""),1583.0)</f>
        <v>1583</v>
      </c>
      <c r="G236" s="4">
        <f>IFERROR(__xludf.DUMMYFUNCTION("""COMPUTED_VALUE"""),3518.0)</f>
        <v>3518</v>
      </c>
      <c r="H236" s="4">
        <f>IFERROR(__xludf.DUMMYFUNCTION("""COMPUTED_VALUE"""),3693.0)</f>
        <v>3693</v>
      </c>
      <c r="I236" s="4">
        <f>IFERROR(__xludf.DUMMYFUNCTION("""COMPUTED_VALUE"""),2529.0)</f>
        <v>2529</v>
      </c>
      <c r="J236" s="4">
        <f>IFERROR(__xludf.DUMMYFUNCTION("""COMPUTED_VALUE"""),2248.0)</f>
        <v>2248</v>
      </c>
      <c r="K236" s="4">
        <f>IFERROR(__xludf.DUMMYFUNCTION("""COMPUTED_VALUE"""),20407.0)</f>
        <v>20407</v>
      </c>
      <c r="L236" s="4">
        <f>IFERROR(__xludf.DUMMYFUNCTION("""COMPUTED_VALUE"""),3562.0)</f>
        <v>3562</v>
      </c>
      <c r="M236" s="4">
        <f>IFERROR(__xludf.DUMMYFUNCTION("""COMPUTED_VALUE"""),2926.0)</f>
        <v>2926</v>
      </c>
      <c r="N236" s="4">
        <f>IFERROR(__xludf.DUMMYFUNCTION("""COMPUTED_VALUE"""),4071.0)</f>
        <v>4071</v>
      </c>
    </row>
    <row r="237">
      <c r="A237" s="1" t="str">
        <f>vlookup(B237:B540,split_names!A236:B1147,2,0)</f>
        <v>Nissan</v>
      </c>
      <c r="B237" s="1" t="str">
        <f>IFERROR(__xludf.DUMMYFUNCTION("""COMPUTED_VALUE"""),"Nissan GT-R")</f>
        <v>Nissan GT-R</v>
      </c>
      <c r="C237" s="1">
        <f>IFERROR(__xludf.DUMMYFUNCTION("""COMPUTED_VALUE"""),19.0)</f>
        <v>19</v>
      </c>
      <c r="D237" s="1">
        <f>IFERROR(__xludf.DUMMYFUNCTION("""COMPUTED_VALUE"""),24.0)</f>
        <v>24</v>
      </c>
      <c r="E237" s="1">
        <f>IFERROR(__xludf.DUMMYFUNCTION("""COMPUTED_VALUE"""),15.0)</f>
        <v>15</v>
      </c>
      <c r="F237" s="1">
        <f>IFERROR(__xludf.DUMMYFUNCTION("""COMPUTED_VALUE"""),13.0)</f>
        <v>13</v>
      </c>
      <c r="G237" s="1">
        <f>IFERROR(__xludf.DUMMYFUNCTION("""COMPUTED_VALUE"""),28.0)</f>
        <v>28</v>
      </c>
      <c r="H237" s="1">
        <f>IFERROR(__xludf.DUMMYFUNCTION("""COMPUTED_VALUE"""),29.0)</f>
        <v>29</v>
      </c>
      <c r="I237" s="1">
        <f>IFERROR(__xludf.DUMMYFUNCTION("""COMPUTED_VALUE"""),40.0)</f>
        <v>40</v>
      </c>
      <c r="J237" s="1">
        <f>IFERROR(__xludf.DUMMYFUNCTION("""COMPUTED_VALUE"""),35.0)</f>
        <v>35</v>
      </c>
      <c r="K237" s="1">
        <f>IFERROR(__xludf.DUMMYFUNCTION("""COMPUTED_VALUE"""),38.0)</f>
        <v>38</v>
      </c>
      <c r="L237" s="1">
        <f>IFERROR(__xludf.DUMMYFUNCTION("""COMPUTED_VALUE"""),21.0)</f>
        <v>21</v>
      </c>
      <c r="M237" s="1">
        <f>IFERROR(__xludf.DUMMYFUNCTION("""COMPUTED_VALUE"""),17.0)</f>
        <v>17</v>
      </c>
      <c r="N237" s="1">
        <f>IFERROR(__xludf.DUMMYFUNCTION("""COMPUTED_VALUE"""),24.0)</f>
        <v>24</v>
      </c>
    </row>
    <row r="238">
      <c r="A238" s="1" t="str">
        <f>vlookup(B238:B541,split_names!A237:B1148,2,0)</f>
        <v>Nissan</v>
      </c>
      <c r="B238" s="1" t="str">
        <f>IFERROR(__xludf.DUMMYFUNCTION("""COMPUTED_VALUE"""),"Nissan Kicks")</f>
        <v>Nissan Kicks</v>
      </c>
      <c r="C238" s="4">
        <f>IFERROR(__xludf.DUMMYFUNCTION("""COMPUTED_VALUE"""),4537.0)</f>
        <v>4537</v>
      </c>
      <c r="D238" s="4">
        <f>IFERROR(__xludf.DUMMYFUNCTION("""COMPUTED_VALUE"""),5874.0)</f>
        <v>5874</v>
      </c>
      <c r="E238" s="4">
        <f>IFERROR(__xludf.DUMMYFUNCTION("""COMPUTED_VALUE"""),3558.0)</f>
        <v>3558</v>
      </c>
      <c r="F238" s="4">
        <f>IFERROR(__xludf.DUMMYFUNCTION("""COMPUTED_VALUE"""),1655.0)</f>
        <v>1655</v>
      </c>
      <c r="G238" s="4">
        <f>IFERROR(__xludf.DUMMYFUNCTION("""COMPUTED_VALUE"""),3677.0)</f>
        <v>3677</v>
      </c>
      <c r="H238" s="4">
        <f>IFERROR(__xludf.DUMMYFUNCTION("""COMPUTED_VALUE"""),3861.0)</f>
        <v>3861</v>
      </c>
      <c r="I238" s="4">
        <f>IFERROR(__xludf.DUMMYFUNCTION("""COMPUTED_VALUE"""),6830.0)</f>
        <v>6830</v>
      </c>
      <c r="J238" s="4">
        <f>IFERROR(__xludf.DUMMYFUNCTION("""COMPUTED_VALUE"""),6071.0)</f>
        <v>6071</v>
      </c>
      <c r="K238" s="4">
        <f>IFERROR(__xludf.DUMMYFUNCTION("""COMPUTED_VALUE"""),6577.0)</f>
        <v>6577</v>
      </c>
      <c r="L238" s="4">
        <f>IFERROR(__xludf.DUMMYFUNCTION("""COMPUTED_VALUE"""),5471.0)</f>
        <v>5471</v>
      </c>
      <c r="M238" s="4">
        <f>IFERROR(__xludf.DUMMYFUNCTION("""COMPUTED_VALUE"""),4494.0)</f>
        <v>4494</v>
      </c>
      <c r="N238" s="4">
        <f>IFERROR(__xludf.DUMMYFUNCTION("""COMPUTED_VALUE"""),6253.0)</f>
        <v>6253</v>
      </c>
    </row>
    <row r="239">
      <c r="A239" s="1" t="str">
        <f>vlookup(B239:B542,split_names!A238:B1149,2,0)</f>
        <v>Nissan</v>
      </c>
      <c r="B239" s="1" t="str">
        <f>IFERROR(__xludf.DUMMYFUNCTION("""COMPUTED_VALUE"""),"Nissan Leaf")</f>
        <v>Nissan Leaf</v>
      </c>
      <c r="C239" s="1">
        <f>IFERROR(__xludf.DUMMYFUNCTION("""COMPUTED_VALUE"""),636.0)</f>
        <v>636</v>
      </c>
      <c r="D239" s="1">
        <f>IFERROR(__xludf.DUMMYFUNCTION("""COMPUTED_VALUE"""),823.0)</f>
        <v>823</v>
      </c>
      <c r="E239" s="1">
        <f>IFERROR(__xludf.DUMMYFUNCTION("""COMPUTED_VALUE"""),499.0)</f>
        <v>499</v>
      </c>
      <c r="F239" s="1">
        <f>IFERROR(__xludf.DUMMYFUNCTION("""COMPUTED_VALUE"""),189.0)</f>
        <v>189</v>
      </c>
      <c r="G239" s="1">
        <f>IFERROR(__xludf.DUMMYFUNCTION("""COMPUTED_VALUE"""),420.0)</f>
        <v>420</v>
      </c>
      <c r="H239" s="1">
        <f>IFERROR(__xludf.DUMMYFUNCTION("""COMPUTED_VALUE"""),441.0)</f>
        <v>441</v>
      </c>
      <c r="I239" s="1">
        <f>IFERROR(__xludf.DUMMYFUNCTION("""COMPUTED_VALUE"""),672.0)</f>
        <v>672</v>
      </c>
      <c r="J239" s="1">
        <f>IFERROR(__xludf.DUMMYFUNCTION("""COMPUTED_VALUE"""),597.0)</f>
        <v>597</v>
      </c>
      <c r="K239" s="1">
        <f>IFERROR(__xludf.DUMMYFUNCTION("""COMPUTED_VALUE"""),647.0)</f>
        <v>647</v>
      </c>
      <c r="L239" s="4">
        <f>IFERROR(__xludf.DUMMYFUNCTION("""COMPUTED_VALUE"""),1566.0)</f>
        <v>1566</v>
      </c>
      <c r="M239" s="4">
        <f>IFERROR(__xludf.DUMMYFUNCTION("""COMPUTED_VALUE"""),1280.0)</f>
        <v>1280</v>
      </c>
      <c r="N239" s="4">
        <f>IFERROR(__xludf.DUMMYFUNCTION("""COMPUTED_VALUE"""),1789.0)</f>
        <v>1789</v>
      </c>
    </row>
    <row r="240">
      <c r="A240" s="1" t="str">
        <f>vlookup(B240:B543,split_names!A239:B1150,2,0)</f>
        <v>Nissan</v>
      </c>
      <c r="B240" s="1" t="str">
        <f>IFERROR(__xludf.DUMMYFUNCTION("""COMPUTED_VALUE"""),"Nissan Maxima")</f>
        <v>Nissan Maxima</v>
      </c>
      <c r="C240" s="4">
        <f>IFERROR(__xludf.DUMMYFUNCTION("""COMPUTED_VALUE"""),1982.0)</f>
        <v>1982</v>
      </c>
      <c r="D240" s="4">
        <f>IFERROR(__xludf.DUMMYFUNCTION("""COMPUTED_VALUE"""),2566.0)</f>
        <v>2566</v>
      </c>
      <c r="E240" s="4">
        <f>IFERROR(__xludf.DUMMYFUNCTION("""COMPUTED_VALUE"""),1554.0)</f>
        <v>1554</v>
      </c>
      <c r="F240" s="1">
        <f>IFERROR(__xludf.DUMMYFUNCTION("""COMPUTED_VALUE"""),717.0)</f>
        <v>717</v>
      </c>
      <c r="G240" s="4">
        <f>IFERROR(__xludf.DUMMYFUNCTION("""COMPUTED_VALUE"""),1673.0)</f>
        <v>1673</v>
      </c>
      <c r="H240" s="4">
        <f>IFERROR(__xludf.DUMMYFUNCTION("""COMPUTED_VALUE"""),1673.0)</f>
        <v>1673</v>
      </c>
      <c r="I240" s="4">
        <f>IFERROR(__xludf.DUMMYFUNCTION("""COMPUTED_VALUE"""),1392.0)</f>
        <v>1392</v>
      </c>
      <c r="J240" s="4">
        <f>IFERROR(__xludf.DUMMYFUNCTION("""COMPUTED_VALUE"""),1237.0)</f>
        <v>1237</v>
      </c>
      <c r="K240" s="4">
        <f>IFERROR(__xludf.DUMMYFUNCTION("""COMPUTED_VALUE"""),1340.0)</f>
        <v>1340</v>
      </c>
      <c r="L240" s="4">
        <f>IFERROR(__xludf.DUMMYFUNCTION("""COMPUTED_VALUE"""),1352.0)</f>
        <v>1352</v>
      </c>
      <c r="M240" s="4">
        <f>IFERROR(__xludf.DUMMYFUNCTION("""COMPUTED_VALUE"""),1110.0)</f>
        <v>1110</v>
      </c>
      <c r="N240" s="4">
        <f>IFERROR(__xludf.DUMMYFUNCTION("""COMPUTED_VALUE"""),1545.0)</f>
        <v>1545</v>
      </c>
    </row>
    <row r="241">
      <c r="A241" s="1" t="str">
        <f>vlookup(B241:B544,split_names!A240:B1151,2,0)</f>
        <v>Nissan</v>
      </c>
      <c r="B241" s="1" t="str">
        <f>IFERROR(__xludf.DUMMYFUNCTION("""COMPUTED_VALUE"""),"Nissan Murano")</f>
        <v>Nissan Murano</v>
      </c>
      <c r="C241" s="4">
        <f>IFERROR(__xludf.DUMMYFUNCTION("""COMPUTED_VALUE"""),5094.0)</f>
        <v>5094</v>
      </c>
      <c r="D241" s="4">
        <f>IFERROR(__xludf.DUMMYFUNCTION("""COMPUTED_VALUE"""),6595.0)</f>
        <v>6595</v>
      </c>
      <c r="E241" s="4">
        <f>IFERROR(__xludf.DUMMYFUNCTION("""COMPUTED_VALUE"""),3994.0)</f>
        <v>3994</v>
      </c>
      <c r="F241" s="4">
        <f>IFERROR(__xludf.DUMMYFUNCTION("""COMPUTED_VALUE"""),2573.0)</f>
        <v>2573</v>
      </c>
      <c r="G241" s="4">
        <f>IFERROR(__xludf.DUMMYFUNCTION("""COMPUTED_VALUE"""),5717.0)</f>
        <v>5717</v>
      </c>
      <c r="H241" s="4">
        <f>IFERROR(__xludf.DUMMYFUNCTION("""COMPUTED_VALUE"""),6003.0)</f>
        <v>6003</v>
      </c>
      <c r="I241" s="4">
        <f>IFERROR(__xludf.DUMMYFUNCTION("""COMPUTED_VALUE"""),5219.0)</f>
        <v>5219</v>
      </c>
      <c r="J241" s="4">
        <f>IFERROR(__xludf.DUMMYFUNCTION("""COMPUTED_VALUE"""),4639.0)</f>
        <v>4639</v>
      </c>
      <c r="K241" s="4">
        <f>IFERROR(__xludf.DUMMYFUNCTION("""COMPUTED_VALUE"""),5026.0)</f>
        <v>5026</v>
      </c>
      <c r="L241" s="4">
        <f>IFERROR(__xludf.DUMMYFUNCTION("""COMPUTED_VALUE"""),4519.0)</f>
        <v>4519</v>
      </c>
      <c r="M241" s="4">
        <f>IFERROR(__xludf.DUMMYFUNCTION("""COMPUTED_VALUE"""),3712.0)</f>
        <v>3712</v>
      </c>
      <c r="N241" s="4">
        <f>IFERROR(__xludf.DUMMYFUNCTION("""COMPUTED_VALUE"""),5165.0)</f>
        <v>5165</v>
      </c>
    </row>
    <row r="242">
      <c r="A242" s="1" t="str">
        <f>vlookup(B242:B545,split_names!A241:B1152,2,0)</f>
        <v>Nissan</v>
      </c>
      <c r="B242" s="1" t="str">
        <f>IFERROR(__xludf.DUMMYFUNCTION("""COMPUTED_VALUE"""),"Nissan NV")</f>
        <v>Nissan NV</v>
      </c>
      <c r="C242" s="4">
        <f>IFERROR(__xludf.DUMMYFUNCTION("""COMPUTED_VALUE"""),1211.0)</f>
        <v>1211</v>
      </c>
      <c r="D242" s="4">
        <f>IFERROR(__xludf.DUMMYFUNCTION("""COMPUTED_VALUE"""),1568.0)</f>
        <v>1568</v>
      </c>
      <c r="E242" s="1">
        <f>IFERROR(__xludf.DUMMYFUNCTION("""COMPUTED_VALUE"""),950.0)</f>
        <v>950</v>
      </c>
      <c r="F242" s="1">
        <f>IFERROR(__xludf.DUMMYFUNCTION("""COMPUTED_VALUE"""),520.0)</f>
        <v>520</v>
      </c>
      <c r="G242" s="4">
        <f>IFERROR(__xludf.DUMMYFUNCTION("""COMPUTED_VALUE"""),1155.0)</f>
        <v>1155</v>
      </c>
      <c r="H242" s="4">
        <f>IFERROR(__xludf.DUMMYFUNCTION("""COMPUTED_VALUE"""),1213.0)</f>
        <v>1213</v>
      </c>
      <c r="I242" s="4">
        <f>IFERROR(__xludf.DUMMYFUNCTION("""COMPUTED_VALUE"""),1318.0)</f>
        <v>1318</v>
      </c>
      <c r="J242" s="4">
        <f>IFERROR(__xludf.DUMMYFUNCTION("""COMPUTED_VALUE"""),1172.0)</f>
        <v>1172</v>
      </c>
      <c r="K242" s="4">
        <f>IFERROR(__xludf.DUMMYFUNCTION("""COMPUTED_VALUE"""),1270.0)</f>
        <v>1270</v>
      </c>
      <c r="L242" s="4">
        <f>IFERROR(__xludf.DUMMYFUNCTION("""COMPUTED_VALUE"""),1643.0)</f>
        <v>1643</v>
      </c>
      <c r="M242" s="4">
        <f>IFERROR(__xludf.DUMMYFUNCTION("""COMPUTED_VALUE"""),1350.0)</f>
        <v>1350</v>
      </c>
      <c r="N242" s="4">
        <f>IFERROR(__xludf.DUMMYFUNCTION("""COMPUTED_VALUE"""),1878.0)</f>
        <v>1878</v>
      </c>
    </row>
    <row r="243">
      <c r="A243" s="1" t="str">
        <f>vlookup(B243:B546,split_names!A242:B1153,2,0)</f>
        <v>Nissan</v>
      </c>
      <c r="B243" s="1" t="str">
        <f>IFERROR(__xludf.DUMMYFUNCTION("""COMPUTED_VALUE"""),"Nissan NV200")</f>
        <v>Nissan NV200</v>
      </c>
      <c r="C243" s="4">
        <f>IFERROR(__xludf.DUMMYFUNCTION("""COMPUTED_VALUE"""),1540.0)</f>
        <v>1540</v>
      </c>
      <c r="D243" s="4">
        <f>IFERROR(__xludf.DUMMYFUNCTION("""COMPUTED_VALUE"""),1993.0)</f>
        <v>1993</v>
      </c>
      <c r="E243" s="4">
        <f>IFERROR(__xludf.DUMMYFUNCTION("""COMPUTED_VALUE"""),1207.0)</f>
        <v>1207</v>
      </c>
      <c r="F243" s="1">
        <f>IFERROR(__xludf.DUMMYFUNCTION("""COMPUTED_VALUE"""),583.0)</f>
        <v>583</v>
      </c>
      <c r="G243" s="4">
        <f>IFERROR(__xludf.DUMMYFUNCTION("""COMPUTED_VALUE"""),1295.0)</f>
        <v>1295</v>
      </c>
      <c r="H243" s="4">
        <f>IFERROR(__xludf.DUMMYFUNCTION("""COMPUTED_VALUE"""),1360.0)</f>
        <v>1360</v>
      </c>
      <c r="I243" s="4">
        <f>IFERROR(__xludf.DUMMYFUNCTION("""COMPUTED_VALUE"""),1674.0)</f>
        <v>1674</v>
      </c>
      <c r="J243" s="4">
        <f>IFERROR(__xludf.DUMMYFUNCTION("""COMPUTED_VALUE"""),1488.0)</f>
        <v>1488</v>
      </c>
      <c r="K243" s="4">
        <f>IFERROR(__xludf.DUMMYFUNCTION("""COMPUTED_VALUE"""),1612.0)</f>
        <v>1612</v>
      </c>
      <c r="L243" s="4">
        <f>IFERROR(__xludf.DUMMYFUNCTION("""COMPUTED_VALUE"""),1476.0)</f>
        <v>1476</v>
      </c>
      <c r="M243" s="4">
        <f>IFERROR(__xludf.DUMMYFUNCTION("""COMPUTED_VALUE"""),1212.0)</f>
        <v>1212</v>
      </c>
      <c r="N243" s="4">
        <f>IFERROR(__xludf.DUMMYFUNCTION("""COMPUTED_VALUE"""),1686.0)</f>
        <v>1686</v>
      </c>
    </row>
    <row r="244">
      <c r="A244" s="1" t="str">
        <f>vlookup(B244:B547,split_names!A243:B1154,2,0)</f>
        <v>Nissan</v>
      </c>
      <c r="B244" s="1" t="str">
        <f>IFERROR(__xludf.DUMMYFUNCTION("""COMPUTED_VALUE"""),"Nissan Pathfinder")</f>
        <v>Nissan Pathfinder</v>
      </c>
      <c r="C244" s="4">
        <f>IFERROR(__xludf.DUMMYFUNCTION("""COMPUTED_VALUE"""),5876.0)</f>
        <v>5876</v>
      </c>
      <c r="D244" s="4">
        <f>IFERROR(__xludf.DUMMYFUNCTION("""COMPUTED_VALUE"""),7608.0)</f>
        <v>7608</v>
      </c>
      <c r="E244" s="4">
        <f>IFERROR(__xludf.DUMMYFUNCTION("""COMPUTED_VALUE"""),4608.0)</f>
        <v>4608</v>
      </c>
      <c r="F244" s="4">
        <f>IFERROR(__xludf.DUMMYFUNCTION("""COMPUTED_VALUE"""),1595.0)</f>
        <v>1595</v>
      </c>
      <c r="G244" s="4">
        <f>IFERROR(__xludf.DUMMYFUNCTION("""COMPUTED_VALUE"""),3544.0)</f>
        <v>3544</v>
      </c>
      <c r="H244" s="4">
        <f>IFERROR(__xludf.DUMMYFUNCTION("""COMPUTED_VALUE"""),3722.0)</f>
        <v>3722</v>
      </c>
      <c r="I244" s="4">
        <f>IFERROR(__xludf.DUMMYFUNCTION("""COMPUTED_VALUE"""),3707.0)</f>
        <v>3707</v>
      </c>
      <c r="J244" s="4">
        <f>IFERROR(__xludf.DUMMYFUNCTION("""COMPUTED_VALUE"""),3295.0)</f>
        <v>3295</v>
      </c>
      <c r="K244" s="4">
        <f>IFERROR(__xludf.DUMMYFUNCTION("""COMPUTED_VALUE"""),3570.0)</f>
        <v>3570</v>
      </c>
      <c r="L244" s="4">
        <f>IFERROR(__xludf.DUMMYFUNCTION("""COMPUTED_VALUE"""),3729.0)</f>
        <v>3729</v>
      </c>
      <c r="M244" s="4">
        <f>IFERROR(__xludf.DUMMYFUNCTION("""COMPUTED_VALUE"""),3063.0)</f>
        <v>3063</v>
      </c>
      <c r="N244" s="4">
        <f>IFERROR(__xludf.DUMMYFUNCTION("""COMPUTED_VALUE"""),4262.0)</f>
        <v>4262</v>
      </c>
    </row>
    <row r="245">
      <c r="A245" s="1" t="str">
        <f>vlookup(B245:B548,split_names!A244:B1155,2,0)</f>
        <v>Nissan</v>
      </c>
      <c r="B245" s="1" t="str">
        <f>IFERROR(__xludf.DUMMYFUNCTION("""COMPUTED_VALUE"""),"Nissan Quest")</f>
        <v>Nissan Quest</v>
      </c>
      <c r="C245" s="1">
        <f>IFERROR(__xludf.DUMMYFUNCTION("""COMPUTED_VALUE"""),0.0)</f>
        <v>0</v>
      </c>
      <c r="D245" s="1">
        <f>IFERROR(__xludf.DUMMYFUNCTION("""COMPUTED_VALUE"""),0.0)</f>
        <v>0</v>
      </c>
      <c r="E245" s="1">
        <f>IFERROR(__xludf.DUMMYFUNCTION("""COMPUTED_VALUE"""),0.0)</f>
        <v>0</v>
      </c>
      <c r="F245" s="1">
        <f>IFERROR(__xludf.DUMMYFUNCTION("""COMPUTED_VALUE"""),0.0)</f>
        <v>0</v>
      </c>
      <c r="G245" s="1">
        <f>IFERROR(__xludf.DUMMYFUNCTION("""COMPUTED_VALUE"""),0.0)</f>
        <v>0</v>
      </c>
      <c r="H245" s="1">
        <f>IFERROR(__xludf.DUMMYFUNCTION("""COMPUTED_VALUE"""),0.0)</f>
        <v>0</v>
      </c>
      <c r="I245" s="1">
        <f>IFERROR(__xludf.DUMMYFUNCTION("""COMPUTED_VALUE"""),0.0)</f>
        <v>0</v>
      </c>
      <c r="J245" s="1">
        <f>IFERROR(__xludf.DUMMYFUNCTION("""COMPUTED_VALUE"""),0.0)</f>
        <v>0</v>
      </c>
      <c r="K245" s="1">
        <f>IFERROR(__xludf.DUMMYFUNCTION("""COMPUTED_VALUE"""),0.0)</f>
        <v>0</v>
      </c>
      <c r="L245" s="1">
        <f>IFERROR(__xludf.DUMMYFUNCTION("""COMPUTED_VALUE"""),0.0)</f>
        <v>0</v>
      </c>
      <c r="M245" s="1">
        <f>IFERROR(__xludf.DUMMYFUNCTION("""COMPUTED_VALUE"""),0.0)</f>
        <v>0</v>
      </c>
      <c r="N245" s="1">
        <f>IFERROR(__xludf.DUMMYFUNCTION("""COMPUTED_VALUE"""),0.0)</f>
        <v>0</v>
      </c>
    </row>
    <row r="246">
      <c r="A246" s="1" t="str">
        <f>vlookup(B246:B549,split_names!A245:B1156,2,0)</f>
        <v>Nissan</v>
      </c>
      <c r="B246" s="1" t="str">
        <f>IFERROR(__xludf.DUMMYFUNCTION("""COMPUTED_VALUE"""),"Nissan Rogue")</f>
        <v>Nissan Rogue</v>
      </c>
      <c r="C246" s="4">
        <f>IFERROR(__xludf.DUMMYFUNCTION("""COMPUTED_VALUE"""),19396.0)</f>
        <v>19396</v>
      </c>
      <c r="D246" s="4">
        <f>IFERROR(__xludf.DUMMYFUNCTION("""COMPUTED_VALUE"""),25111.0)</f>
        <v>25111</v>
      </c>
      <c r="E246" s="4">
        <f>IFERROR(__xludf.DUMMYFUNCTION("""COMPUTED_VALUE"""),15210.0)</f>
        <v>15210</v>
      </c>
      <c r="F246" s="4">
        <f>IFERROR(__xludf.DUMMYFUNCTION("""COMPUTED_VALUE"""),8505.0)</f>
        <v>8505</v>
      </c>
      <c r="G246" s="4">
        <f>IFERROR(__xludf.DUMMYFUNCTION("""COMPUTED_VALUE"""),18900.0)</f>
        <v>18900</v>
      </c>
      <c r="H246" s="4">
        <f>IFERROR(__xludf.DUMMYFUNCTION("""COMPUTED_VALUE"""),19845.0)</f>
        <v>19845</v>
      </c>
      <c r="I246" s="4">
        <f>IFERROR(__xludf.DUMMYFUNCTION("""COMPUTED_VALUE"""),21192.0)</f>
        <v>21192</v>
      </c>
      <c r="J246" s="4">
        <f>IFERROR(__xludf.DUMMYFUNCTION("""COMPUTED_VALUE"""),18837.0)</f>
        <v>18837</v>
      </c>
      <c r="K246" s="4">
        <f>IFERROR(__xludf.DUMMYFUNCTION("""COMPUTED_VALUE"""),20407.0)</f>
        <v>20407</v>
      </c>
      <c r="L246" s="4">
        <f>IFERROR(__xludf.DUMMYFUNCTION("""COMPUTED_VALUE"""),20421.0)</f>
        <v>20421</v>
      </c>
      <c r="M246" s="4">
        <f>IFERROR(__xludf.DUMMYFUNCTION("""COMPUTED_VALUE"""),16774.0)</f>
        <v>16774</v>
      </c>
      <c r="N246" s="4">
        <f>IFERROR(__xludf.DUMMYFUNCTION("""COMPUTED_VALUE"""),23338.0)</f>
        <v>23338</v>
      </c>
    </row>
    <row r="247">
      <c r="A247" s="1" t="str">
        <f>vlookup(B247:B550,split_names!A246:B1157,2,0)</f>
        <v>Nissan</v>
      </c>
      <c r="B247" s="1" t="str">
        <f>IFERROR(__xludf.DUMMYFUNCTION("""COMPUTED_VALUE"""),"Nissan Sentra")</f>
        <v>Nissan Sentra</v>
      </c>
      <c r="C247" s="4">
        <f>IFERROR(__xludf.DUMMYFUNCTION("""COMPUTED_VALUE"""),7756.0)</f>
        <v>7756</v>
      </c>
      <c r="D247" s="4">
        <f>IFERROR(__xludf.DUMMYFUNCTION("""COMPUTED_VALUE"""),10041.0)</f>
        <v>10041</v>
      </c>
      <c r="E247" s="4">
        <f>IFERROR(__xludf.DUMMYFUNCTION("""COMPUTED_VALUE"""),6082.0)</f>
        <v>6082</v>
      </c>
      <c r="F247" s="4">
        <f>IFERROR(__xludf.DUMMYFUNCTION("""COMPUTED_VALUE"""),3583.0)</f>
        <v>3583</v>
      </c>
      <c r="G247" s="4">
        <f>IFERROR(__xludf.DUMMYFUNCTION("""COMPUTED_VALUE"""),7963.0)</f>
        <v>7963</v>
      </c>
      <c r="H247" s="4">
        <f>IFERROR(__xludf.DUMMYFUNCTION("""COMPUTED_VALUE"""),8361.0)</f>
        <v>8361</v>
      </c>
      <c r="I247" s="4">
        <f>IFERROR(__xludf.DUMMYFUNCTION("""COMPUTED_VALUE"""),9147.0)</f>
        <v>9147</v>
      </c>
      <c r="J247" s="4">
        <f>IFERROR(__xludf.DUMMYFUNCTION("""COMPUTED_VALUE"""),8131.0)</f>
        <v>8131</v>
      </c>
      <c r="K247" s="4">
        <f>IFERROR(__xludf.DUMMYFUNCTION("""COMPUTED_VALUE"""),8808.0)</f>
        <v>8808</v>
      </c>
      <c r="L247" s="4">
        <f>IFERROR(__xludf.DUMMYFUNCTION("""COMPUTED_VALUE"""),8357.0)</f>
        <v>8357</v>
      </c>
      <c r="M247" s="4">
        <f>IFERROR(__xludf.DUMMYFUNCTION("""COMPUTED_VALUE"""),6865.0)</f>
        <v>6865</v>
      </c>
      <c r="N247" s="4">
        <f>IFERROR(__xludf.DUMMYFUNCTION("""COMPUTED_VALUE"""),9551.0)</f>
        <v>9551</v>
      </c>
    </row>
    <row r="248">
      <c r="A248" s="1" t="str">
        <f>vlookup(B248:B551,split_names!A247:B1158,2,0)</f>
        <v>Nissan</v>
      </c>
      <c r="B248" s="1" t="str">
        <f>IFERROR(__xludf.DUMMYFUNCTION("""COMPUTED_VALUE"""),"Nissan Titan")</f>
        <v>Nissan Titan</v>
      </c>
      <c r="C248" s="4">
        <f>IFERROR(__xludf.DUMMYFUNCTION("""COMPUTED_VALUE"""),1862.0)</f>
        <v>1862</v>
      </c>
      <c r="D248" s="4">
        <f>IFERROR(__xludf.DUMMYFUNCTION("""COMPUTED_VALUE"""),2410.0)</f>
        <v>2410</v>
      </c>
      <c r="E248" s="4">
        <f>IFERROR(__xludf.DUMMYFUNCTION("""COMPUTED_VALUE"""),1460.0)</f>
        <v>1460</v>
      </c>
      <c r="F248" s="4">
        <f>IFERROR(__xludf.DUMMYFUNCTION("""COMPUTED_VALUE"""),1164.0)</f>
        <v>1164</v>
      </c>
      <c r="G248" s="4">
        <f>IFERROR(__xludf.DUMMYFUNCTION("""COMPUTED_VALUE"""),2586.0)</f>
        <v>2586</v>
      </c>
      <c r="H248" s="4">
        <f>IFERROR(__xludf.DUMMYFUNCTION("""COMPUTED_VALUE"""),2715.0)</f>
        <v>2715</v>
      </c>
      <c r="I248" s="4">
        <f>IFERROR(__xludf.DUMMYFUNCTION("""COMPUTED_VALUE"""),2527.0)</f>
        <v>2527</v>
      </c>
      <c r="J248" s="4">
        <f>IFERROR(__xludf.DUMMYFUNCTION("""COMPUTED_VALUE"""),2246.0)</f>
        <v>2246</v>
      </c>
      <c r="K248" s="4">
        <f>IFERROR(__xludf.DUMMYFUNCTION("""COMPUTED_VALUE"""),2434.0)</f>
        <v>2434</v>
      </c>
      <c r="L248" s="4">
        <f>IFERROR(__xludf.DUMMYFUNCTION("""COMPUTED_VALUE"""),2374.0)</f>
        <v>2374</v>
      </c>
      <c r="M248" s="4">
        <f>IFERROR(__xludf.DUMMYFUNCTION("""COMPUTED_VALUE"""),1950.0)</f>
        <v>1950</v>
      </c>
      <c r="N248" s="4">
        <f>IFERROR(__xludf.DUMMYFUNCTION("""COMPUTED_VALUE"""),2713.0)</f>
        <v>2713</v>
      </c>
    </row>
    <row r="249">
      <c r="A249" s="1" t="str">
        <f>vlookup(B249:B552,split_names!A248:B1159,2,0)</f>
        <v>Nissan</v>
      </c>
      <c r="B249" s="1" t="str">
        <f>IFERROR(__xludf.DUMMYFUNCTION("""COMPUTED_VALUE"""),"Nissan Versa")</f>
        <v>Nissan Versa</v>
      </c>
      <c r="C249" s="4">
        <f>IFERROR(__xludf.DUMMYFUNCTION("""COMPUTED_VALUE"""),3955.0)</f>
        <v>3955</v>
      </c>
      <c r="D249" s="4">
        <f>IFERROR(__xludf.DUMMYFUNCTION("""COMPUTED_VALUE"""),5120.0)</f>
        <v>5120</v>
      </c>
      <c r="E249" s="4">
        <f>IFERROR(__xludf.DUMMYFUNCTION("""COMPUTED_VALUE"""),3101.0)</f>
        <v>3101</v>
      </c>
      <c r="F249" s="4">
        <f>IFERROR(__xludf.DUMMYFUNCTION("""COMPUTED_VALUE"""),1380.0)</f>
        <v>1380</v>
      </c>
      <c r="G249" s="4">
        <f>IFERROR(__xludf.DUMMYFUNCTION("""COMPUTED_VALUE"""),3066.0)</f>
        <v>3066</v>
      </c>
      <c r="H249" s="4">
        <f>IFERROR(__xludf.DUMMYFUNCTION("""COMPUTED_VALUE"""),3220.0)</f>
        <v>3220</v>
      </c>
      <c r="I249" s="4">
        <f>IFERROR(__xludf.DUMMYFUNCTION("""COMPUTED_VALUE"""),3670.0)</f>
        <v>3670</v>
      </c>
      <c r="J249" s="4">
        <f>IFERROR(__xludf.DUMMYFUNCTION("""COMPUTED_VALUE"""),3262.0)</f>
        <v>3262</v>
      </c>
      <c r="K249" s="4">
        <f>IFERROR(__xludf.DUMMYFUNCTION("""COMPUTED_VALUE"""),3534.0)</f>
        <v>3534</v>
      </c>
      <c r="L249" s="4">
        <f>IFERROR(__xludf.DUMMYFUNCTION("""COMPUTED_VALUE"""),6060.0)</f>
        <v>6060</v>
      </c>
      <c r="M249" s="4">
        <f>IFERROR(__xludf.DUMMYFUNCTION("""COMPUTED_VALUE"""),4978.0)</f>
        <v>4978</v>
      </c>
      <c r="N249" s="4">
        <f>IFERROR(__xludf.DUMMYFUNCTION("""COMPUTED_VALUE"""),6926.0)</f>
        <v>6926</v>
      </c>
    </row>
    <row r="250">
      <c r="A250" s="1" t="str">
        <f>vlookup(B250:B553,split_names!A249:B1160,2,0)</f>
        <v>Porsche</v>
      </c>
      <c r="B250" s="1" t="str">
        <f>IFERROR(__xludf.DUMMYFUNCTION("""COMPUTED_VALUE"""),"Porsche 718")</f>
        <v>Porsche 718</v>
      </c>
      <c r="C250" s="1">
        <f>IFERROR(__xludf.DUMMYFUNCTION("""COMPUTED_VALUE"""),130.0)</f>
        <v>130</v>
      </c>
      <c r="D250" s="1">
        <f>IFERROR(__xludf.DUMMYFUNCTION("""COMPUTED_VALUE"""),168.0)</f>
        <v>168</v>
      </c>
      <c r="E250" s="1">
        <f>IFERROR(__xludf.DUMMYFUNCTION("""COMPUTED_VALUE"""),102.0)</f>
        <v>102</v>
      </c>
      <c r="F250" s="1">
        <f>IFERROR(__xludf.DUMMYFUNCTION("""COMPUTED_VALUE"""),85.0)</f>
        <v>85</v>
      </c>
      <c r="G250" s="1">
        <f>IFERROR(__xludf.DUMMYFUNCTION("""COMPUTED_VALUE"""),189.0)</f>
        <v>189</v>
      </c>
      <c r="H250" s="1">
        <f>IFERROR(__xludf.DUMMYFUNCTION("""COMPUTED_VALUE"""),198.0)</f>
        <v>198</v>
      </c>
      <c r="I250" s="1">
        <f>IFERROR(__xludf.DUMMYFUNCTION("""COMPUTED_VALUE"""),380.0)</f>
        <v>380</v>
      </c>
      <c r="J250" s="1">
        <f>IFERROR(__xludf.DUMMYFUNCTION("""COMPUTED_VALUE"""),338.0)</f>
        <v>338</v>
      </c>
      <c r="K250" s="1">
        <f>IFERROR(__xludf.DUMMYFUNCTION("""COMPUTED_VALUE"""),366.0)</f>
        <v>366</v>
      </c>
      <c r="L250" s="1">
        <f>IFERROR(__xludf.DUMMYFUNCTION("""COMPUTED_VALUE"""),503.0)</f>
        <v>503</v>
      </c>
      <c r="M250" s="1">
        <f>IFERROR(__xludf.DUMMYFUNCTION("""COMPUTED_VALUE"""),413.0)</f>
        <v>413</v>
      </c>
      <c r="N250" s="1">
        <f>IFERROR(__xludf.DUMMYFUNCTION("""COMPUTED_VALUE"""),575.0)</f>
        <v>575</v>
      </c>
    </row>
    <row r="251">
      <c r="A251" s="1" t="str">
        <f>vlookup(B251:B554,split_names!A250:B1161,2,0)</f>
        <v>Porsche</v>
      </c>
      <c r="B251" s="1" t="str">
        <f>IFERROR(__xludf.DUMMYFUNCTION("""COMPUTED_VALUE"""),"Porsche 911")</f>
        <v>Porsche 911</v>
      </c>
      <c r="C251" s="1">
        <f>IFERROR(__xludf.DUMMYFUNCTION("""COMPUTED_VALUE"""),841.0)</f>
        <v>841</v>
      </c>
      <c r="D251" s="4">
        <f>IFERROR(__xludf.DUMMYFUNCTION("""COMPUTED_VALUE"""),1089.0)</f>
        <v>1089</v>
      </c>
      <c r="E251" s="1">
        <f>IFERROR(__xludf.DUMMYFUNCTION("""COMPUTED_VALUE"""),660.0)</f>
        <v>660</v>
      </c>
      <c r="F251" s="1">
        <f>IFERROR(__xludf.DUMMYFUNCTION("""COMPUTED_VALUE"""),404.0)</f>
        <v>404</v>
      </c>
      <c r="G251" s="1">
        <f>IFERROR(__xludf.DUMMYFUNCTION("""COMPUTED_VALUE"""),898.0)</f>
        <v>898</v>
      </c>
      <c r="H251" s="1">
        <f>IFERROR(__xludf.DUMMYFUNCTION("""COMPUTED_VALUE"""),943.0)</f>
        <v>943</v>
      </c>
      <c r="I251" s="1">
        <f>IFERROR(__xludf.DUMMYFUNCTION("""COMPUTED_VALUE"""),549.0)</f>
        <v>549</v>
      </c>
      <c r="J251" s="1">
        <f>IFERROR(__xludf.DUMMYFUNCTION("""COMPUTED_VALUE"""),488.0)</f>
        <v>488</v>
      </c>
      <c r="K251" s="1">
        <f>IFERROR(__xludf.DUMMYFUNCTION("""COMPUTED_VALUE"""),529.0)</f>
        <v>529</v>
      </c>
      <c r="L251" s="1">
        <f>IFERROR(__xludf.DUMMYFUNCTION("""COMPUTED_VALUE"""),822.0)</f>
        <v>822</v>
      </c>
      <c r="M251" s="1">
        <f>IFERROR(__xludf.DUMMYFUNCTION("""COMPUTED_VALUE"""),676.0)</f>
        <v>676</v>
      </c>
      <c r="N251" s="1">
        <f>IFERROR(__xludf.DUMMYFUNCTION("""COMPUTED_VALUE"""),940.0)</f>
        <v>940</v>
      </c>
    </row>
    <row r="252">
      <c r="A252" s="1" t="str">
        <f>vlookup(B252:B555,split_names!A251:B1162,2,0)</f>
        <v>Porsche</v>
      </c>
      <c r="B252" s="1" t="str">
        <f>IFERROR(__xludf.DUMMYFUNCTION("""COMPUTED_VALUE"""),"Porsche Cayenne")</f>
        <v>Porsche Cayenne</v>
      </c>
      <c r="C252" s="4">
        <f>IFERROR(__xludf.DUMMYFUNCTION("""COMPUTED_VALUE"""),1241.0)</f>
        <v>1241</v>
      </c>
      <c r="D252" s="4">
        <f>IFERROR(__xludf.DUMMYFUNCTION("""COMPUTED_VALUE"""),1607.0)</f>
        <v>1607</v>
      </c>
      <c r="E252" s="1">
        <f>IFERROR(__xludf.DUMMYFUNCTION("""COMPUTED_VALUE"""),973.0)</f>
        <v>973</v>
      </c>
      <c r="F252" s="1">
        <f>IFERROR(__xludf.DUMMYFUNCTION("""COMPUTED_VALUE"""),688.0)</f>
        <v>688</v>
      </c>
      <c r="G252" s="4">
        <f>IFERROR(__xludf.DUMMYFUNCTION("""COMPUTED_VALUE"""),1529.0)</f>
        <v>1529</v>
      </c>
      <c r="H252" s="4">
        <f>IFERROR(__xludf.DUMMYFUNCTION("""COMPUTED_VALUE"""),1605.0)</f>
        <v>1605</v>
      </c>
      <c r="I252" s="4">
        <f>IFERROR(__xludf.DUMMYFUNCTION("""COMPUTED_VALUE"""),1581.0)</f>
        <v>1581</v>
      </c>
      <c r="J252" s="4">
        <f>IFERROR(__xludf.DUMMYFUNCTION("""COMPUTED_VALUE"""),1405.0)</f>
        <v>1405</v>
      </c>
      <c r="K252" s="4">
        <f>IFERROR(__xludf.DUMMYFUNCTION("""COMPUTED_VALUE"""),1523.0)</f>
        <v>1523</v>
      </c>
      <c r="L252" s="4">
        <f>IFERROR(__xludf.DUMMYFUNCTION("""COMPUTED_VALUE"""),2004.0)</f>
        <v>2004</v>
      </c>
      <c r="M252" s="4">
        <f>IFERROR(__xludf.DUMMYFUNCTION("""COMPUTED_VALUE"""),1646.0)</f>
        <v>1646</v>
      </c>
      <c r="N252" s="4">
        <f>IFERROR(__xludf.DUMMYFUNCTION("""COMPUTED_VALUE"""),2290.0)</f>
        <v>2290</v>
      </c>
    </row>
    <row r="253">
      <c r="A253" s="1" t="str">
        <f>vlookup(B253:B556,split_names!A252:B1163,2,0)</f>
        <v>Porsche</v>
      </c>
      <c r="B253" s="1" t="str">
        <f>IFERROR(__xludf.DUMMYFUNCTION("""COMPUTED_VALUE"""),"Porsche Macan")</f>
        <v>Porsche Macan</v>
      </c>
      <c r="C253" s="4">
        <f>IFERROR(__xludf.DUMMYFUNCTION("""COMPUTED_VALUE"""),1227.0)</f>
        <v>1227</v>
      </c>
      <c r="D253" s="4">
        <f>IFERROR(__xludf.DUMMYFUNCTION("""COMPUTED_VALUE"""),1588.0)</f>
        <v>1588</v>
      </c>
      <c r="E253" s="1">
        <f>IFERROR(__xludf.DUMMYFUNCTION("""COMPUTED_VALUE"""),962.0)</f>
        <v>962</v>
      </c>
      <c r="F253" s="1">
        <f>IFERROR(__xludf.DUMMYFUNCTION("""COMPUTED_VALUE"""),714.0)</f>
        <v>714</v>
      </c>
      <c r="G253" s="4">
        <f>IFERROR(__xludf.DUMMYFUNCTION("""COMPUTED_VALUE"""),1586.0)</f>
        <v>1586</v>
      </c>
      <c r="H253" s="4">
        <f>IFERROR(__xludf.DUMMYFUNCTION("""COMPUTED_VALUE"""),1665.0)</f>
        <v>1665</v>
      </c>
      <c r="I253" s="4">
        <f>IFERROR(__xludf.DUMMYFUNCTION("""COMPUTED_VALUE"""),1917.0)</f>
        <v>1917</v>
      </c>
      <c r="J253" s="4">
        <f>IFERROR(__xludf.DUMMYFUNCTION("""COMPUTED_VALUE"""),1704.0)</f>
        <v>1704</v>
      </c>
      <c r="K253" s="4">
        <f>IFERROR(__xludf.DUMMYFUNCTION("""COMPUTED_VALUE"""),1846.0)</f>
        <v>1846</v>
      </c>
      <c r="L253" s="4">
        <f>IFERROR(__xludf.DUMMYFUNCTION("""COMPUTED_VALUE"""),1830.0)</f>
        <v>1830</v>
      </c>
      <c r="M253" s="4">
        <f>IFERROR(__xludf.DUMMYFUNCTION("""COMPUTED_VALUE"""),1503.0)</f>
        <v>1503</v>
      </c>
      <c r="N253" s="4">
        <f>IFERROR(__xludf.DUMMYFUNCTION("""COMPUTED_VALUE"""),2091.0)</f>
        <v>2091</v>
      </c>
    </row>
    <row r="254">
      <c r="A254" s="1" t="str">
        <f>vlookup(B254:B557,split_names!A253:B1164,2,0)</f>
        <v>Porsche</v>
      </c>
      <c r="B254" s="1" t="str">
        <f>IFERROR(__xludf.DUMMYFUNCTION("""COMPUTED_VALUE"""),"Porsche Panamera")</f>
        <v>Porsche Panamera</v>
      </c>
      <c r="C254" s="1">
        <f>IFERROR(__xludf.DUMMYFUNCTION("""COMPUTED_VALUE"""),385.0)</f>
        <v>385</v>
      </c>
      <c r="D254" s="1">
        <f>IFERROR(__xludf.DUMMYFUNCTION("""COMPUTED_VALUE"""),498.0)</f>
        <v>498</v>
      </c>
      <c r="E254" s="1">
        <f>IFERROR(__xludf.DUMMYFUNCTION("""COMPUTED_VALUE"""),302.0)</f>
        <v>302</v>
      </c>
      <c r="F254" s="1">
        <f>IFERROR(__xludf.DUMMYFUNCTION("""COMPUTED_VALUE"""),157.0)</f>
        <v>157</v>
      </c>
      <c r="G254" s="1">
        <f>IFERROR(__xludf.DUMMYFUNCTION("""COMPUTED_VALUE"""),348.0)</f>
        <v>348</v>
      </c>
      <c r="H254" s="1">
        <f>IFERROR(__xludf.DUMMYFUNCTION("""COMPUTED_VALUE"""),366.0)</f>
        <v>366</v>
      </c>
      <c r="I254" s="1">
        <f>IFERROR(__xludf.DUMMYFUNCTION("""COMPUTED_VALUE"""),373.0)</f>
        <v>373</v>
      </c>
      <c r="J254" s="1">
        <f>IFERROR(__xludf.DUMMYFUNCTION("""COMPUTED_VALUE"""),332.0)</f>
        <v>332</v>
      </c>
      <c r="K254" s="1">
        <f>IFERROR(__xludf.DUMMYFUNCTION("""COMPUTED_VALUE"""),359.0)</f>
        <v>359</v>
      </c>
      <c r="L254" s="1">
        <f>IFERROR(__xludf.DUMMYFUNCTION("""COMPUTED_VALUE"""),253.0)</f>
        <v>253</v>
      </c>
      <c r="M254" s="1">
        <f>IFERROR(__xludf.DUMMYFUNCTION("""COMPUTED_VALUE"""),208.0)</f>
        <v>208</v>
      </c>
      <c r="N254" s="1">
        <f>IFERROR(__xludf.DUMMYFUNCTION("""COMPUTED_VALUE"""),290.0)</f>
        <v>290</v>
      </c>
    </row>
    <row r="255">
      <c r="A255" s="1" t="str">
        <f>vlookup(B255:B558,split_names!A254:B1165,2,0)</f>
        <v>Porsche</v>
      </c>
      <c r="B255" s="1" t="str">
        <f>IFERROR(__xludf.DUMMYFUNCTION("""COMPUTED_VALUE"""),"Porsche Taycan")</f>
        <v>Porsche Taycan</v>
      </c>
      <c r="C255" s="1">
        <f>IFERROR(__xludf.DUMMYFUNCTION("""COMPUTED_VALUE"""),72.0)</f>
        <v>72</v>
      </c>
      <c r="D255" s="1">
        <f>IFERROR(__xludf.DUMMYFUNCTION("""COMPUTED_VALUE"""),83.0)</f>
        <v>83</v>
      </c>
      <c r="E255" s="1">
        <f>IFERROR(__xludf.DUMMYFUNCTION("""COMPUTED_VALUE"""),56.0)</f>
        <v>56</v>
      </c>
      <c r="F255" s="1">
        <f>IFERROR(__xludf.DUMMYFUNCTION("""COMPUTED_VALUE"""),147.0)</f>
        <v>147</v>
      </c>
      <c r="G255" s="1">
        <f>IFERROR(__xludf.DUMMYFUNCTION("""COMPUTED_VALUE"""),327.0)</f>
        <v>327</v>
      </c>
      <c r="H255" s="1">
        <f>IFERROR(__xludf.DUMMYFUNCTION("""COMPUTED_VALUE"""),344.0)</f>
        <v>344</v>
      </c>
      <c r="I255" s="1">
        <f>IFERROR(__xludf.DUMMYFUNCTION("""COMPUTED_VALUE"""),652.0)</f>
        <v>652</v>
      </c>
      <c r="J255" s="1">
        <f>IFERROR(__xludf.DUMMYFUNCTION("""COMPUTED_VALUE"""),579.0)</f>
        <v>579</v>
      </c>
      <c r="K255" s="1">
        <f>IFERROR(__xludf.DUMMYFUNCTION("""COMPUTED_VALUE"""),627.0)</f>
        <v>627</v>
      </c>
      <c r="L255" s="1">
        <f>IFERROR(__xludf.DUMMYFUNCTION("""COMPUTED_VALUE"""),512.0)</f>
        <v>512</v>
      </c>
      <c r="M255" s="1">
        <f>IFERROR(__xludf.DUMMYFUNCTION("""COMPUTED_VALUE"""),420.0)</f>
        <v>420</v>
      </c>
      <c r="N255" s="1">
        <f>IFERROR(__xludf.DUMMYFUNCTION("""COMPUTED_VALUE"""),585.0)</f>
        <v>585</v>
      </c>
    </row>
    <row r="256">
      <c r="A256" s="1" t="str">
        <f>vlookup(B256:B559,split_names!A255:B1166,2,0)</f>
        <v>Ram</v>
      </c>
      <c r="B256" s="1" t="str">
        <f>IFERROR(__xludf.DUMMYFUNCTION("""COMPUTED_VALUE"""),"Ram Pickup")</f>
        <v>Ram Pickup</v>
      </c>
      <c r="C256" s="4">
        <f>IFERROR(__xludf.DUMMYFUNCTION("""COMPUTED_VALUE"""),41836.0)</f>
        <v>41836</v>
      </c>
      <c r="D256" s="4">
        <f>IFERROR(__xludf.DUMMYFUNCTION("""COMPUTED_VALUE"""),54163.0)</f>
        <v>54163</v>
      </c>
      <c r="E256" s="4">
        <f>IFERROR(__xludf.DUMMYFUNCTION("""COMPUTED_VALUE"""),32807.0)</f>
        <v>32807</v>
      </c>
      <c r="F256" s="4">
        <f>IFERROR(__xludf.DUMMYFUNCTION("""COMPUTED_VALUE"""),21141.0)</f>
        <v>21141</v>
      </c>
      <c r="G256" s="4">
        <f>IFERROR(__xludf.DUMMYFUNCTION("""COMPUTED_VALUE"""),46979.0)</f>
        <v>46979</v>
      </c>
      <c r="H256" s="4">
        <f>IFERROR(__xludf.DUMMYFUNCTION("""COMPUTED_VALUE"""),49328.0)</f>
        <v>49328</v>
      </c>
      <c r="I256" s="4">
        <f>IFERROR(__xludf.DUMMYFUNCTION("""COMPUTED_VALUE"""),54756.0)</f>
        <v>54756</v>
      </c>
      <c r="J256" s="4">
        <f>IFERROR(__xludf.DUMMYFUNCTION("""COMPUTED_VALUE"""),48672.0)</f>
        <v>48672</v>
      </c>
      <c r="K256" s="4">
        <f>IFERROR(__xludf.DUMMYFUNCTION("""COMPUTED_VALUE"""),52728.0)</f>
        <v>52728</v>
      </c>
      <c r="L256" s="4">
        <f>IFERROR(__xludf.DUMMYFUNCTION("""COMPUTED_VALUE"""),54403.0)</f>
        <v>54403</v>
      </c>
      <c r="M256" s="4">
        <f>IFERROR(__xludf.DUMMYFUNCTION("""COMPUTED_VALUE"""),44688.0)</f>
        <v>44688</v>
      </c>
      <c r="N256" s="4">
        <f>IFERROR(__xludf.DUMMYFUNCTION("""COMPUTED_VALUE"""),62175.0)</f>
        <v>62175</v>
      </c>
    </row>
    <row r="257">
      <c r="A257" s="1" t="str">
        <f>vlookup(B257:B560,split_names!A256:B1167,2,0)</f>
        <v>Ram</v>
      </c>
      <c r="B257" s="1" t="str">
        <f>IFERROR(__xludf.DUMMYFUNCTION("""COMPUTED_VALUE"""),"Ram ProMaster")</f>
        <v>Ram ProMaster</v>
      </c>
      <c r="C257" s="4">
        <f>IFERROR(__xludf.DUMMYFUNCTION("""COMPUTED_VALUE"""),3113.0)</f>
        <v>3113</v>
      </c>
      <c r="D257" s="4">
        <f>IFERROR(__xludf.DUMMYFUNCTION("""COMPUTED_VALUE"""),4030.0)</f>
        <v>4030</v>
      </c>
      <c r="E257" s="4">
        <f>IFERROR(__xludf.DUMMYFUNCTION("""COMPUTED_VALUE"""),2441.0)</f>
        <v>2441</v>
      </c>
      <c r="F257" s="4">
        <f>IFERROR(__xludf.DUMMYFUNCTION("""COMPUTED_VALUE"""),1424.0)</f>
        <v>1424</v>
      </c>
      <c r="G257" s="4">
        <f>IFERROR(__xludf.DUMMYFUNCTION("""COMPUTED_VALUE"""),3165.0)</f>
        <v>3165</v>
      </c>
      <c r="H257" s="4">
        <f>IFERROR(__xludf.DUMMYFUNCTION("""COMPUTED_VALUE"""),3323.0)</f>
        <v>3323</v>
      </c>
      <c r="I257" s="4">
        <f>IFERROR(__xludf.DUMMYFUNCTION("""COMPUTED_VALUE"""),5610.0)</f>
        <v>5610</v>
      </c>
      <c r="J257" s="4">
        <f>IFERROR(__xludf.DUMMYFUNCTION("""COMPUTED_VALUE"""),4986.0)</f>
        <v>4986</v>
      </c>
      <c r="K257" s="4">
        <f>IFERROR(__xludf.DUMMYFUNCTION("""COMPUTED_VALUE"""),5402.0)</f>
        <v>5402</v>
      </c>
      <c r="L257" s="4">
        <f>IFERROR(__xludf.DUMMYFUNCTION("""COMPUTED_VALUE"""),5755.0)</f>
        <v>5755</v>
      </c>
      <c r="M257" s="4">
        <f>IFERROR(__xludf.DUMMYFUNCTION("""COMPUTED_VALUE"""),4727.0)</f>
        <v>4727</v>
      </c>
      <c r="N257" s="4">
        <f>IFERROR(__xludf.DUMMYFUNCTION("""COMPUTED_VALUE"""),6577.0)</f>
        <v>6577</v>
      </c>
    </row>
    <row r="258">
      <c r="A258" s="1" t="str">
        <f>vlookup(B258:B561,split_names!A257:B1168,2,0)</f>
        <v>Ram</v>
      </c>
      <c r="B258" s="1" t="str">
        <f>IFERROR(__xludf.DUMMYFUNCTION("""COMPUTED_VALUE"""),"Ram ProMaster City")</f>
        <v>Ram ProMaster City</v>
      </c>
      <c r="C258" s="1">
        <f>IFERROR(__xludf.DUMMYFUNCTION("""COMPUTED_VALUE"""),681.0)</f>
        <v>681</v>
      </c>
      <c r="D258" s="1">
        <f>IFERROR(__xludf.DUMMYFUNCTION("""COMPUTED_VALUE"""),881.0)</f>
        <v>881</v>
      </c>
      <c r="E258" s="1">
        <f>IFERROR(__xludf.DUMMYFUNCTION("""COMPUTED_VALUE"""),534.0)</f>
        <v>534</v>
      </c>
      <c r="F258" s="1">
        <f>IFERROR(__xludf.DUMMYFUNCTION("""COMPUTED_VALUE"""),418.0)</f>
        <v>418</v>
      </c>
      <c r="G258" s="1">
        <f>IFERROR(__xludf.DUMMYFUNCTION("""COMPUTED_VALUE"""),929.0)</f>
        <v>929</v>
      </c>
      <c r="H258" s="1">
        <f>IFERROR(__xludf.DUMMYFUNCTION("""COMPUTED_VALUE"""),975.0)</f>
        <v>975</v>
      </c>
      <c r="I258" s="4">
        <f>IFERROR(__xludf.DUMMYFUNCTION("""COMPUTED_VALUE"""),1059.0)</f>
        <v>1059</v>
      </c>
      <c r="J258" s="1">
        <f>IFERROR(__xludf.DUMMYFUNCTION("""COMPUTED_VALUE"""),941.0)</f>
        <v>941</v>
      </c>
      <c r="K258" s="4">
        <f>IFERROR(__xludf.DUMMYFUNCTION("""COMPUTED_VALUE"""),1020.0)</f>
        <v>1020</v>
      </c>
      <c r="L258" s="4">
        <f>IFERROR(__xludf.DUMMYFUNCTION("""COMPUTED_VALUE"""),1002.0)</f>
        <v>1002</v>
      </c>
      <c r="M258" s="1">
        <f>IFERROR(__xludf.DUMMYFUNCTION("""COMPUTED_VALUE"""),823.0)</f>
        <v>823</v>
      </c>
      <c r="N258" s="4">
        <f>IFERROR(__xludf.DUMMYFUNCTION("""COMPUTED_VALUE"""),1145.0)</f>
        <v>1145</v>
      </c>
    </row>
    <row r="259">
      <c r="A259" s="1" t="str">
        <f>vlookup(B259:B562,split_names!A258:B1169,2,0)</f>
        <v>Subaru</v>
      </c>
      <c r="B259" s="1" t="str">
        <f>IFERROR(__xludf.DUMMYFUNCTION("""COMPUTED_VALUE"""),"Subaru Ascent")</f>
        <v>Subaru Ascent</v>
      </c>
      <c r="C259" s="4">
        <f>IFERROR(__xludf.DUMMYFUNCTION("""COMPUTED_VALUE"""),5606.0)</f>
        <v>5606</v>
      </c>
      <c r="D259" s="4">
        <f>IFERROR(__xludf.DUMMYFUNCTION("""COMPUTED_VALUE"""),5982.0)</f>
        <v>5982</v>
      </c>
      <c r="E259" s="4">
        <f>IFERROR(__xludf.DUMMYFUNCTION("""COMPUTED_VALUE"""),4036.0)</f>
        <v>4036</v>
      </c>
      <c r="F259" s="4">
        <f>IFERROR(__xludf.DUMMYFUNCTION("""COMPUTED_VALUE"""),3954.0)</f>
        <v>3954</v>
      </c>
      <c r="G259" s="4">
        <f>IFERROR(__xludf.DUMMYFUNCTION("""COMPUTED_VALUE"""),5740.0)</f>
        <v>5740</v>
      </c>
      <c r="H259" s="4">
        <f>IFERROR(__xludf.DUMMYFUNCTION("""COMPUTED_VALUE"""),6079.0)</f>
        <v>6079</v>
      </c>
      <c r="I259" s="4">
        <f>IFERROR(__xludf.DUMMYFUNCTION("""COMPUTED_VALUE"""),6075.0)</f>
        <v>6075</v>
      </c>
      <c r="J259" s="4">
        <f>IFERROR(__xludf.DUMMYFUNCTION("""COMPUTED_VALUE"""),6619.0)</f>
        <v>6619</v>
      </c>
      <c r="K259" s="4">
        <f>IFERROR(__xludf.DUMMYFUNCTION("""COMPUTED_VALUE"""),5744.0)</f>
        <v>5744</v>
      </c>
      <c r="L259" s="4">
        <f>IFERROR(__xludf.DUMMYFUNCTION("""COMPUTED_VALUE"""),5865.0)</f>
        <v>5865</v>
      </c>
      <c r="M259" s="4">
        <f>IFERROR(__xludf.DUMMYFUNCTION("""COMPUTED_VALUE"""),5231.0)</f>
        <v>5231</v>
      </c>
      <c r="N259" s="4">
        <f>IFERROR(__xludf.DUMMYFUNCTION("""COMPUTED_VALUE"""),6692.0)</f>
        <v>6692</v>
      </c>
    </row>
    <row r="260">
      <c r="A260" s="1" t="str">
        <f>vlookup(B260:B563,split_names!A259:B1170,2,0)</f>
        <v>Subaru</v>
      </c>
      <c r="B260" s="1" t="str">
        <f>IFERROR(__xludf.DUMMYFUNCTION("""COMPUTED_VALUE"""),"Subaru BRZ")</f>
        <v>Subaru BRZ</v>
      </c>
      <c r="C260" s="1">
        <f>IFERROR(__xludf.DUMMYFUNCTION("""COMPUTED_VALUE"""),112.0)</f>
        <v>112</v>
      </c>
      <c r="D260" s="1">
        <f>IFERROR(__xludf.DUMMYFUNCTION("""COMPUTED_VALUE"""),166.0)</f>
        <v>166</v>
      </c>
      <c r="E260" s="1">
        <f>IFERROR(__xludf.DUMMYFUNCTION("""COMPUTED_VALUE"""),114.0)</f>
        <v>114</v>
      </c>
      <c r="F260" s="1">
        <f>IFERROR(__xludf.DUMMYFUNCTION("""COMPUTED_VALUE"""),105.0)</f>
        <v>105</v>
      </c>
      <c r="G260" s="1">
        <f>IFERROR(__xludf.DUMMYFUNCTION("""COMPUTED_VALUE"""),227.0)</f>
        <v>227</v>
      </c>
      <c r="H260" s="1">
        <f>IFERROR(__xludf.DUMMYFUNCTION("""COMPUTED_VALUE"""),238.0)</f>
        <v>238</v>
      </c>
      <c r="I260" s="1">
        <f>IFERROR(__xludf.DUMMYFUNCTION("""COMPUTED_VALUE"""),266.0)</f>
        <v>266</v>
      </c>
      <c r="J260" s="1">
        <f>IFERROR(__xludf.DUMMYFUNCTION("""COMPUTED_VALUE"""),267.0)</f>
        <v>267</v>
      </c>
      <c r="K260" s="1">
        <f>IFERROR(__xludf.DUMMYFUNCTION("""COMPUTED_VALUE"""),251.0)</f>
        <v>251</v>
      </c>
      <c r="L260" s="1">
        <f>IFERROR(__xludf.DUMMYFUNCTION("""COMPUTED_VALUE"""),221.0)</f>
        <v>221</v>
      </c>
      <c r="M260" s="1">
        <f>IFERROR(__xludf.DUMMYFUNCTION("""COMPUTED_VALUE"""),129.0)</f>
        <v>129</v>
      </c>
      <c r="N260" s="1">
        <f>IFERROR(__xludf.DUMMYFUNCTION("""COMPUTED_VALUE"""),171.0)</f>
        <v>171</v>
      </c>
    </row>
    <row r="261">
      <c r="A261" s="1" t="str">
        <f>vlookup(B261:B564,split_names!A260:B1171,2,0)</f>
        <v>Subaru</v>
      </c>
      <c r="B261" s="1" t="str">
        <f>IFERROR(__xludf.DUMMYFUNCTION("""COMPUTED_VALUE"""),"Subaru CrossTrek")</f>
        <v>Subaru CrossTrek</v>
      </c>
      <c r="C261" s="4">
        <f>IFERROR(__xludf.DUMMYFUNCTION("""COMPUTED_VALUE"""),8131.0)</f>
        <v>8131</v>
      </c>
      <c r="D261" s="4">
        <f>IFERROR(__xludf.DUMMYFUNCTION("""COMPUTED_VALUE"""),8287.0)</f>
        <v>8287</v>
      </c>
      <c r="E261" s="4">
        <f>IFERROR(__xludf.DUMMYFUNCTION("""COMPUTED_VALUE"""),5098.0)</f>
        <v>5098</v>
      </c>
      <c r="F261" s="4">
        <f>IFERROR(__xludf.DUMMYFUNCTION("""COMPUTED_VALUE"""),4489.0)</f>
        <v>4489</v>
      </c>
      <c r="G261" s="4">
        <f>IFERROR(__xludf.DUMMYFUNCTION("""COMPUTED_VALUE"""),9486.0)</f>
        <v>9486</v>
      </c>
      <c r="H261" s="4">
        <f>IFERROR(__xludf.DUMMYFUNCTION("""COMPUTED_VALUE"""),10241.0)</f>
        <v>10241</v>
      </c>
      <c r="I261" s="4">
        <f>IFERROR(__xludf.DUMMYFUNCTION("""COMPUTED_VALUE"""),8913.0)</f>
        <v>8913</v>
      </c>
      <c r="J261" s="4">
        <f>IFERROR(__xludf.DUMMYFUNCTION("""COMPUTED_VALUE"""),10329.0)</f>
        <v>10329</v>
      </c>
      <c r="K261" s="4">
        <f>IFERROR(__xludf.DUMMYFUNCTION("""COMPUTED_VALUE"""),11950.0)</f>
        <v>11950</v>
      </c>
      <c r="L261" s="4">
        <f>IFERROR(__xludf.DUMMYFUNCTION("""COMPUTED_VALUE"""),14994.0)</f>
        <v>14994</v>
      </c>
      <c r="M261" s="4">
        <f>IFERROR(__xludf.DUMMYFUNCTION("""COMPUTED_VALUE"""),12841.0)</f>
        <v>12841</v>
      </c>
      <c r="N261" s="4">
        <f>IFERROR(__xludf.DUMMYFUNCTION("""COMPUTED_VALUE"""),14957.0)</f>
        <v>14957</v>
      </c>
    </row>
    <row r="262">
      <c r="A262" s="1" t="str">
        <f>vlookup(B262:B565,split_names!A261:B1172,2,0)</f>
        <v>Subaru</v>
      </c>
      <c r="B262" s="1" t="str">
        <f>IFERROR(__xludf.DUMMYFUNCTION("""COMPUTED_VALUE"""),"Subaru Forester")</f>
        <v>Subaru Forester</v>
      </c>
      <c r="C262" s="4">
        <f>IFERROR(__xludf.DUMMYFUNCTION("""COMPUTED_VALUE"""),13209.0)</f>
        <v>13209</v>
      </c>
      <c r="D262" s="4">
        <f>IFERROR(__xludf.DUMMYFUNCTION("""COMPUTED_VALUE"""),16458.0)</f>
        <v>16458</v>
      </c>
      <c r="E262" s="4">
        <f>IFERROR(__xludf.DUMMYFUNCTION("""COMPUTED_VALUE"""),9413.0)</f>
        <v>9413</v>
      </c>
      <c r="F262" s="4">
        <f>IFERROR(__xludf.DUMMYFUNCTION("""COMPUTED_VALUE"""),9431.0)</f>
        <v>9431</v>
      </c>
      <c r="G262" s="4">
        <f>IFERROR(__xludf.DUMMYFUNCTION("""COMPUTED_VALUE"""),17859.0)</f>
        <v>17859</v>
      </c>
      <c r="H262" s="4">
        <f>IFERROR(__xludf.DUMMYFUNCTION("""COMPUTED_VALUE"""),19490.0)</f>
        <v>19490</v>
      </c>
      <c r="I262" s="4">
        <f>IFERROR(__xludf.DUMMYFUNCTION("""COMPUTED_VALUE"""),15313.0)</f>
        <v>15313</v>
      </c>
      <c r="J262" s="4">
        <f>IFERROR(__xludf.DUMMYFUNCTION("""COMPUTED_VALUE"""),17261.0)</f>
        <v>17261</v>
      </c>
      <c r="K262" s="4">
        <f>IFERROR(__xludf.DUMMYFUNCTION("""COMPUTED_VALUE"""),15648.0)</f>
        <v>15648</v>
      </c>
      <c r="L262" s="4">
        <f>IFERROR(__xludf.DUMMYFUNCTION("""COMPUTED_VALUE"""),14697.0)</f>
        <v>14697</v>
      </c>
      <c r="M262" s="4">
        <f>IFERROR(__xludf.DUMMYFUNCTION("""COMPUTED_VALUE"""),12211.0)</f>
        <v>12211</v>
      </c>
      <c r="N262" s="4">
        <f>IFERROR(__xludf.DUMMYFUNCTION("""COMPUTED_VALUE"""),16006.0)</f>
        <v>16006</v>
      </c>
    </row>
    <row r="263">
      <c r="A263" s="1" t="str">
        <f>vlookup(B263:B566,split_names!A262:B1173,2,0)</f>
        <v>Subaru</v>
      </c>
      <c r="B263" s="1" t="str">
        <f>IFERROR(__xludf.DUMMYFUNCTION("""COMPUTED_VALUE"""),"Subaru Impreza")</f>
        <v>Subaru Impreza</v>
      </c>
      <c r="C263" s="4">
        <f>IFERROR(__xludf.DUMMYFUNCTION("""COMPUTED_VALUE"""),3978.0)</f>
        <v>3978</v>
      </c>
      <c r="D263" s="4">
        <f>IFERROR(__xludf.DUMMYFUNCTION("""COMPUTED_VALUE"""),3916.0)</f>
        <v>3916</v>
      </c>
      <c r="E263" s="4">
        <f>IFERROR(__xludf.DUMMYFUNCTION("""COMPUTED_VALUE"""),2395.0)</f>
        <v>2395</v>
      </c>
      <c r="F263" s="4">
        <f>IFERROR(__xludf.DUMMYFUNCTION("""COMPUTED_VALUE"""),1857.0)</f>
        <v>1857</v>
      </c>
      <c r="G263" s="4">
        <f>IFERROR(__xludf.DUMMYFUNCTION("""COMPUTED_VALUE"""),3085.0)</f>
        <v>3085</v>
      </c>
      <c r="H263" s="4">
        <f>IFERROR(__xludf.DUMMYFUNCTION("""COMPUTED_VALUE"""),3389.0)</f>
        <v>3389</v>
      </c>
      <c r="I263" s="4">
        <f>IFERROR(__xludf.DUMMYFUNCTION("""COMPUTED_VALUE"""),4259.0)</f>
        <v>4259</v>
      </c>
      <c r="J263" s="4">
        <f>IFERROR(__xludf.DUMMYFUNCTION("""COMPUTED_VALUE"""),4654.0)</f>
        <v>4654</v>
      </c>
      <c r="K263" s="4">
        <f>IFERROR(__xludf.DUMMYFUNCTION("""COMPUTED_VALUE"""),4622.0)</f>
        <v>4622</v>
      </c>
      <c r="L263" s="4">
        <f>IFERROR(__xludf.DUMMYFUNCTION("""COMPUTED_VALUE"""),4329.0)</f>
        <v>4329</v>
      </c>
      <c r="M263" s="4">
        <f>IFERROR(__xludf.DUMMYFUNCTION("""COMPUTED_VALUE"""),3174.0)</f>
        <v>3174</v>
      </c>
      <c r="N263" s="4">
        <f>IFERROR(__xludf.DUMMYFUNCTION("""COMPUTED_VALUE"""),3970.0)</f>
        <v>3970</v>
      </c>
    </row>
    <row r="264">
      <c r="A264" s="1" t="str">
        <f>vlookup(B264:B567,split_names!A263:B1174,2,0)</f>
        <v>Subaru</v>
      </c>
      <c r="B264" s="1" t="str">
        <f>IFERROR(__xludf.DUMMYFUNCTION("""COMPUTED_VALUE"""),"Subaru Impreza WRX")</f>
        <v>Subaru Impreza WRX</v>
      </c>
      <c r="C264" s="4">
        <f>IFERROR(__xludf.DUMMYFUNCTION("""COMPUTED_VALUE"""),1399.0)</f>
        <v>1399</v>
      </c>
      <c r="D264" s="4">
        <f>IFERROR(__xludf.DUMMYFUNCTION("""COMPUTED_VALUE"""),1787.0)</f>
        <v>1787</v>
      </c>
      <c r="E264" s="4">
        <f>IFERROR(__xludf.DUMMYFUNCTION("""COMPUTED_VALUE"""),1354.0)</f>
        <v>1354</v>
      </c>
      <c r="F264" s="4">
        <f>IFERROR(__xludf.DUMMYFUNCTION("""COMPUTED_VALUE"""),1368.0)</f>
        <v>1368</v>
      </c>
      <c r="G264" s="4">
        <f>IFERROR(__xludf.DUMMYFUNCTION("""COMPUTED_VALUE"""),2255.0)</f>
        <v>2255</v>
      </c>
      <c r="H264" s="4">
        <f>IFERROR(__xludf.DUMMYFUNCTION("""COMPUTED_VALUE"""),2170.0)</f>
        <v>2170</v>
      </c>
      <c r="I264" s="4">
        <f>IFERROR(__xludf.DUMMYFUNCTION("""COMPUTED_VALUE"""),1845.0)</f>
        <v>1845</v>
      </c>
      <c r="J264" s="4">
        <f>IFERROR(__xludf.DUMMYFUNCTION("""COMPUTED_VALUE"""),1218.0)</f>
        <v>1218</v>
      </c>
      <c r="K264" s="4">
        <f>IFERROR(__xludf.DUMMYFUNCTION("""COMPUTED_VALUE"""),2040.0)</f>
        <v>2040</v>
      </c>
      <c r="L264" s="4">
        <f>IFERROR(__xludf.DUMMYFUNCTION("""COMPUTED_VALUE"""),2060.0)</f>
        <v>2060</v>
      </c>
      <c r="M264" s="4">
        <f>IFERROR(__xludf.DUMMYFUNCTION("""COMPUTED_VALUE"""),1714.0)</f>
        <v>1714</v>
      </c>
      <c r="N264" s="4">
        <f>IFERROR(__xludf.DUMMYFUNCTION("""COMPUTED_VALUE"""),1968.0)</f>
        <v>1968</v>
      </c>
    </row>
    <row r="265">
      <c r="A265" s="1" t="str">
        <f>vlookup(B265:B568,split_names!A264:B1175,2,0)</f>
        <v>Subaru</v>
      </c>
      <c r="B265" s="1" t="str">
        <f>IFERROR(__xludf.DUMMYFUNCTION("""COMPUTED_VALUE"""),"Subaru Legacy")</f>
        <v>Subaru Legacy</v>
      </c>
      <c r="C265" s="4">
        <f>IFERROR(__xludf.DUMMYFUNCTION("""COMPUTED_VALUE"""),2471.0)</f>
        <v>2471</v>
      </c>
      <c r="D265" s="4">
        <f>IFERROR(__xludf.DUMMYFUNCTION("""COMPUTED_VALUE"""),2434.0)</f>
        <v>2434</v>
      </c>
      <c r="E265" s="4">
        <f>IFERROR(__xludf.DUMMYFUNCTION("""COMPUTED_VALUE"""),1630.0)</f>
        <v>1630</v>
      </c>
      <c r="F265" s="4">
        <f>IFERROR(__xludf.DUMMYFUNCTION("""COMPUTED_VALUE"""),1358.0)</f>
        <v>1358</v>
      </c>
      <c r="G265" s="4">
        <f>IFERROR(__xludf.DUMMYFUNCTION("""COMPUTED_VALUE"""),1954.0)</f>
        <v>1954</v>
      </c>
      <c r="H265" s="4">
        <f>IFERROR(__xludf.DUMMYFUNCTION("""COMPUTED_VALUE"""),2054.0)</f>
        <v>2054</v>
      </c>
      <c r="I265" s="4">
        <f>IFERROR(__xludf.DUMMYFUNCTION("""COMPUTED_VALUE"""),2629.0)</f>
        <v>2629</v>
      </c>
      <c r="J265" s="4">
        <f>IFERROR(__xludf.DUMMYFUNCTION("""COMPUTED_VALUE"""),2681.0)</f>
        <v>2681</v>
      </c>
      <c r="K265" s="4">
        <f>IFERROR(__xludf.DUMMYFUNCTION("""COMPUTED_VALUE"""),2825.0)</f>
        <v>2825</v>
      </c>
      <c r="L265" s="4">
        <f>IFERROR(__xludf.DUMMYFUNCTION("""COMPUTED_VALUE"""),2490.0)</f>
        <v>2490</v>
      </c>
      <c r="M265" s="4">
        <f>IFERROR(__xludf.DUMMYFUNCTION("""COMPUTED_VALUE"""),2192.0)</f>
        <v>2192</v>
      </c>
      <c r="N265" s="4">
        <f>IFERROR(__xludf.DUMMYFUNCTION("""COMPUTED_VALUE"""),2522.0)</f>
        <v>2522</v>
      </c>
    </row>
    <row r="266">
      <c r="A266" s="1" t="str">
        <f>vlookup(B266:B569,split_names!A265:B1176,2,0)</f>
        <v>Subaru</v>
      </c>
      <c r="B266" s="1" t="str">
        <f>IFERROR(__xludf.DUMMYFUNCTION("""COMPUTED_VALUE"""),"Subaru Outback")</f>
        <v>Subaru Outback</v>
      </c>
      <c r="C266" s="4">
        <f>IFERROR(__xludf.DUMMYFUNCTION("""COMPUTED_VALUE"""),11379.0)</f>
        <v>11379</v>
      </c>
      <c r="D266" s="4">
        <f>IFERROR(__xludf.DUMMYFUNCTION("""COMPUTED_VALUE"""),12665.0)</f>
        <v>12665</v>
      </c>
      <c r="E266" s="4">
        <f>IFERROR(__xludf.DUMMYFUNCTION("""COMPUTED_VALUE"""),8571.0)</f>
        <v>8571</v>
      </c>
      <c r="F266" s="4">
        <f>IFERROR(__xludf.DUMMYFUNCTION("""COMPUTED_VALUE"""),8058.0)</f>
        <v>8058</v>
      </c>
      <c r="G266" s="4">
        <f>IFERROR(__xludf.DUMMYFUNCTION("""COMPUTED_VALUE"""),11382.0)</f>
        <v>11382</v>
      </c>
      <c r="H266" s="4">
        <f>IFERROR(__xludf.DUMMYFUNCTION("""COMPUTED_VALUE"""),10250.0)</f>
        <v>10250</v>
      </c>
      <c r="I266" s="4">
        <f>IFERROR(__xludf.DUMMYFUNCTION("""COMPUTED_VALUE"""),12158.0)</f>
        <v>12158</v>
      </c>
      <c r="J266" s="4">
        <f>IFERROR(__xludf.DUMMYFUNCTION("""COMPUTED_VALUE"""),14856.0)</f>
        <v>14856</v>
      </c>
      <c r="K266" s="4">
        <f>IFERROR(__xludf.DUMMYFUNCTION("""COMPUTED_VALUE"""),17023.0)</f>
        <v>17023</v>
      </c>
      <c r="L266" s="4">
        <f>IFERROR(__xludf.DUMMYFUNCTION("""COMPUTED_VALUE"""),16755.0)</f>
        <v>16755</v>
      </c>
      <c r="M266" s="4">
        <f>IFERROR(__xludf.DUMMYFUNCTION("""COMPUTED_VALUE"""),12921.0)</f>
        <v>12921</v>
      </c>
      <c r="N266" s="4">
        <f>IFERROR(__xludf.DUMMYFUNCTION("""COMPUTED_VALUE"""),17272.0)</f>
        <v>17272</v>
      </c>
    </row>
    <row r="267">
      <c r="A267" s="1" t="str">
        <f>vlookup(B267:B570,split_names!A266:B1177,2,0)</f>
        <v>Tesla</v>
      </c>
      <c r="B267" s="1" t="str">
        <f>IFERROR(__xludf.DUMMYFUNCTION("""COMPUTED_VALUE"""),"Tesla Model 3")</f>
        <v>Tesla Model 3</v>
      </c>
      <c r="C267" s="4">
        <f>IFERROR(__xludf.DUMMYFUNCTION("""COMPUTED_VALUE"""),19000.0)</f>
        <v>19000</v>
      </c>
      <c r="D267" s="4">
        <f>IFERROR(__xludf.DUMMYFUNCTION("""COMPUTED_VALUE"""),17500.0)</f>
        <v>17500</v>
      </c>
      <c r="E267" s="4">
        <f>IFERROR(__xludf.DUMMYFUNCTION("""COMPUTED_VALUE"""),8000.0)</f>
        <v>8000</v>
      </c>
      <c r="F267" s="4">
        <f>IFERROR(__xludf.DUMMYFUNCTION("""COMPUTED_VALUE"""),5400.0)</f>
        <v>5400</v>
      </c>
      <c r="G267" s="4">
        <f>IFERROR(__xludf.DUMMYFUNCTION("""COMPUTED_VALUE"""),12000.0)</f>
        <v>12000</v>
      </c>
      <c r="H267" s="4">
        <f>IFERROR(__xludf.DUMMYFUNCTION("""COMPUTED_VALUE"""),12600.0)</f>
        <v>12600</v>
      </c>
      <c r="I267" s="4">
        <f>IFERROR(__xludf.DUMMYFUNCTION("""COMPUTED_VALUE"""),31208.0)</f>
        <v>31208</v>
      </c>
      <c r="J267" s="4">
        <f>IFERROR(__xludf.DUMMYFUNCTION("""COMPUTED_VALUE"""),27740.0)</f>
        <v>27740</v>
      </c>
      <c r="K267" s="4">
        <f>IFERROR(__xludf.DUMMYFUNCTION("""COMPUTED_VALUE"""),30052.0)</f>
        <v>30052</v>
      </c>
      <c r="L267" s="4">
        <f>IFERROR(__xludf.DUMMYFUNCTION("""COMPUTED_VALUE"""),14506.0)</f>
        <v>14506</v>
      </c>
      <c r="M267" s="4">
        <f>IFERROR(__xludf.DUMMYFUNCTION("""COMPUTED_VALUE"""),11916.0)</f>
        <v>11916</v>
      </c>
      <c r="N267" s="4">
        <f>IFERROR(__xludf.DUMMYFUNCTION("""COMPUTED_VALUE"""),16578.0)</f>
        <v>16578</v>
      </c>
    </row>
    <row r="268">
      <c r="A268" s="1" t="str">
        <f>vlookup(B268:B571,split_names!A267:B1178,2,0)</f>
        <v>Tesla</v>
      </c>
      <c r="B268" s="1" t="str">
        <f>IFERROR(__xludf.DUMMYFUNCTION("""COMPUTED_VALUE"""),"Tesla Model S")</f>
        <v>Tesla Model S</v>
      </c>
      <c r="C268" s="4">
        <f>IFERROR(__xludf.DUMMYFUNCTION("""COMPUTED_VALUE"""),1900.0)</f>
        <v>1900</v>
      </c>
      <c r="D268" s="4">
        <f>IFERROR(__xludf.DUMMYFUNCTION("""COMPUTED_VALUE"""),1700.0)</f>
        <v>1700</v>
      </c>
      <c r="E268" s="4">
        <f>IFERROR(__xludf.DUMMYFUNCTION("""COMPUTED_VALUE"""),1000.0)</f>
        <v>1000</v>
      </c>
      <c r="F268" s="1">
        <f>IFERROR(__xludf.DUMMYFUNCTION("""COMPUTED_VALUE"""),576.0)</f>
        <v>576</v>
      </c>
      <c r="G268" s="4">
        <f>IFERROR(__xludf.DUMMYFUNCTION("""COMPUTED_VALUE"""),1280.0)</f>
        <v>1280</v>
      </c>
      <c r="H268" s="4">
        <f>IFERROR(__xludf.DUMMYFUNCTION("""COMPUTED_VALUE"""),1344.0)</f>
        <v>1344</v>
      </c>
      <c r="I268" s="4">
        <f>IFERROR(__xludf.DUMMYFUNCTION("""COMPUTED_VALUE"""),2630.0)</f>
        <v>2630</v>
      </c>
      <c r="J268" s="4">
        <f>IFERROR(__xludf.DUMMYFUNCTION("""COMPUTED_VALUE"""),2338.0)</f>
        <v>2338</v>
      </c>
      <c r="K268" s="4">
        <f>IFERROR(__xludf.DUMMYFUNCTION("""COMPUTED_VALUE"""),2532.0)</f>
        <v>2532</v>
      </c>
      <c r="L268" s="4">
        <f>IFERROR(__xludf.DUMMYFUNCTION("""COMPUTED_VALUE"""),1687.0)</f>
        <v>1687</v>
      </c>
      <c r="M268" s="4">
        <f>IFERROR(__xludf.DUMMYFUNCTION("""COMPUTED_VALUE"""),1386.0)</f>
        <v>1386</v>
      </c>
      <c r="N268" s="4">
        <f>IFERROR(__xludf.DUMMYFUNCTION("""COMPUTED_VALUE"""),1928.0)</f>
        <v>1928</v>
      </c>
    </row>
    <row r="269">
      <c r="A269" s="1" t="str">
        <f>vlookup(B269:B572,split_names!A268:B1179,2,0)</f>
        <v>Tesla</v>
      </c>
      <c r="B269" s="1" t="str">
        <f>IFERROR(__xludf.DUMMYFUNCTION("""COMPUTED_VALUE"""),"Tesla Model X")</f>
        <v>Tesla Model X</v>
      </c>
      <c r="C269" s="4">
        <f>IFERROR(__xludf.DUMMYFUNCTION("""COMPUTED_VALUE"""),1450.0)</f>
        <v>1450</v>
      </c>
      <c r="D269" s="4">
        <f>IFERROR(__xludf.DUMMYFUNCTION("""COMPUTED_VALUE"""),1250.0)</f>
        <v>1250</v>
      </c>
      <c r="E269" s="4">
        <f>IFERROR(__xludf.DUMMYFUNCTION("""COMPUTED_VALUE"""),1000.0)</f>
        <v>1000</v>
      </c>
      <c r="F269" s="1">
        <f>IFERROR(__xludf.DUMMYFUNCTION("""COMPUTED_VALUE"""),648.0)</f>
        <v>648</v>
      </c>
      <c r="G269" s="4">
        <f>IFERROR(__xludf.DUMMYFUNCTION("""COMPUTED_VALUE"""),1440.0)</f>
        <v>1440</v>
      </c>
      <c r="H269" s="4">
        <f>IFERROR(__xludf.DUMMYFUNCTION("""COMPUTED_VALUE"""),1512.0)</f>
        <v>1512</v>
      </c>
      <c r="I269" s="4">
        <f>IFERROR(__xludf.DUMMYFUNCTION("""COMPUTED_VALUE"""),2735.0)</f>
        <v>2735</v>
      </c>
      <c r="J269" s="4">
        <f>IFERROR(__xludf.DUMMYFUNCTION("""COMPUTED_VALUE"""),2431.0)</f>
        <v>2431</v>
      </c>
      <c r="K269" s="4">
        <f>IFERROR(__xludf.DUMMYFUNCTION("""COMPUTED_VALUE"""),2634.0)</f>
        <v>2634</v>
      </c>
      <c r="L269" s="4">
        <f>IFERROR(__xludf.DUMMYFUNCTION("""COMPUTED_VALUE"""),3711.0)</f>
        <v>3711</v>
      </c>
      <c r="M269" s="4">
        <f>IFERROR(__xludf.DUMMYFUNCTION("""COMPUTED_VALUE"""),3048.0)</f>
        <v>3048</v>
      </c>
      <c r="N269" s="4">
        <f>IFERROR(__xludf.DUMMYFUNCTION("""COMPUTED_VALUE"""),4241.0)</f>
        <v>4241</v>
      </c>
    </row>
    <row r="270">
      <c r="A270" s="1" t="str">
        <f>vlookup(B270:B573,split_names!A269:B1180,2,0)</f>
        <v>Tesla</v>
      </c>
      <c r="B270" s="1" t="str">
        <f>IFERROR(__xludf.DUMMYFUNCTION("""COMPUTED_VALUE"""),"Tesla Model Y")</f>
        <v>Tesla Model Y</v>
      </c>
      <c r="C270" s="1">
        <f>IFERROR(__xludf.DUMMYFUNCTION("""COMPUTED_VALUE"""),0.0)</f>
        <v>0</v>
      </c>
      <c r="D270" s="1">
        <f>IFERROR(__xludf.DUMMYFUNCTION("""COMPUTED_VALUE"""),0.0)</f>
        <v>0</v>
      </c>
      <c r="E270" s="1">
        <f>IFERROR(__xludf.DUMMYFUNCTION("""COMPUTED_VALUE"""),0.0)</f>
        <v>0</v>
      </c>
      <c r="F270" s="1">
        <f>IFERROR(__xludf.DUMMYFUNCTION("""COMPUTED_VALUE"""),0.0)</f>
        <v>0</v>
      </c>
      <c r="G270" s="1">
        <f>IFERROR(__xludf.DUMMYFUNCTION("""COMPUTED_VALUE"""),0.0)</f>
        <v>0</v>
      </c>
      <c r="H270" s="1">
        <f>IFERROR(__xludf.DUMMYFUNCTION("""COMPUTED_VALUE"""),0.0)</f>
        <v>0</v>
      </c>
      <c r="I270" s="4">
        <f>IFERROR(__xludf.DUMMYFUNCTION("""COMPUTED_VALUE"""),12273.0)</f>
        <v>12273</v>
      </c>
      <c r="J270" s="4">
        <f>IFERROR(__xludf.DUMMYFUNCTION("""COMPUTED_VALUE"""),10909.0)</f>
        <v>10909</v>
      </c>
      <c r="K270" s="4">
        <f>IFERROR(__xludf.DUMMYFUNCTION("""COMPUTED_VALUE"""),11818.0)</f>
        <v>11818</v>
      </c>
      <c r="L270" s="4">
        <f>IFERROR(__xludf.DUMMYFUNCTION("""COMPUTED_VALUE"""),1687.0)</f>
        <v>1687</v>
      </c>
      <c r="M270" s="4">
        <f>IFERROR(__xludf.DUMMYFUNCTION("""COMPUTED_VALUE"""),1386.0)</f>
        <v>1386</v>
      </c>
      <c r="N270" s="4">
        <f>IFERROR(__xludf.DUMMYFUNCTION("""COMPUTED_VALUE"""),1928.0)</f>
        <v>1928</v>
      </c>
    </row>
    <row r="271">
      <c r="A271" s="1" t="str">
        <f>vlookup(B271:B574,split_names!A270:B1181,2,0)</f>
        <v>Toyota</v>
      </c>
      <c r="B271" s="1" t="str">
        <f>IFERROR(__xludf.DUMMYFUNCTION("""COMPUTED_VALUE"""),"Toyota 4Runner")</f>
        <v>Toyota 4Runner</v>
      </c>
      <c r="C271" s="4">
        <f>IFERROR(__xludf.DUMMYFUNCTION("""COMPUTED_VALUE"""),9342.0)</f>
        <v>9342</v>
      </c>
      <c r="D271" s="4">
        <f>IFERROR(__xludf.DUMMYFUNCTION("""COMPUTED_VALUE"""),10912.0)</f>
        <v>10912</v>
      </c>
      <c r="E271" s="4">
        <f>IFERROR(__xludf.DUMMYFUNCTION("""COMPUTED_VALUE"""),7818.0)</f>
        <v>7818</v>
      </c>
      <c r="F271" s="4">
        <f>IFERROR(__xludf.DUMMYFUNCTION("""COMPUTED_VALUE"""),5284.0)</f>
        <v>5284</v>
      </c>
      <c r="G271" s="4">
        <f>IFERROR(__xludf.DUMMYFUNCTION("""COMPUTED_VALUE"""),11742.0)</f>
        <v>11742</v>
      </c>
      <c r="H271" s="4">
        <f>IFERROR(__xludf.DUMMYFUNCTION("""COMPUTED_VALUE"""),12330.0)</f>
        <v>12330</v>
      </c>
      <c r="I271" s="4">
        <f>IFERROR(__xludf.DUMMYFUNCTION("""COMPUTED_VALUE"""),9310.0)</f>
        <v>9310</v>
      </c>
      <c r="J271" s="4">
        <f>IFERROR(__xludf.DUMMYFUNCTION("""COMPUTED_VALUE"""),9860.0)</f>
        <v>9860</v>
      </c>
      <c r="K271" s="4">
        <f>IFERROR(__xludf.DUMMYFUNCTION("""COMPUTED_VALUE"""),10229.0)</f>
        <v>10229</v>
      </c>
      <c r="L271" s="4">
        <f>IFERROR(__xludf.DUMMYFUNCTION("""COMPUTED_VALUE"""),12940.0)</f>
        <v>12940</v>
      </c>
      <c r="M271" s="4">
        <f>IFERROR(__xludf.DUMMYFUNCTION("""COMPUTED_VALUE"""),12416.0)</f>
        <v>12416</v>
      </c>
      <c r="N271" s="4">
        <f>IFERROR(__xludf.DUMMYFUNCTION("""COMPUTED_VALUE"""),16869.0)</f>
        <v>16869</v>
      </c>
    </row>
    <row r="272">
      <c r="A272" s="1" t="str">
        <f>vlookup(B272:B575,split_names!A271:B1182,2,0)</f>
        <v>Toyota</v>
      </c>
      <c r="B272" s="1" t="str">
        <f>IFERROR(__xludf.DUMMYFUNCTION("""COMPUTED_VALUE"""),"Toyota 86 / FR-S")</f>
        <v>Toyota 86 / FR-S</v>
      </c>
      <c r="C272" s="1">
        <f>IFERROR(__xludf.DUMMYFUNCTION("""COMPUTED_VALUE"""),222.0)</f>
        <v>222</v>
      </c>
      <c r="D272" s="1">
        <f>IFERROR(__xludf.DUMMYFUNCTION("""COMPUTED_VALUE"""),280.0)</f>
        <v>280</v>
      </c>
      <c r="E272" s="1">
        <f>IFERROR(__xludf.DUMMYFUNCTION("""COMPUTED_VALUE"""),202.0)</f>
        <v>202</v>
      </c>
      <c r="F272" s="1">
        <f>IFERROR(__xludf.DUMMYFUNCTION("""COMPUTED_VALUE"""),116.0)</f>
        <v>116</v>
      </c>
      <c r="G272" s="1">
        <f>IFERROR(__xludf.DUMMYFUNCTION("""COMPUTED_VALUE"""),258.0)</f>
        <v>258</v>
      </c>
      <c r="H272" s="1">
        <f>IFERROR(__xludf.DUMMYFUNCTION("""COMPUTED_VALUE"""),271.0)</f>
        <v>271</v>
      </c>
      <c r="I272" s="1">
        <f>IFERROR(__xludf.DUMMYFUNCTION("""COMPUTED_VALUE"""),231.0)</f>
        <v>231</v>
      </c>
      <c r="J272" s="1">
        <f>IFERROR(__xludf.DUMMYFUNCTION("""COMPUTED_VALUE"""),236.0)</f>
        <v>236</v>
      </c>
      <c r="K272" s="1">
        <f>IFERROR(__xludf.DUMMYFUNCTION("""COMPUTED_VALUE"""),152.0)</f>
        <v>152</v>
      </c>
      <c r="L272" s="1">
        <f>IFERROR(__xludf.DUMMYFUNCTION("""COMPUTED_VALUE"""),172.0)</f>
        <v>172</v>
      </c>
      <c r="M272" s="1">
        <f>IFERROR(__xludf.DUMMYFUNCTION("""COMPUTED_VALUE"""),131.0)</f>
        <v>131</v>
      </c>
      <c r="N272" s="1">
        <f>IFERROR(__xludf.DUMMYFUNCTION("""COMPUTED_VALUE"""),205.0)</f>
        <v>205</v>
      </c>
    </row>
    <row r="273">
      <c r="A273" s="1" t="str">
        <f>vlookup(B273:B576,split_names!A272:B1183,2,0)</f>
        <v>Toyota</v>
      </c>
      <c r="B273" s="1" t="str">
        <f>IFERROR(__xludf.DUMMYFUNCTION("""COMPUTED_VALUE"""),"Toyota Avalon")</f>
        <v>Toyota Avalon</v>
      </c>
      <c r="C273" s="4">
        <f>IFERROR(__xludf.DUMMYFUNCTION("""COMPUTED_VALUE"""),1510.0)</f>
        <v>1510</v>
      </c>
      <c r="D273" s="4">
        <f>IFERROR(__xludf.DUMMYFUNCTION("""COMPUTED_VALUE"""),1550.0)</f>
        <v>1550</v>
      </c>
      <c r="E273" s="4">
        <f>IFERROR(__xludf.DUMMYFUNCTION("""COMPUTED_VALUE"""),1020.0)</f>
        <v>1020</v>
      </c>
      <c r="F273" s="1">
        <f>IFERROR(__xludf.DUMMYFUNCTION("""COMPUTED_VALUE"""),627.0)</f>
        <v>627</v>
      </c>
      <c r="G273" s="4">
        <f>IFERROR(__xludf.DUMMYFUNCTION("""COMPUTED_VALUE"""),1393.0)</f>
        <v>1393</v>
      </c>
      <c r="H273" s="4">
        <f>IFERROR(__xludf.DUMMYFUNCTION("""COMPUTED_VALUE"""),1463.0)</f>
        <v>1463</v>
      </c>
      <c r="I273" s="4">
        <f>IFERROR(__xludf.DUMMYFUNCTION("""COMPUTED_VALUE"""),1762.0)</f>
        <v>1762</v>
      </c>
      <c r="J273" s="4">
        <f>IFERROR(__xludf.DUMMYFUNCTION("""COMPUTED_VALUE"""),1813.0)</f>
        <v>1813</v>
      </c>
      <c r="K273" s="4">
        <f>IFERROR(__xludf.DUMMYFUNCTION("""COMPUTED_VALUE"""),1833.0)</f>
        <v>1833</v>
      </c>
      <c r="L273" s="4">
        <f>IFERROR(__xludf.DUMMYFUNCTION("""COMPUTED_VALUE"""),1857.0)</f>
        <v>1857</v>
      </c>
      <c r="M273" s="4">
        <f>IFERROR(__xludf.DUMMYFUNCTION("""COMPUTED_VALUE"""),1680.0)</f>
        <v>1680</v>
      </c>
      <c r="N273" s="4">
        <f>IFERROR(__xludf.DUMMYFUNCTION("""COMPUTED_VALUE"""),1913.0)</f>
        <v>1913</v>
      </c>
    </row>
    <row r="274">
      <c r="A274" s="1" t="str">
        <f>vlookup(B274:B577,split_names!A273:B1184,2,0)</f>
        <v>Toyota</v>
      </c>
      <c r="B274" s="1" t="str">
        <f>IFERROR(__xludf.DUMMYFUNCTION("""COMPUTED_VALUE"""),"Toyota C-HR")</f>
        <v>Toyota C-HR</v>
      </c>
      <c r="C274" s="4">
        <f>IFERROR(__xludf.DUMMYFUNCTION("""COMPUTED_VALUE"""),2961.0)</f>
        <v>2961</v>
      </c>
      <c r="D274" s="4">
        <f>IFERROR(__xludf.DUMMYFUNCTION("""COMPUTED_VALUE"""),4439.0)</f>
        <v>4439</v>
      </c>
      <c r="E274" s="4">
        <f>IFERROR(__xludf.DUMMYFUNCTION("""COMPUTED_VALUE"""),2972.0)</f>
        <v>2972</v>
      </c>
      <c r="F274" s="4">
        <f>IFERROR(__xludf.DUMMYFUNCTION("""COMPUTED_VALUE"""),1989.0)</f>
        <v>1989</v>
      </c>
      <c r="G274" s="4">
        <f>IFERROR(__xludf.DUMMYFUNCTION("""COMPUTED_VALUE"""),4421.0)</f>
        <v>4421</v>
      </c>
      <c r="H274" s="4">
        <f>IFERROR(__xludf.DUMMYFUNCTION("""COMPUTED_VALUE"""),4642.0)</f>
        <v>4642</v>
      </c>
      <c r="I274" s="4">
        <f>IFERROR(__xludf.DUMMYFUNCTION("""COMPUTED_VALUE"""),3677.0)</f>
        <v>3677</v>
      </c>
      <c r="J274" s="4">
        <f>IFERROR(__xludf.DUMMYFUNCTION("""COMPUTED_VALUE"""),3897.0)</f>
        <v>3897</v>
      </c>
      <c r="K274" s="4">
        <f>IFERROR(__xludf.DUMMYFUNCTION("""COMPUTED_VALUE"""),4606.0)</f>
        <v>4606</v>
      </c>
      <c r="L274" s="4">
        <f>IFERROR(__xludf.DUMMYFUNCTION("""COMPUTED_VALUE"""),3358.0)</f>
        <v>3358</v>
      </c>
      <c r="M274" s="4">
        <f>IFERROR(__xludf.DUMMYFUNCTION("""COMPUTED_VALUE"""),2666.0)</f>
        <v>2666</v>
      </c>
      <c r="N274" s="4">
        <f>IFERROR(__xludf.DUMMYFUNCTION("""COMPUTED_VALUE"""),3308.0)</f>
        <v>3308</v>
      </c>
    </row>
    <row r="275">
      <c r="A275" s="1" t="str">
        <f>vlookup(B275:B578,split_names!A274:B1185,2,0)</f>
        <v>Toyota</v>
      </c>
      <c r="B275" s="1" t="str">
        <f>IFERROR(__xludf.DUMMYFUNCTION("""COMPUTED_VALUE"""),"Toyota Camry")</f>
        <v>Toyota Camry</v>
      </c>
      <c r="C275" s="4">
        <f>IFERROR(__xludf.DUMMYFUNCTION("""COMPUTED_VALUE"""),24824.0)</f>
        <v>24824</v>
      </c>
      <c r="D275" s="4">
        <f>IFERROR(__xludf.DUMMYFUNCTION("""COMPUTED_VALUE"""),29245.0)</f>
        <v>29245</v>
      </c>
      <c r="E275" s="4">
        <f>IFERROR(__xludf.DUMMYFUNCTION("""COMPUTED_VALUE"""),23119.0)</f>
        <v>23119</v>
      </c>
      <c r="F275" s="4">
        <f>IFERROR(__xludf.DUMMYFUNCTION("""COMPUTED_VALUE"""),8768.0)</f>
        <v>8768</v>
      </c>
      <c r="G275" s="4">
        <f>IFERROR(__xludf.DUMMYFUNCTION("""COMPUTED_VALUE"""),19484.0)</f>
        <v>19484</v>
      </c>
      <c r="H275" s="4">
        <f>IFERROR(__xludf.DUMMYFUNCTION("""COMPUTED_VALUE"""),20459.0)</f>
        <v>20459</v>
      </c>
      <c r="I275" s="4">
        <f>IFERROR(__xludf.DUMMYFUNCTION("""COMPUTED_VALUE"""),22792.0)</f>
        <v>22792</v>
      </c>
      <c r="J275" s="4">
        <f>IFERROR(__xludf.DUMMYFUNCTION("""COMPUTED_VALUE"""),27892.0)</f>
        <v>27892</v>
      </c>
      <c r="K275" s="4">
        <f>IFERROR(__xludf.DUMMYFUNCTION("""COMPUTED_VALUE"""),28362.0)</f>
        <v>28362</v>
      </c>
      <c r="L275" s="4">
        <f>IFERROR(__xludf.DUMMYFUNCTION("""COMPUTED_VALUE"""),29666.0)</f>
        <v>29666</v>
      </c>
      <c r="M275" s="4">
        <f>IFERROR(__xludf.DUMMYFUNCTION("""COMPUTED_VALUE"""),29373.0)</f>
        <v>29373</v>
      </c>
      <c r="N275" s="4">
        <f>IFERROR(__xludf.DUMMYFUNCTION("""COMPUTED_VALUE"""),30364.0)</f>
        <v>30364</v>
      </c>
    </row>
    <row r="276">
      <c r="A276" s="1" t="str">
        <f>vlookup(B276:B579,split_names!A275:B1186,2,0)</f>
        <v>Toyota</v>
      </c>
      <c r="B276" s="1" t="str">
        <f>IFERROR(__xludf.DUMMYFUNCTION("""COMPUTED_VALUE"""),"Toyota Corolla")</f>
        <v>Toyota Corolla</v>
      </c>
      <c r="C276" s="4">
        <f>IFERROR(__xludf.DUMMYFUNCTION("""COMPUTED_VALUE"""),23477.0)</f>
        <v>23477</v>
      </c>
      <c r="D276" s="4">
        <f>IFERROR(__xludf.DUMMYFUNCTION("""COMPUTED_VALUE"""),26590.0)</f>
        <v>26590</v>
      </c>
      <c r="E276" s="4">
        <f>IFERROR(__xludf.DUMMYFUNCTION("""COMPUTED_VALUE"""),19147.0)</f>
        <v>19147</v>
      </c>
      <c r="F276" s="4">
        <f>IFERROR(__xludf.DUMMYFUNCTION("""COMPUTED_VALUE"""),7270.0)</f>
        <v>7270</v>
      </c>
      <c r="G276" s="4">
        <f>IFERROR(__xludf.DUMMYFUNCTION("""COMPUTED_VALUE"""),16155.0)</f>
        <v>16155</v>
      </c>
      <c r="H276" s="4">
        <f>IFERROR(__xludf.DUMMYFUNCTION("""COMPUTED_VALUE"""),16963.0)</f>
        <v>16963</v>
      </c>
      <c r="I276" s="4">
        <f>IFERROR(__xludf.DUMMYFUNCTION("""COMPUTED_VALUE"""),17564.0)</f>
        <v>17564</v>
      </c>
      <c r="J276" s="4">
        <f>IFERROR(__xludf.DUMMYFUNCTION("""COMPUTED_VALUE"""),19154.0)</f>
        <v>19154</v>
      </c>
      <c r="K276" s="4">
        <f>IFERROR(__xludf.DUMMYFUNCTION("""COMPUTED_VALUE"""),19894.0)</f>
        <v>19894</v>
      </c>
      <c r="L276" s="4">
        <f>IFERROR(__xludf.DUMMYFUNCTION("""COMPUTED_VALUE"""),21569.0)</f>
        <v>21569</v>
      </c>
      <c r="M276" s="4">
        <f>IFERROR(__xludf.DUMMYFUNCTION("""COMPUTED_VALUE"""),23987.0)</f>
        <v>23987</v>
      </c>
      <c r="N276" s="4">
        <f>IFERROR(__xludf.DUMMYFUNCTION("""COMPUTED_VALUE"""),25409.0)</f>
        <v>25409</v>
      </c>
    </row>
    <row r="277">
      <c r="A277" s="1" t="str">
        <f>vlookup(B277:B580,split_names!A276:B1187,2,0)</f>
        <v>Toyota</v>
      </c>
      <c r="B277" s="1" t="str">
        <f>IFERROR(__xludf.DUMMYFUNCTION("""COMPUTED_VALUE"""),"Toyota Highlander")</f>
        <v>Toyota Highlander</v>
      </c>
      <c r="C277" s="4">
        <f>IFERROR(__xludf.DUMMYFUNCTION("""COMPUTED_VALUE"""),17009.0)</f>
        <v>17009</v>
      </c>
      <c r="D277" s="4">
        <f>IFERROR(__xludf.DUMMYFUNCTION("""COMPUTED_VALUE"""),20174.0)</f>
        <v>20174</v>
      </c>
      <c r="E277" s="4">
        <f>IFERROR(__xludf.DUMMYFUNCTION("""COMPUTED_VALUE"""),10707.0)</f>
        <v>10707</v>
      </c>
      <c r="F277" s="4">
        <f>IFERROR(__xludf.DUMMYFUNCTION("""COMPUTED_VALUE"""),5613.0)</f>
        <v>5613</v>
      </c>
      <c r="G277" s="4">
        <f>IFERROR(__xludf.DUMMYFUNCTION("""COMPUTED_VALUE"""),12472.0)</f>
        <v>12472</v>
      </c>
      <c r="H277" s="4">
        <f>IFERROR(__xludf.DUMMYFUNCTION("""COMPUTED_VALUE"""),13096.0)</f>
        <v>13096</v>
      </c>
      <c r="I277" s="4">
        <f>IFERROR(__xludf.DUMMYFUNCTION("""COMPUTED_VALUE"""),18128.0)</f>
        <v>18128</v>
      </c>
      <c r="J277" s="4">
        <f>IFERROR(__xludf.DUMMYFUNCTION("""COMPUTED_VALUE"""),21795.0)</f>
        <v>21795</v>
      </c>
      <c r="K277" s="4">
        <f>IFERROR(__xludf.DUMMYFUNCTION("""COMPUTED_VALUE"""),22307.0)</f>
        <v>22307</v>
      </c>
      <c r="L277" s="4">
        <f>IFERROR(__xludf.DUMMYFUNCTION("""COMPUTED_VALUE"""),22262.0)</f>
        <v>22262</v>
      </c>
      <c r="M277" s="4">
        <f>IFERROR(__xludf.DUMMYFUNCTION("""COMPUTED_VALUE"""),21935.0)</f>
        <v>21935</v>
      </c>
      <c r="N277" s="4">
        <f>IFERROR(__xludf.DUMMYFUNCTION("""COMPUTED_VALUE"""),26778.0)</f>
        <v>26778</v>
      </c>
    </row>
    <row r="278">
      <c r="A278" s="1" t="str">
        <f>vlookup(B278:B581,split_names!A277:B1188,2,0)</f>
        <v>Toyota</v>
      </c>
      <c r="B278" s="1" t="str">
        <f>IFERROR(__xludf.DUMMYFUNCTION("""COMPUTED_VALUE"""),"Toyota Land Cruiser")</f>
        <v>Toyota Land Cruiser</v>
      </c>
      <c r="C278" s="1">
        <f>IFERROR(__xludf.DUMMYFUNCTION("""COMPUTED_VALUE"""),215.0)</f>
        <v>215</v>
      </c>
      <c r="D278" s="1">
        <f>IFERROR(__xludf.DUMMYFUNCTION("""COMPUTED_VALUE"""),226.0)</f>
        <v>226</v>
      </c>
      <c r="E278" s="1">
        <f>IFERROR(__xludf.DUMMYFUNCTION("""COMPUTED_VALUE"""),173.0)</f>
        <v>173</v>
      </c>
      <c r="F278" s="1">
        <f>IFERROR(__xludf.DUMMYFUNCTION("""COMPUTED_VALUE"""),114.0)</f>
        <v>114</v>
      </c>
      <c r="G278" s="1">
        <f>IFERROR(__xludf.DUMMYFUNCTION("""COMPUTED_VALUE"""),254.0)</f>
        <v>254</v>
      </c>
      <c r="H278" s="1">
        <f>IFERROR(__xludf.DUMMYFUNCTION("""COMPUTED_VALUE"""),267.0)</f>
        <v>267</v>
      </c>
      <c r="I278" s="1">
        <f>IFERROR(__xludf.DUMMYFUNCTION("""COMPUTED_VALUE"""),209.0)</f>
        <v>209</v>
      </c>
      <c r="J278" s="1">
        <f>IFERROR(__xludf.DUMMYFUNCTION("""COMPUTED_VALUE"""),161.0)</f>
        <v>161</v>
      </c>
      <c r="K278" s="1">
        <f>IFERROR(__xludf.DUMMYFUNCTION("""COMPUTED_VALUE"""),141.0)</f>
        <v>141</v>
      </c>
      <c r="L278" s="1">
        <f>IFERROR(__xludf.DUMMYFUNCTION("""COMPUTED_VALUE"""),412.0)</f>
        <v>412</v>
      </c>
      <c r="M278" s="1">
        <f>IFERROR(__xludf.DUMMYFUNCTION("""COMPUTED_VALUE"""),368.0)</f>
        <v>368</v>
      </c>
      <c r="N278" s="1">
        <f>IFERROR(__xludf.DUMMYFUNCTION("""COMPUTED_VALUE"""),606.0)</f>
        <v>606</v>
      </c>
    </row>
    <row r="279">
      <c r="A279" s="1" t="str">
        <f>vlookup(B279:B582,split_names!A278:B1189,2,0)</f>
        <v>Toyota</v>
      </c>
      <c r="B279" s="1" t="str">
        <f>IFERROR(__xludf.DUMMYFUNCTION("""COMPUTED_VALUE"""),"Toyota Mirai")</f>
        <v>Toyota Mirai</v>
      </c>
      <c r="C279" s="1">
        <f>IFERROR(__xludf.DUMMYFUNCTION("""COMPUTED_VALUE"""),57.0)</f>
        <v>57</v>
      </c>
      <c r="D279" s="1">
        <f>IFERROR(__xludf.DUMMYFUNCTION("""COMPUTED_VALUE"""),59.0)</f>
        <v>59</v>
      </c>
      <c r="E279" s="1">
        <f>IFERROR(__xludf.DUMMYFUNCTION("""COMPUTED_VALUE"""),31.0)</f>
        <v>31</v>
      </c>
      <c r="F279" s="1">
        <f>IFERROR(__xludf.DUMMYFUNCTION("""COMPUTED_VALUE"""),11.0)</f>
        <v>11</v>
      </c>
      <c r="G279" s="1">
        <f>IFERROR(__xludf.DUMMYFUNCTION("""COMPUTED_VALUE"""),25.0)</f>
        <v>25</v>
      </c>
      <c r="H279" s="1">
        <f>IFERROR(__xludf.DUMMYFUNCTION("""COMPUTED_VALUE"""),26.0)</f>
        <v>26</v>
      </c>
      <c r="I279" s="1">
        <f>IFERROR(__xludf.DUMMYFUNCTION("""COMPUTED_VALUE"""),27.0)</f>
        <v>27</v>
      </c>
      <c r="J279" s="1">
        <f>IFERROR(__xludf.DUMMYFUNCTION("""COMPUTED_VALUE"""),64.0)</f>
        <v>64</v>
      </c>
      <c r="K279" s="1">
        <f>IFERROR(__xludf.DUMMYFUNCTION("""COMPUTED_VALUE"""),41.0)</f>
        <v>41</v>
      </c>
      <c r="L279" s="1">
        <f>IFERROR(__xludf.DUMMYFUNCTION("""COMPUTED_VALUE"""),27.0)</f>
        <v>27</v>
      </c>
      <c r="M279" s="1">
        <f>IFERROR(__xludf.DUMMYFUNCTION("""COMPUTED_VALUE"""),111.0)</f>
        <v>111</v>
      </c>
      <c r="N279" s="1">
        <f>IFERROR(__xludf.DUMMYFUNCTION("""COMPUTED_VALUE"""),20.0)</f>
        <v>20</v>
      </c>
    </row>
    <row r="280">
      <c r="A280" s="1" t="str">
        <f>vlookup(B280:B583,split_names!A279:B1190,2,0)</f>
        <v>Toyota</v>
      </c>
      <c r="B280" s="1" t="str">
        <f>IFERROR(__xludf.DUMMYFUNCTION("""COMPUTED_VALUE"""),"Toyota Prius Family")</f>
        <v>Toyota Prius Family</v>
      </c>
      <c r="C280" s="4">
        <f>IFERROR(__xludf.DUMMYFUNCTION("""COMPUTED_VALUE"""),4089.0)</f>
        <v>4089</v>
      </c>
      <c r="D280" s="4">
        <f>IFERROR(__xludf.DUMMYFUNCTION("""COMPUTED_VALUE"""),4532.0)</f>
        <v>4532</v>
      </c>
      <c r="E280" s="4">
        <f>IFERROR(__xludf.DUMMYFUNCTION("""COMPUTED_VALUE"""),2862.0)</f>
        <v>2862</v>
      </c>
      <c r="F280" s="4">
        <f>IFERROR(__xludf.DUMMYFUNCTION("""COMPUTED_VALUE"""),1620.0)</f>
        <v>1620</v>
      </c>
      <c r="G280" s="4">
        <f>IFERROR(__xludf.DUMMYFUNCTION("""COMPUTED_VALUE"""),3600.0)</f>
        <v>3600</v>
      </c>
      <c r="H280" s="4">
        <f>IFERROR(__xludf.DUMMYFUNCTION("""COMPUTED_VALUE"""),3780.0)</f>
        <v>3780</v>
      </c>
      <c r="I280" s="4">
        <f>IFERROR(__xludf.DUMMYFUNCTION("""COMPUTED_VALUE"""),4391.0)</f>
        <v>4391</v>
      </c>
      <c r="J280" s="4">
        <f>IFERROR(__xludf.DUMMYFUNCTION("""COMPUTED_VALUE"""),3905.0)</f>
        <v>3905</v>
      </c>
      <c r="K280" s="4">
        <f>IFERROR(__xludf.DUMMYFUNCTION("""COMPUTED_VALUE"""),3787.0)</f>
        <v>3787</v>
      </c>
      <c r="L280" s="4">
        <f>IFERROR(__xludf.DUMMYFUNCTION("""COMPUTED_VALUE"""),3633.0)</f>
        <v>3633</v>
      </c>
      <c r="M280" s="4">
        <f>IFERROR(__xludf.DUMMYFUNCTION("""COMPUTED_VALUE"""),3248.0)</f>
        <v>3248</v>
      </c>
      <c r="N280" s="4">
        <f>IFERROR(__xludf.DUMMYFUNCTION("""COMPUTED_VALUE"""),4078.0)</f>
        <v>4078</v>
      </c>
    </row>
    <row r="281">
      <c r="A281" s="1" t="str">
        <f>vlookup(B281:B584,split_names!A280:B1191,2,0)</f>
        <v>Toyota</v>
      </c>
      <c r="B281" s="1" t="str">
        <f>IFERROR(__xludf.DUMMYFUNCTION("""COMPUTED_VALUE"""),"Toyota RAV4")</f>
        <v>Toyota RAV4</v>
      </c>
      <c r="C281" s="4">
        <f>IFERROR(__xludf.DUMMYFUNCTION("""COMPUTED_VALUE"""),33130.0)</f>
        <v>33130</v>
      </c>
      <c r="D281" s="4">
        <f>IFERROR(__xludf.DUMMYFUNCTION("""COMPUTED_VALUE"""),39626.0)</f>
        <v>39626</v>
      </c>
      <c r="E281" s="4">
        <f>IFERROR(__xludf.DUMMYFUNCTION("""COMPUTED_VALUE"""),24875.0)</f>
        <v>24875</v>
      </c>
      <c r="F281" s="4">
        <f>IFERROR(__xludf.DUMMYFUNCTION("""COMPUTED_VALUE"""),15431.0)</f>
        <v>15431</v>
      </c>
      <c r="G281" s="4">
        <f>IFERROR(__xludf.DUMMYFUNCTION("""COMPUTED_VALUE"""),34292.0)</f>
        <v>34292</v>
      </c>
      <c r="H281" s="4">
        <f>IFERROR(__xludf.DUMMYFUNCTION("""COMPUTED_VALUE"""),36006.0)</f>
        <v>36006</v>
      </c>
      <c r="I281" s="4">
        <f>IFERROR(__xludf.DUMMYFUNCTION("""COMPUTED_VALUE"""),36323.0)</f>
        <v>36323</v>
      </c>
      <c r="J281" s="4">
        <f>IFERROR(__xludf.DUMMYFUNCTION("""COMPUTED_VALUE"""),39239.0)</f>
        <v>39239</v>
      </c>
      <c r="K281" s="4">
        <f>IFERROR(__xludf.DUMMYFUNCTION("""COMPUTED_VALUE"""),43652.0)</f>
        <v>43652</v>
      </c>
      <c r="L281" s="4">
        <f>IFERROR(__xludf.DUMMYFUNCTION("""COMPUTED_VALUE"""),40717.0)</f>
        <v>40717</v>
      </c>
      <c r="M281" s="4">
        <f>IFERROR(__xludf.DUMMYFUNCTION("""COMPUTED_VALUE"""),40250.0)</f>
        <v>40250</v>
      </c>
      <c r="N281" s="4">
        <f>IFERROR(__xludf.DUMMYFUNCTION("""COMPUTED_VALUE"""),46846.0)</f>
        <v>46846</v>
      </c>
    </row>
    <row r="282">
      <c r="A282" s="1" t="str">
        <f>vlookup(B282:B585,split_names!A281:B1192,2,0)</f>
        <v>Toyota</v>
      </c>
      <c r="B282" s="1" t="str">
        <f>IFERROR(__xludf.DUMMYFUNCTION("""COMPUTED_VALUE"""),"Toyota Sequoia")</f>
        <v>Toyota Sequoia</v>
      </c>
      <c r="C282" s="1">
        <f>IFERROR(__xludf.DUMMYFUNCTION("""COMPUTED_VALUE"""),505.0)</f>
        <v>505</v>
      </c>
      <c r="D282" s="1">
        <f>IFERROR(__xludf.DUMMYFUNCTION("""COMPUTED_VALUE"""),571.0)</f>
        <v>571</v>
      </c>
      <c r="E282" s="1">
        <f>IFERROR(__xludf.DUMMYFUNCTION("""COMPUTED_VALUE"""),332.0)</f>
        <v>332</v>
      </c>
      <c r="F282" s="1">
        <f>IFERROR(__xludf.DUMMYFUNCTION("""COMPUTED_VALUE"""),202.0)</f>
        <v>202</v>
      </c>
      <c r="G282" s="1">
        <f>IFERROR(__xludf.DUMMYFUNCTION("""COMPUTED_VALUE"""),448.0)</f>
        <v>448</v>
      </c>
      <c r="H282" s="1">
        <f>IFERROR(__xludf.DUMMYFUNCTION("""COMPUTED_VALUE"""),470.0)</f>
        <v>470</v>
      </c>
      <c r="I282" s="1">
        <f>IFERROR(__xludf.DUMMYFUNCTION("""COMPUTED_VALUE"""),666.0)</f>
        <v>666</v>
      </c>
      <c r="J282" s="1">
        <f>IFERROR(__xludf.DUMMYFUNCTION("""COMPUTED_VALUE"""),769.0)</f>
        <v>769</v>
      </c>
      <c r="K282" s="1">
        <f>IFERROR(__xludf.DUMMYFUNCTION("""COMPUTED_VALUE"""),770.0)</f>
        <v>770</v>
      </c>
      <c r="L282" s="1">
        <f>IFERROR(__xludf.DUMMYFUNCTION("""COMPUTED_VALUE"""),831.0)</f>
        <v>831</v>
      </c>
      <c r="M282" s="1">
        <f>IFERROR(__xludf.DUMMYFUNCTION("""COMPUTED_VALUE"""),752.0)</f>
        <v>752</v>
      </c>
      <c r="N282" s="4">
        <f>IFERROR(__xludf.DUMMYFUNCTION("""COMPUTED_VALUE"""),1048.0)</f>
        <v>1048</v>
      </c>
    </row>
    <row r="283">
      <c r="A283" s="1" t="str">
        <f>vlookup(B283:B586,split_names!A282:B1193,2,0)</f>
        <v>Toyota</v>
      </c>
      <c r="B283" s="1" t="str">
        <f>IFERROR(__xludf.DUMMYFUNCTION("""COMPUTED_VALUE"""),"Toyota Sienna")</f>
        <v>Toyota Sienna</v>
      </c>
      <c r="C283" s="4">
        <f>IFERROR(__xludf.DUMMYFUNCTION("""COMPUTED_VALUE"""),3934.0)</f>
        <v>3934</v>
      </c>
      <c r="D283" s="4">
        <f>IFERROR(__xludf.DUMMYFUNCTION("""COMPUTED_VALUE"""),4778.0)</f>
        <v>4778</v>
      </c>
      <c r="E283" s="4">
        <f>IFERROR(__xludf.DUMMYFUNCTION("""COMPUTED_VALUE"""),3164.0)</f>
        <v>3164</v>
      </c>
      <c r="F283" s="1">
        <f>IFERROR(__xludf.DUMMYFUNCTION("""COMPUTED_VALUE"""),960.0)</f>
        <v>960</v>
      </c>
      <c r="G283" s="4">
        <f>IFERROR(__xludf.DUMMYFUNCTION("""COMPUTED_VALUE"""),2133.0)</f>
        <v>2133</v>
      </c>
      <c r="H283" s="4">
        <f>IFERROR(__xludf.DUMMYFUNCTION("""COMPUTED_VALUE"""),2239.0)</f>
        <v>2239</v>
      </c>
      <c r="I283" s="4">
        <f>IFERROR(__xludf.DUMMYFUNCTION("""COMPUTED_VALUE"""),3462.0)</f>
        <v>3462</v>
      </c>
      <c r="J283" s="4">
        <f>IFERROR(__xludf.DUMMYFUNCTION("""COMPUTED_VALUE"""),3987.0)</f>
        <v>3987</v>
      </c>
      <c r="K283" s="4">
        <f>IFERROR(__xludf.DUMMYFUNCTION("""COMPUTED_VALUE"""),4124.0)</f>
        <v>4124</v>
      </c>
      <c r="L283" s="4">
        <f>IFERROR(__xludf.DUMMYFUNCTION("""COMPUTED_VALUE"""),2812.0)</f>
        <v>2812</v>
      </c>
      <c r="M283" s="4">
        <f>IFERROR(__xludf.DUMMYFUNCTION("""COMPUTED_VALUE"""),3779.0)</f>
        <v>3779</v>
      </c>
      <c r="N283" s="4">
        <f>IFERROR(__xludf.DUMMYFUNCTION("""COMPUTED_VALUE"""),7513.0)</f>
        <v>7513</v>
      </c>
    </row>
    <row r="284">
      <c r="A284" s="1" t="str">
        <f>vlookup(B284:B587,split_names!A283:B1194,2,0)</f>
        <v>Toyota</v>
      </c>
      <c r="B284" s="1" t="str">
        <f>IFERROR(__xludf.DUMMYFUNCTION("""COMPUTED_VALUE"""),"Toyota Supra")</f>
        <v>Toyota Supra</v>
      </c>
      <c r="C284" s="1">
        <f>IFERROR(__xludf.DUMMYFUNCTION("""COMPUTED_VALUE"""),342.0)</f>
        <v>342</v>
      </c>
      <c r="D284" s="1">
        <f>IFERROR(__xludf.DUMMYFUNCTION("""COMPUTED_VALUE"""),398.0)</f>
        <v>398</v>
      </c>
      <c r="E284" s="1">
        <f>IFERROR(__xludf.DUMMYFUNCTION("""COMPUTED_VALUE"""),273.0)</f>
        <v>273</v>
      </c>
      <c r="F284" s="1">
        <f>IFERROR(__xludf.DUMMYFUNCTION("""COMPUTED_VALUE"""),231.0)</f>
        <v>231</v>
      </c>
      <c r="G284" s="1">
        <f>IFERROR(__xludf.DUMMYFUNCTION("""COMPUTED_VALUE"""),512.0)</f>
        <v>512</v>
      </c>
      <c r="H284" s="1">
        <f>IFERROR(__xludf.DUMMYFUNCTION("""COMPUTED_VALUE"""),538.0)</f>
        <v>538</v>
      </c>
      <c r="I284" s="1">
        <f>IFERROR(__xludf.DUMMYFUNCTION("""COMPUTED_VALUE"""),515.0)</f>
        <v>515</v>
      </c>
      <c r="J284" s="1">
        <f>IFERROR(__xludf.DUMMYFUNCTION("""COMPUTED_VALUE"""),500.0)</f>
        <v>500</v>
      </c>
      <c r="K284" s="1">
        <f>IFERROR(__xludf.DUMMYFUNCTION("""COMPUTED_VALUE"""),489.0)</f>
        <v>489</v>
      </c>
      <c r="L284" s="1">
        <f>IFERROR(__xludf.DUMMYFUNCTION("""COMPUTED_VALUE"""),677.0)</f>
        <v>677</v>
      </c>
      <c r="M284" s="1">
        <f>IFERROR(__xludf.DUMMYFUNCTION("""COMPUTED_VALUE"""),708.0)</f>
        <v>708</v>
      </c>
      <c r="N284" s="1">
        <f>IFERROR(__xludf.DUMMYFUNCTION("""COMPUTED_VALUE"""),704.0)</f>
        <v>704</v>
      </c>
    </row>
    <row r="285">
      <c r="A285" s="1" t="str">
        <f>vlookup(B285:B588,split_names!A284:B1195,2,0)</f>
        <v>Toyota</v>
      </c>
      <c r="B285" s="1" t="str">
        <f>IFERROR(__xludf.DUMMYFUNCTION("""COMPUTED_VALUE"""),"Toyota Tacoma")</f>
        <v>Toyota Tacoma</v>
      </c>
      <c r="C285" s="4">
        <f>IFERROR(__xludf.DUMMYFUNCTION("""COMPUTED_VALUE"""),17112.0)</f>
        <v>17112</v>
      </c>
      <c r="D285" s="4">
        <f>IFERROR(__xludf.DUMMYFUNCTION("""COMPUTED_VALUE"""),20609.0)</f>
        <v>20609</v>
      </c>
      <c r="E285" s="4">
        <f>IFERROR(__xludf.DUMMYFUNCTION("""COMPUTED_VALUE"""),15915.0)</f>
        <v>15915</v>
      </c>
      <c r="F285" s="4">
        <f>IFERROR(__xludf.DUMMYFUNCTION("""COMPUTED_VALUE"""),9191.0)</f>
        <v>9191</v>
      </c>
      <c r="G285" s="4">
        <f>IFERROR(__xludf.DUMMYFUNCTION("""COMPUTED_VALUE"""),20425.0)</f>
        <v>20425</v>
      </c>
      <c r="H285" s="4">
        <f>IFERROR(__xludf.DUMMYFUNCTION("""COMPUTED_VALUE"""),21446.0)</f>
        <v>21446</v>
      </c>
      <c r="I285" s="4">
        <f>IFERROR(__xludf.DUMMYFUNCTION("""COMPUTED_VALUE"""),17412.0)</f>
        <v>17412</v>
      </c>
      <c r="J285" s="4">
        <f>IFERROR(__xludf.DUMMYFUNCTION("""COMPUTED_VALUE"""),20579.0)</f>
        <v>20579</v>
      </c>
      <c r="K285" s="4">
        <f>IFERROR(__xludf.DUMMYFUNCTION("""COMPUTED_VALUE"""),20929.0)</f>
        <v>20929</v>
      </c>
      <c r="L285" s="4">
        <f>IFERROR(__xludf.DUMMYFUNCTION("""COMPUTED_VALUE"""),23774.0)</f>
        <v>23774</v>
      </c>
      <c r="M285" s="4">
        <f>IFERROR(__xludf.DUMMYFUNCTION("""COMPUTED_VALUE"""),22456.0)</f>
        <v>22456</v>
      </c>
      <c r="N285" s="4">
        <f>IFERROR(__xludf.DUMMYFUNCTION("""COMPUTED_VALUE"""),28957.0)</f>
        <v>28957</v>
      </c>
    </row>
    <row r="286">
      <c r="A286" s="1" t="str">
        <f>vlookup(B286:B589,split_names!A285:B1196,2,0)</f>
        <v>Toyota</v>
      </c>
      <c r="B286" s="1" t="str">
        <f>IFERROR(__xludf.DUMMYFUNCTION("""COMPUTED_VALUE"""),"Toyota Tundra")</f>
        <v>Toyota Tundra</v>
      </c>
      <c r="C286" s="4">
        <f>IFERROR(__xludf.DUMMYFUNCTION("""COMPUTED_VALUE"""),6655.0)</f>
        <v>6655</v>
      </c>
      <c r="D286" s="4">
        <f>IFERROR(__xludf.DUMMYFUNCTION("""COMPUTED_VALUE"""),8059.0)</f>
        <v>8059</v>
      </c>
      <c r="E286" s="4">
        <f>IFERROR(__xludf.DUMMYFUNCTION("""COMPUTED_VALUE"""),6944.0)</f>
        <v>6944</v>
      </c>
      <c r="F286" s="4">
        <f>IFERROR(__xludf.DUMMYFUNCTION("""COMPUTED_VALUE"""),4900.0)</f>
        <v>4900</v>
      </c>
      <c r="G286" s="4">
        <f>IFERROR(__xludf.DUMMYFUNCTION("""COMPUTED_VALUE"""),10889.0)</f>
        <v>10889</v>
      </c>
      <c r="H286" s="4">
        <f>IFERROR(__xludf.DUMMYFUNCTION("""COMPUTED_VALUE"""),11433.0)</f>
        <v>11433</v>
      </c>
      <c r="I286" s="4">
        <f>IFERROR(__xludf.DUMMYFUNCTION("""COMPUTED_VALUE"""),9066.0)</f>
        <v>9066</v>
      </c>
      <c r="J286" s="4">
        <f>IFERROR(__xludf.DUMMYFUNCTION("""COMPUTED_VALUE"""),10130.0)</f>
        <v>10130</v>
      </c>
      <c r="K286" s="4">
        <f>IFERROR(__xludf.DUMMYFUNCTION("""COMPUTED_VALUE"""),8738.0)</f>
        <v>8738</v>
      </c>
      <c r="L286" s="4">
        <f>IFERROR(__xludf.DUMMYFUNCTION("""COMPUTED_VALUE"""),9999.0)</f>
        <v>9999</v>
      </c>
      <c r="M286" s="4">
        <f>IFERROR(__xludf.DUMMYFUNCTION("""COMPUTED_VALUE"""),10266.0)</f>
        <v>10266</v>
      </c>
      <c r="N286" s="4">
        <f>IFERROR(__xludf.DUMMYFUNCTION("""COMPUTED_VALUE"""),12124.0)</f>
        <v>12124</v>
      </c>
    </row>
    <row r="287">
      <c r="A287" s="1" t="str">
        <f>vlookup(B287:B590,split_names!A286:B1197,2,0)</f>
        <v>Toyota</v>
      </c>
      <c r="B287" s="1" t="str">
        <f>IFERROR(__xludf.DUMMYFUNCTION("""COMPUTED_VALUE"""),"Toyota Venza")</f>
        <v>Toyota Venza</v>
      </c>
      <c r="C287" s="1">
        <f>IFERROR(__xludf.DUMMYFUNCTION("""COMPUTED_VALUE"""),0.0)</f>
        <v>0</v>
      </c>
      <c r="D287" s="1">
        <f>IFERROR(__xludf.DUMMYFUNCTION("""COMPUTED_VALUE"""),0.0)</f>
        <v>0</v>
      </c>
      <c r="E287" s="1">
        <f>IFERROR(__xludf.DUMMYFUNCTION("""COMPUTED_VALUE"""),0.0)</f>
        <v>0</v>
      </c>
      <c r="F287" s="1">
        <f>IFERROR(__xludf.DUMMYFUNCTION("""COMPUTED_VALUE"""),0.0)</f>
        <v>0</v>
      </c>
      <c r="G287" s="1">
        <f>IFERROR(__xludf.DUMMYFUNCTION("""COMPUTED_VALUE"""),0.0)</f>
        <v>0</v>
      </c>
      <c r="H287" s="1">
        <f>IFERROR(__xludf.DUMMYFUNCTION("""COMPUTED_VALUE"""),0.0)</f>
        <v>0</v>
      </c>
      <c r="I287" s="1">
        <f>IFERROR(__xludf.DUMMYFUNCTION("""COMPUTED_VALUE"""),0.0)</f>
        <v>0</v>
      </c>
      <c r="J287" s="1">
        <f>IFERROR(__xludf.DUMMYFUNCTION("""COMPUTED_VALUE"""),43.0)</f>
        <v>43</v>
      </c>
      <c r="K287" s="4">
        <f>IFERROR(__xludf.DUMMYFUNCTION("""COMPUTED_VALUE"""),1625.0)</f>
        <v>1625</v>
      </c>
      <c r="L287" s="4">
        <f>IFERROR(__xludf.DUMMYFUNCTION("""COMPUTED_VALUE"""),3510.0)</f>
        <v>3510</v>
      </c>
      <c r="M287" s="4">
        <f>IFERROR(__xludf.DUMMYFUNCTION("""COMPUTED_VALUE"""),3400.0)</f>
        <v>3400</v>
      </c>
      <c r="N287" s="4">
        <f>IFERROR(__xludf.DUMMYFUNCTION("""COMPUTED_VALUE"""),4495.0)</f>
        <v>4495</v>
      </c>
    </row>
    <row r="288">
      <c r="A288" s="1" t="str">
        <f>vlookup(B288:B591,split_names!A287:B1198,2,0)</f>
        <v>Toyota</v>
      </c>
      <c r="B288" s="1" t="str">
        <f>IFERROR(__xludf.DUMMYFUNCTION("""COMPUTED_VALUE"""),"Toyota Yaris")</f>
        <v>Toyota Yaris</v>
      </c>
      <c r="C288" s="1">
        <f>IFERROR(__xludf.DUMMYFUNCTION("""COMPUTED_VALUE"""),860.0)</f>
        <v>860</v>
      </c>
      <c r="D288" s="1">
        <f>IFERROR(__xludf.DUMMYFUNCTION("""COMPUTED_VALUE"""),965.0)</f>
        <v>965</v>
      </c>
      <c r="E288" s="1">
        <f>IFERROR(__xludf.DUMMYFUNCTION("""COMPUTED_VALUE"""),591.0)</f>
        <v>591</v>
      </c>
      <c r="F288" s="1">
        <f>IFERROR(__xludf.DUMMYFUNCTION("""COMPUTED_VALUE"""),236.0)</f>
        <v>236</v>
      </c>
      <c r="G288" s="1">
        <f>IFERROR(__xludf.DUMMYFUNCTION("""COMPUTED_VALUE"""),525.0)</f>
        <v>525</v>
      </c>
      <c r="H288" s="1">
        <f>IFERROR(__xludf.DUMMYFUNCTION("""COMPUTED_VALUE"""),551.0)</f>
        <v>551</v>
      </c>
      <c r="I288" s="1">
        <f>IFERROR(__xludf.DUMMYFUNCTION("""COMPUTED_VALUE"""),509.0)</f>
        <v>509</v>
      </c>
      <c r="J288" s="1">
        <f>IFERROR(__xludf.DUMMYFUNCTION("""COMPUTED_VALUE"""),726.0)</f>
        <v>726</v>
      </c>
      <c r="K288" s="1">
        <f>IFERROR(__xludf.DUMMYFUNCTION("""COMPUTED_VALUE"""),691.0)</f>
        <v>691</v>
      </c>
      <c r="L288" s="1">
        <f>IFERROR(__xludf.DUMMYFUNCTION("""COMPUTED_VALUE"""),442.0)</f>
        <v>442</v>
      </c>
      <c r="M288" s="1">
        <f>IFERROR(__xludf.DUMMYFUNCTION("""COMPUTED_VALUE"""),199.0)</f>
        <v>199</v>
      </c>
      <c r="N288" s="1">
        <f>IFERROR(__xludf.DUMMYFUNCTION("""COMPUTED_VALUE"""),141.0)</f>
        <v>141</v>
      </c>
    </row>
    <row r="289">
      <c r="A289" s="1" t="str">
        <f>vlookup(B289:B592,split_names!A288:B1199,2,0)</f>
        <v>Volkswagen</v>
      </c>
      <c r="B289" s="1" t="str">
        <f>IFERROR(__xludf.DUMMYFUNCTION("""COMPUTED_VALUE"""),"Volkswagen Arteon")</f>
        <v>Volkswagen Arteon</v>
      </c>
      <c r="C289" s="1">
        <f>IFERROR(__xludf.DUMMYFUNCTION("""COMPUTED_VALUE"""),256.0)</f>
        <v>256</v>
      </c>
      <c r="D289" s="1">
        <f>IFERROR(__xludf.DUMMYFUNCTION("""COMPUTED_VALUE"""),331.0)</f>
        <v>331</v>
      </c>
      <c r="E289" s="1">
        <f>IFERROR(__xludf.DUMMYFUNCTION("""COMPUTED_VALUE"""),597.0)</f>
        <v>597</v>
      </c>
      <c r="F289" s="1">
        <f>IFERROR(__xludf.DUMMYFUNCTION("""COMPUTED_VALUE"""),143.0)</f>
        <v>143</v>
      </c>
      <c r="G289" s="1">
        <f>IFERROR(__xludf.DUMMYFUNCTION("""COMPUTED_VALUE"""),319.0)</f>
        <v>319</v>
      </c>
      <c r="H289" s="1">
        <f>IFERROR(__xludf.DUMMYFUNCTION("""COMPUTED_VALUE"""),335.0)</f>
        <v>335</v>
      </c>
      <c r="I289" s="1">
        <f>IFERROR(__xludf.DUMMYFUNCTION("""COMPUTED_VALUE"""),370.0)</f>
        <v>370</v>
      </c>
      <c r="J289" s="1">
        <f>IFERROR(__xludf.DUMMYFUNCTION("""COMPUTED_VALUE"""),329.0)</f>
        <v>329</v>
      </c>
      <c r="K289" s="1">
        <f>IFERROR(__xludf.DUMMYFUNCTION("""COMPUTED_VALUE"""),357.0)</f>
        <v>357</v>
      </c>
      <c r="L289" s="1">
        <f>IFERROR(__xludf.DUMMYFUNCTION("""COMPUTED_VALUE"""),324.0)</f>
        <v>324</v>
      </c>
      <c r="M289" s="1">
        <f>IFERROR(__xludf.DUMMYFUNCTION("""COMPUTED_VALUE"""),266.0)</f>
        <v>266</v>
      </c>
      <c r="N289" s="1">
        <f>IFERROR(__xludf.DUMMYFUNCTION("""COMPUTED_VALUE"""),371.0)</f>
        <v>371</v>
      </c>
    </row>
    <row r="290">
      <c r="A290" s="1" t="str">
        <f>vlookup(B290:B593,split_names!A289:B1200,2,0)</f>
        <v>Volkswagen</v>
      </c>
      <c r="B290" s="1" t="str">
        <f>IFERROR(__xludf.DUMMYFUNCTION("""COMPUTED_VALUE"""),"Volkswagen Atlas")</f>
        <v>Volkswagen Atlas</v>
      </c>
      <c r="C290" s="4">
        <f>IFERROR(__xludf.DUMMYFUNCTION("""COMPUTED_VALUE"""),5004.0)</f>
        <v>5004</v>
      </c>
      <c r="D290" s="4">
        <f>IFERROR(__xludf.DUMMYFUNCTION("""COMPUTED_VALUE"""),6479.0)</f>
        <v>6479</v>
      </c>
      <c r="E290" s="4">
        <f>IFERROR(__xludf.DUMMYFUNCTION("""COMPUTED_VALUE"""),10842.0)</f>
        <v>10842</v>
      </c>
      <c r="F290" s="4">
        <f>IFERROR(__xludf.DUMMYFUNCTION("""COMPUTED_VALUE"""),2938.0)</f>
        <v>2938</v>
      </c>
      <c r="G290" s="4">
        <f>IFERROR(__xludf.DUMMYFUNCTION("""COMPUTED_VALUE"""),6528.0)</f>
        <v>6528</v>
      </c>
      <c r="H290" s="4">
        <f>IFERROR(__xludf.DUMMYFUNCTION("""COMPUTED_VALUE"""),6855.0)</f>
        <v>6855</v>
      </c>
      <c r="I290" s="4">
        <f>IFERROR(__xludf.DUMMYFUNCTION("""COMPUTED_VALUE"""),8482.0)</f>
        <v>8482</v>
      </c>
      <c r="J290" s="4">
        <f>IFERROR(__xludf.DUMMYFUNCTION("""COMPUTED_VALUE"""),7539.0)</f>
        <v>7539</v>
      </c>
      <c r="K290" s="4">
        <f>IFERROR(__xludf.DUMMYFUNCTION("""COMPUTED_VALUE"""),8168.0)</f>
        <v>8168</v>
      </c>
      <c r="L290" s="4">
        <f>IFERROR(__xludf.DUMMYFUNCTION("""COMPUTED_VALUE"""),6870.0)</f>
        <v>6870</v>
      </c>
      <c r="M290" s="4">
        <f>IFERROR(__xludf.DUMMYFUNCTION("""COMPUTED_VALUE"""),5644.0)</f>
        <v>5644</v>
      </c>
      <c r="N290" s="4">
        <f>IFERROR(__xludf.DUMMYFUNCTION("""COMPUTED_VALUE"""),7852.0)</f>
        <v>7852</v>
      </c>
    </row>
    <row r="291">
      <c r="A291" s="1" t="str">
        <f>vlookup(B291:B594,split_names!A290:B1201,2,0)</f>
        <v>Volkswagen</v>
      </c>
      <c r="B291" s="1" t="str">
        <f>IFERROR(__xludf.DUMMYFUNCTION("""COMPUTED_VALUE"""),"Volkswagen Atlas Sport")</f>
        <v>Volkswagen Atlas Sport</v>
      </c>
      <c r="C291" s="1">
        <f>IFERROR(__xludf.DUMMYFUNCTION("""COMPUTED_VALUE"""),0.0)</f>
        <v>0</v>
      </c>
      <c r="D291" s="1">
        <f>IFERROR(__xludf.DUMMYFUNCTION("""COMPUTED_VALUE"""),0.0)</f>
        <v>0</v>
      </c>
      <c r="E291" s="4">
        <f>IFERROR(__xludf.DUMMYFUNCTION("""COMPUTED_VALUE"""),4069.0)</f>
        <v>4069</v>
      </c>
      <c r="F291" s="1">
        <f>IFERROR(__xludf.DUMMYFUNCTION("""COMPUTED_VALUE"""),0.0)</f>
        <v>0</v>
      </c>
      <c r="G291" s="1">
        <f>IFERROR(__xludf.DUMMYFUNCTION("""COMPUTED_VALUE"""),0.0)</f>
        <v>0</v>
      </c>
      <c r="H291" s="1">
        <f>IFERROR(__xludf.DUMMYFUNCTION("""COMPUTED_VALUE"""),0.0)</f>
        <v>0</v>
      </c>
      <c r="I291" s="1">
        <f>IFERROR(__xludf.DUMMYFUNCTION("""COMPUTED_VALUE"""),0.0)</f>
        <v>0</v>
      </c>
      <c r="J291" s="1">
        <f>IFERROR(__xludf.DUMMYFUNCTION("""COMPUTED_VALUE"""),0.0)</f>
        <v>0</v>
      </c>
      <c r="K291" s="1">
        <f>IFERROR(__xludf.DUMMYFUNCTION("""COMPUTED_VALUE"""),0.0)</f>
        <v>0</v>
      </c>
      <c r="L291" s="4">
        <f>IFERROR(__xludf.DUMMYFUNCTION("""COMPUTED_VALUE"""),3737.0)</f>
        <v>3737</v>
      </c>
      <c r="M291" s="4">
        <f>IFERROR(__xludf.DUMMYFUNCTION("""COMPUTED_VALUE"""),3070.0)</f>
        <v>3070</v>
      </c>
      <c r="N291" s="4">
        <f>IFERROR(__xludf.DUMMYFUNCTION("""COMPUTED_VALUE"""),4271.0)</f>
        <v>4271</v>
      </c>
    </row>
    <row r="292">
      <c r="A292" s="1" t="str">
        <f>vlookup(B292:B595,split_names!A291:B1202,2,0)</f>
        <v>Volkswagen</v>
      </c>
      <c r="B292" s="1" t="str">
        <f>IFERROR(__xludf.DUMMYFUNCTION("""COMPUTED_VALUE"""),"Volkswagen Beetle")</f>
        <v>Volkswagen Beetle</v>
      </c>
      <c r="C292" s="1">
        <f>IFERROR(__xludf.DUMMYFUNCTION("""COMPUTED_VALUE"""),523.0)</f>
        <v>523</v>
      </c>
      <c r="D292" s="1">
        <f>IFERROR(__xludf.DUMMYFUNCTION("""COMPUTED_VALUE"""),677.0)</f>
        <v>677</v>
      </c>
      <c r="E292" s="1">
        <f>IFERROR(__xludf.DUMMYFUNCTION("""COMPUTED_VALUE"""),410.0)</f>
        <v>410</v>
      </c>
      <c r="F292" s="1">
        <f>IFERROR(__xludf.DUMMYFUNCTION("""COMPUTED_VALUE"""),506.0)</f>
        <v>506</v>
      </c>
      <c r="G292" s="4">
        <f>IFERROR(__xludf.DUMMYFUNCTION("""COMPUTED_VALUE"""),1124.0)</f>
        <v>1124</v>
      </c>
      <c r="H292" s="4">
        <f>IFERROR(__xludf.DUMMYFUNCTION("""COMPUTED_VALUE"""),1181.0)</f>
        <v>1181</v>
      </c>
      <c r="I292" s="1">
        <f>IFERROR(__xludf.DUMMYFUNCTION("""COMPUTED_VALUE"""),0.0)</f>
        <v>0</v>
      </c>
      <c r="J292" s="1">
        <f>IFERROR(__xludf.DUMMYFUNCTION("""COMPUTED_VALUE"""),0.0)</f>
        <v>0</v>
      </c>
      <c r="K292" s="1">
        <f>IFERROR(__xludf.DUMMYFUNCTION("""COMPUTED_VALUE"""),0.0)</f>
        <v>0</v>
      </c>
      <c r="L292" s="1">
        <f>IFERROR(__xludf.DUMMYFUNCTION("""COMPUTED_VALUE"""),0.0)</f>
        <v>0</v>
      </c>
      <c r="M292" s="1">
        <f>IFERROR(__xludf.DUMMYFUNCTION("""COMPUTED_VALUE"""),0.0)</f>
        <v>0</v>
      </c>
      <c r="N292" s="1">
        <f>IFERROR(__xludf.DUMMYFUNCTION("""COMPUTED_VALUE"""),0.0)</f>
        <v>0</v>
      </c>
    </row>
    <row r="293">
      <c r="A293" s="1" t="str">
        <f>vlookup(B293:B596,split_names!A292:B1203,2,0)</f>
        <v>Volkswagen</v>
      </c>
      <c r="B293" s="1" t="str">
        <f>IFERROR(__xludf.DUMMYFUNCTION("""COMPUTED_VALUE"""),"Volkswagen CC")</f>
        <v>Volkswagen CC</v>
      </c>
      <c r="C293" s="1">
        <f>IFERROR(__xludf.DUMMYFUNCTION("""COMPUTED_VALUE"""),6.0)</f>
        <v>6</v>
      </c>
      <c r="D293" s="1">
        <f>IFERROR(__xludf.DUMMYFUNCTION("""COMPUTED_VALUE"""),7.0)</f>
        <v>7</v>
      </c>
      <c r="E293" s="1">
        <f>IFERROR(__xludf.DUMMYFUNCTION("""COMPUTED_VALUE"""),4.0)</f>
        <v>4</v>
      </c>
      <c r="F293" s="1">
        <f>IFERROR(__xludf.DUMMYFUNCTION("""COMPUTED_VALUE"""),0.0)</f>
        <v>0</v>
      </c>
      <c r="G293" s="1">
        <f>IFERROR(__xludf.DUMMYFUNCTION("""COMPUTED_VALUE"""),0.0)</f>
        <v>0</v>
      </c>
      <c r="H293" s="1">
        <f>IFERROR(__xludf.DUMMYFUNCTION("""COMPUTED_VALUE"""),0.0)</f>
        <v>0</v>
      </c>
      <c r="I293" s="1">
        <f>IFERROR(__xludf.DUMMYFUNCTION("""COMPUTED_VALUE"""),0.0)</f>
        <v>0</v>
      </c>
      <c r="J293" s="1">
        <f>IFERROR(__xludf.DUMMYFUNCTION("""COMPUTED_VALUE"""),0.0)</f>
        <v>0</v>
      </c>
      <c r="K293" s="1">
        <f>IFERROR(__xludf.DUMMYFUNCTION("""COMPUTED_VALUE"""),0.0)</f>
        <v>0</v>
      </c>
      <c r="L293" s="1">
        <f>IFERROR(__xludf.DUMMYFUNCTION("""COMPUTED_VALUE"""),0.0)</f>
        <v>0</v>
      </c>
      <c r="M293" s="1">
        <f>IFERROR(__xludf.DUMMYFUNCTION("""COMPUTED_VALUE"""),0.0)</f>
        <v>0</v>
      </c>
      <c r="N293" s="1">
        <f>IFERROR(__xludf.DUMMYFUNCTION("""COMPUTED_VALUE"""),0.0)</f>
        <v>0</v>
      </c>
    </row>
    <row r="294">
      <c r="A294" s="1" t="str">
        <f>vlookup(B294:B597,split_names!A293:B1204,2,0)</f>
        <v>Volkswagen</v>
      </c>
      <c r="B294" s="1" t="str">
        <f>IFERROR(__xludf.DUMMYFUNCTION("""COMPUTED_VALUE"""),"Volkswagen Golf")</f>
        <v>Volkswagen Golf</v>
      </c>
      <c r="C294" s="4">
        <f>IFERROR(__xludf.DUMMYFUNCTION("""COMPUTED_VALUE"""),2501.0)</f>
        <v>2501</v>
      </c>
      <c r="D294" s="4">
        <f>IFERROR(__xludf.DUMMYFUNCTION("""COMPUTED_VALUE"""),3238.0)</f>
        <v>3238</v>
      </c>
      <c r="E294" s="4">
        <f>IFERROR(__xludf.DUMMYFUNCTION("""COMPUTED_VALUE"""),2529.0)</f>
        <v>2529</v>
      </c>
      <c r="F294" s="1">
        <f>IFERROR(__xludf.DUMMYFUNCTION("""COMPUTED_VALUE"""),827.0)</f>
        <v>827</v>
      </c>
      <c r="G294" s="4">
        <f>IFERROR(__xludf.DUMMYFUNCTION("""COMPUTED_VALUE"""),1838.0)</f>
        <v>1838</v>
      </c>
      <c r="H294" s="4">
        <f>IFERROR(__xludf.DUMMYFUNCTION("""COMPUTED_VALUE"""),1930.0)</f>
        <v>1930</v>
      </c>
      <c r="I294" s="4">
        <f>IFERROR(__xludf.DUMMYFUNCTION("""COMPUTED_VALUE"""),1751.0)</f>
        <v>1751</v>
      </c>
      <c r="J294" s="4">
        <f>IFERROR(__xludf.DUMMYFUNCTION("""COMPUTED_VALUE"""),1557.0)</f>
        <v>1557</v>
      </c>
      <c r="K294" s="4">
        <f>IFERROR(__xludf.DUMMYFUNCTION("""COMPUTED_VALUE"""),1687.0)</f>
        <v>1687</v>
      </c>
      <c r="L294" s="4">
        <f>IFERROR(__xludf.DUMMYFUNCTION("""COMPUTED_VALUE"""),1564.0)</f>
        <v>1564</v>
      </c>
      <c r="M294" s="4">
        <f>IFERROR(__xludf.DUMMYFUNCTION("""COMPUTED_VALUE"""),1285.0)</f>
        <v>1285</v>
      </c>
      <c r="N294" s="4">
        <f>IFERROR(__xludf.DUMMYFUNCTION("""COMPUTED_VALUE"""),1788.0)</f>
        <v>1788</v>
      </c>
    </row>
    <row r="295">
      <c r="A295" s="1" t="str">
        <f>vlookup(B295:B598,split_names!A294:B1205,2,0)</f>
        <v>Volkswagen</v>
      </c>
      <c r="B295" s="1" t="str">
        <f>IFERROR(__xludf.DUMMYFUNCTION("""COMPUTED_VALUE"""),"Volkswagen ID.4")</f>
        <v>Volkswagen ID.4</v>
      </c>
      <c r="C295" s="1">
        <f>IFERROR(__xludf.DUMMYFUNCTION("""COMPUTED_VALUE"""),0.0)</f>
        <v>0</v>
      </c>
      <c r="D295" s="1">
        <f>IFERROR(__xludf.DUMMYFUNCTION("""COMPUTED_VALUE"""),0.0)</f>
        <v>0</v>
      </c>
      <c r="E295" s="1">
        <f>IFERROR(__xludf.DUMMYFUNCTION("""COMPUTED_VALUE"""),474.0)</f>
        <v>474</v>
      </c>
      <c r="F295" s="1">
        <f>IFERROR(__xludf.DUMMYFUNCTION("""COMPUTED_VALUE"""),0.0)</f>
        <v>0</v>
      </c>
      <c r="G295" s="1">
        <f>IFERROR(__xludf.DUMMYFUNCTION("""COMPUTED_VALUE"""),0.0)</f>
        <v>0</v>
      </c>
      <c r="H295" s="1">
        <f>IFERROR(__xludf.DUMMYFUNCTION("""COMPUTED_VALUE"""),0.0)</f>
        <v>0</v>
      </c>
      <c r="I295" s="1">
        <f>IFERROR(__xludf.DUMMYFUNCTION("""COMPUTED_VALUE"""),0.0)</f>
        <v>0</v>
      </c>
      <c r="J295" s="1">
        <f>IFERROR(__xludf.DUMMYFUNCTION("""COMPUTED_VALUE"""),0.0)</f>
        <v>0</v>
      </c>
      <c r="K295" s="1">
        <f>IFERROR(__xludf.DUMMYFUNCTION("""COMPUTED_VALUE"""),0.0)</f>
        <v>0</v>
      </c>
      <c r="L295" s="1">
        <f>IFERROR(__xludf.DUMMYFUNCTION("""COMPUTED_VALUE"""),0.0)</f>
        <v>0</v>
      </c>
      <c r="M295" s="1">
        <f>IFERROR(__xludf.DUMMYFUNCTION("""COMPUTED_VALUE"""),0.0)</f>
        <v>0</v>
      </c>
      <c r="N295" s="1">
        <f>IFERROR(__xludf.DUMMYFUNCTION("""COMPUTED_VALUE"""),0.0)</f>
        <v>0</v>
      </c>
    </row>
    <row r="296">
      <c r="A296" s="1" t="str">
        <f>vlookup(B296:B599,split_names!A295:B1206,2,0)</f>
        <v>Volkswagen</v>
      </c>
      <c r="B296" s="1" t="str">
        <f>IFERROR(__xludf.DUMMYFUNCTION("""COMPUTED_VALUE"""),"Volkswagen Jetta")</f>
        <v>Volkswagen Jetta</v>
      </c>
      <c r="C296" s="4">
        <f>IFERROR(__xludf.DUMMYFUNCTION("""COMPUTED_VALUE"""),6945.0)</f>
        <v>6945</v>
      </c>
      <c r="D296" s="4">
        <f>IFERROR(__xludf.DUMMYFUNCTION("""COMPUTED_VALUE"""),8992.0)</f>
        <v>8992</v>
      </c>
      <c r="E296" s="4">
        <f>IFERROR(__xludf.DUMMYFUNCTION("""COMPUTED_VALUE"""),13623.0)</f>
        <v>13623</v>
      </c>
      <c r="F296" s="4">
        <f>IFERROR(__xludf.DUMMYFUNCTION("""COMPUTED_VALUE"""),2875.0)</f>
        <v>2875</v>
      </c>
      <c r="G296" s="4">
        <f>IFERROR(__xludf.DUMMYFUNCTION("""COMPUTED_VALUE"""),6388.0)</f>
        <v>6388</v>
      </c>
      <c r="H296" s="4">
        <f>IFERROR(__xludf.DUMMYFUNCTION("""COMPUTED_VALUE"""),6708.0)</f>
        <v>6708</v>
      </c>
      <c r="I296" s="4">
        <f>IFERROR(__xludf.DUMMYFUNCTION("""COMPUTED_VALUE"""),7054.0)</f>
        <v>7054</v>
      </c>
      <c r="J296" s="4">
        <f>IFERROR(__xludf.DUMMYFUNCTION("""COMPUTED_VALUE"""),6270.0)</f>
        <v>6270</v>
      </c>
      <c r="K296" s="4">
        <f>IFERROR(__xludf.DUMMYFUNCTION("""COMPUTED_VALUE"""),6792.0)</f>
        <v>6792</v>
      </c>
      <c r="L296" s="4">
        <f>IFERROR(__xludf.DUMMYFUNCTION("""COMPUTED_VALUE"""),8495.0)</f>
        <v>8495</v>
      </c>
      <c r="M296" s="4">
        <f>IFERROR(__xludf.DUMMYFUNCTION("""COMPUTED_VALUE"""),6978.0)</f>
        <v>6978</v>
      </c>
      <c r="N296" s="4">
        <f>IFERROR(__xludf.DUMMYFUNCTION("""COMPUTED_VALUE"""),9709.0)</f>
        <v>9709</v>
      </c>
    </row>
    <row r="297">
      <c r="A297" s="1" t="str">
        <f>vlookup(B297:B600,split_names!A296:B1207,2,0)</f>
        <v>Volkswagen</v>
      </c>
      <c r="B297" s="1" t="str">
        <f>IFERROR(__xludf.DUMMYFUNCTION("""COMPUTED_VALUE"""),"Volkswagen Passat")</f>
        <v>Volkswagen Passat</v>
      </c>
      <c r="C297" s="4">
        <f>IFERROR(__xludf.DUMMYFUNCTION("""COMPUTED_VALUE"""),1943.0)</f>
        <v>1943</v>
      </c>
      <c r="D297" s="4">
        <f>IFERROR(__xludf.DUMMYFUNCTION("""COMPUTED_VALUE"""),2515.0)</f>
        <v>2515</v>
      </c>
      <c r="E297" s="4">
        <f>IFERROR(__xludf.DUMMYFUNCTION("""COMPUTED_VALUE"""),3156.0)</f>
        <v>3156</v>
      </c>
      <c r="F297" s="1">
        <f>IFERROR(__xludf.DUMMYFUNCTION("""COMPUTED_VALUE"""),742.0)</f>
        <v>742</v>
      </c>
      <c r="G297" s="4">
        <f>IFERROR(__xludf.DUMMYFUNCTION("""COMPUTED_VALUE"""),1648.0)</f>
        <v>1648</v>
      </c>
      <c r="H297" s="4">
        <f>IFERROR(__xludf.DUMMYFUNCTION("""COMPUTED_VALUE"""),1730.0)</f>
        <v>1730</v>
      </c>
      <c r="I297" s="4">
        <f>IFERROR(__xludf.DUMMYFUNCTION("""COMPUTED_VALUE"""),2135.0)</f>
        <v>2135</v>
      </c>
      <c r="J297" s="4">
        <f>IFERROR(__xludf.DUMMYFUNCTION("""COMPUTED_VALUE"""),1898.0)</f>
        <v>1898</v>
      </c>
      <c r="K297" s="4">
        <f>IFERROR(__xludf.DUMMYFUNCTION("""COMPUTED_VALUE"""),2056.0)</f>
        <v>2056</v>
      </c>
      <c r="L297" s="4">
        <f>IFERROR(__xludf.DUMMYFUNCTION("""COMPUTED_VALUE"""),2285.0)</f>
        <v>2285</v>
      </c>
      <c r="M297" s="4">
        <f>IFERROR(__xludf.DUMMYFUNCTION("""COMPUTED_VALUE"""),1877.0)</f>
        <v>1877</v>
      </c>
      <c r="N297" s="4">
        <f>IFERROR(__xludf.DUMMYFUNCTION("""COMPUTED_VALUE"""),2612.0)</f>
        <v>2612</v>
      </c>
    </row>
    <row r="298">
      <c r="A298" s="1" t="str">
        <f>vlookup(B298:B601,split_names!A297:B1208,2,0)</f>
        <v>Volkswagen</v>
      </c>
      <c r="B298" s="1" t="str">
        <f>IFERROR(__xludf.DUMMYFUNCTION("""COMPUTED_VALUE"""),"Volkswagen Tiguan")</f>
        <v>Volkswagen Tiguan</v>
      </c>
      <c r="C298" s="4">
        <f>IFERROR(__xludf.DUMMYFUNCTION("""COMPUTED_VALUE"""),7203.0)</f>
        <v>7203</v>
      </c>
      <c r="D298" s="4">
        <f>IFERROR(__xludf.DUMMYFUNCTION("""COMPUTED_VALUE"""),9325.0)</f>
        <v>9325</v>
      </c>
      <c r="E298" s="4">
        <f>IFERROR(__xludf.DUMMYFUNCTION("""COMPUTED_VALUE"""),15463.0)</f>
        <v>15463</v>
      </c>
      <c r="F298" s="4">
        <f>IFERROR(__xludf.DUMMYFUNCTION("""COMPUTED_VALUE"""),4557.0)</f>
        <v>4557</v>
      </c>
      <c r="G298" s="4">
        <f>IFERROR(__xludf.DUMMYFUNCTION("""COMPUTED_VALUE"""),10127.0)</f>
        <v>10127</v>
      </c>
      <c r="H298" s="4">
        <f>IFERROR(__xludf.DUMMYFUNCTION("""COMPUTED_VALUE"""),10634.0)</f>
        <v>10634</v>
      </c>
      <c r="I298" s="4">
        <f>IFERROR(__xludf.DUMMYFUNCTION("""COMPUTED_VALUE"""),9842.0)</f>
        <v>9842</v>
      </c>
      <c r="J298" s="4">
        <f>IFERROR(__xludf.DUMMYFUNCTION("""COMPUTED_VALUE"""),8749.0)</f>
        <v>8749</v>
      </c>
      <c r="K298" s="4">
        <f>IFERROR(__xludf.DUMMYFUNCTION("""COMPUTED_VALUE"""),9478.0)</f>
        <v>9478</v>
      </c>
      <c r="L298" s="4">
        <f>IFERROR(__xludf.DUMMYFUNCTION("""COMPUTED_VALUE"""),8476.0)</f>
        <v>8476</v>
      </c>
      <c r="M298" s="4">
        <f>IFERROR(__xludf.DUMMYFUNCTION("""COMPUTED_VALUE"""),6962.0)</f>
        <v>6962</v>
      </c>
      <c r="N298" s="4">
        <f>IFERROR(__xludf.DUMMYFUNCTION("""COMPUTED_VALUE"""),9686.0)</f>
        <v>9686</v>
      </c>
    </row>
    <row r="299">
      <c r="A299" s="1" t="str">
        <f>vlookup(B299:B602,split_names!A298:B1209,2,0)</f>
        <v>Volkswagen</v>
      </c>
      <c r="B299" s="1" t="str">
        <f>IFERROR(__xludf.DUMMYFUNCTION("""COMPUTED_VALUE"""),"Volkswagen Touareg")</f>
        <v>Volkswagen Touareg</v>
      </c>
      <c r="C299" s="1">
        <f>IFERROR(__xludf.DUMMYFUNCTION("""COMPUTED_VALUE"""),1.0)</f>
        <v>1</v>
      </c>
      <c r="D299" s="1">
        <f>IFERROR(__xludf.DUMMYFUNCTION("""COMPUTED_VALUE"""),1.0)</f>
        <v>1</v>
      </c>
      <c r="E299" s="1">
        <f>IFERROR(__xludf.DUMMYFUNCTION("""COMPUTED_VALUE"""),1.0)</f>
        <v>1</v>
      </c>
      <c r="F299" s="1">
        <f>IFERROR(__xludf.DUMMYFUNCTION("""COMPUTED_VALUE"""),0.0)</f>
        <v>0</v>
      </c>
      <c r="G299" s="1">
        <f>IFERROR(__xludf.DUMMYFUNCTION("""COMPUTED_VALUE"""),0.0)</f>
        <v>0</v>
      </c>
      <c r="H299" s="1">
        <f>IFERROR(__xludf.DUMMYFUNCTION("""COMPUTED_VALUE"""),0.0)</f>
        <v>0</v>
      </c>
      <c r="I299" s="1">
        <f>IFERROR(__xludf.DUMMYFUNCTION("""COMPUTED_VALUE"""),0.0)</f>
        <v>0</v>
      </c>
      <c r="J299" s="1">
        <f>IFERROR(__xludf.DUMMYFUNCTION("""COMPUTED_VALUE"""),0.0)</f>
        <v>0</v>
      </c>
      <c r="K299" s="1">
        <f>IFERROR(__xludf.DUMMYFUNCTION("""COMPUTED_VALUE"""),0.0)</f>
        <v>0</v>
      </c>
      <c r="L299" s="1">
        <f>IFERROR(__xludf.DUMMYFUNCTION("""COMPUTED_VALUE"""),0.0)</f>
        <v>0</v>
      </c>
      <c r="M299" s="1">
        <f>IFERROR(__xludf.DUMMYFUNCTION("""COMPUTED_VALUE"""),0.0)</f>
        <v>0</v>
      </c>
      <c r="N299" s="1">
        <f>IFERROR(__xludf.DUMMYFUNCTION("""COMPUTED_VALUE"""),0.0)</f>
        <v>0</v>
      </c>
    </row>
    <row r="300">
      <c r="A300" s="1" t="str">
        <f>vlookup(B300:B603,split_names!A299:B1210,2,0)</f>
        <v>Volvo</v>
      </c>
      <c r="B300" s="1" t="str">
        <f>IFERROR(__xludf.DUMMYFUNCTION("""COMPUTED_VALUE"""),"Volvo 40 Series")</f>
        <v>Volvo 40 Series</v>
      </c>
      <c r="C300" s="1">
        <f>IFERROR(__xludf.DUMMYFUNCTION("""COMPUTED_VALUE"""),0.0)</f>
        <v>0</v>
      </c>
      <c r="D300" s="1">
        <f>IFERROR(__xludf.DUMMYFUNCTION("""COMPUTED_VALUE"""),0.0)</f>
        <v>0</v>
      </c>
      <c r="E300" s="4">
        <f>IFERROR(__xludf.DUMMYFUNCTION("""COMPUTED_VALUE"""),1099.0)</f>
        <v>1099</v>
      </c>
      <c r="F300" s="1">
        <f>IFERROR(__xludf.DUMMYFUNCTION("""COMPUTED_VALUE"""),0.0)</f>
        <v>0</v>
      </c>
      <c r="G300" s="1">
        <f>IFERROR(__xludf.DUMMYFUNCTION("""COMPUTED_VALUE"""),0.0)</f>
        <v>0</v>
      </c>
      <c r="H300" s="1">
        <f>IFERROR(__xludf.DUMMYFUNCTION("""COMPUTED_VALUE"""),0.0)</f>
        <v>0</v>
      </c>
      <c r="I300" s="1">
        <f>IFERROR(__xludf.DUMMYFUNCTION("""COMPUTED_VALUE"""),0.0)</f>
        <v>0</v>
      </c>
      <c r="J300" s="1">
        <f>IFERROR(__xludf.DUMMYFUNCTION("""COMPUTED_VALUE"""),0.0)</f>
        <v>0</v>
      </c>
      <c r="K300" s="1">
        <f>IFERROR(__xludf.DUMMYFUNCTION("""COMPUTED_VALUE"""),0.0)</f>
        <v>0</v>
      </c>
      <c r="L300" s="1">
        <f>IFERROR(__xludf.DUMMYFUNCTION("""COMPUTED_VALUE"""),0.0)</f>
        <v>0</v>
      </c>
      <c r="M300" s="1">
        <f>IFERROR(__xludf.DUMMYFUNCTION("""COMPUTED_VALUE"""),0.0)</f>
        <v>0</v>
      </c>
      <c r="N300" s="1">
        <f>IFERROR(__xludf.DUMMYFUNCTION("""COMPUTED_VALUE"""),0.0)</f>
        <v>0</v>
      </c>
    </row>
    <row r="301">
      <c r="A301" s="1" t="str">
        <f>vlookup(B301:B604,split_names!A300:B1211,2,0)</f>
        <v>Volvo</v>
      </c>
      <c r="B301" s="1" t="str">
        <f>IFERROR(__xludf.DUMMYFUNCTION("""COMPUTED_VALUE"""),"Volvo 60-Series")</f>
        <v>Volvo 60-Series</v>
      </c>
      <c r="C301" s="4">
        <f>IFERROR(__xludf.DUMMYFUNCTION("""COMPUTED_VALUE"""),1021.0)</f>
        <v>1021</v>
      </c>
      <c r="D301" s="4">
        <f>IFERROR(__xludf.DUMMYFUNCTION("""COMPUTED_VALUE"""),1385.0)</f>
        <v>1385</v>
      </c>
      <c r="E301" s="1">
        <f>IFERROR(__xludf.DUMMYFUNCTION("""COMPUTED_VALUE"""),0.0)</f>
        <v>0</v>
      </c>
      <c r="F301" s="1">
        <f>IFERROR(__xludf.DUMMYFUNCTION("""COMPUTED_VALUE"""),506.0)</f>
        <v>506</v>
      </c>
      <c r="G301" s="4">
        <f>IFERROR(__xludf.DUMMYFUNCTION("""COMPUTED_VALUE"""),1241.0)</f>
        <v>1241</v>
      </c>
      <c r="H301" s="4">
        <f>IFERROR(__xludf.DUMMYFUNCTION("""COMPUTED_VALUE"""),1486.0)</f>
        <v>1486</v>
      </c>
      <c r="I301" s="4">
        <f>IFERROR(__xludf.DUMMYFUNCTION("""COMPUTED_VALUE"""),1546.0)</f>
        <v>1546</v>
      </c>
      <c r="J301" s="4">
        <f>IFERROR(__xludf.DUMMYFUNCTION("""COMPUTED_VALUE"""),1790.0)</f>
        <v>1790</v>
      </c>
      <c r="K301" s="4">
        <f>IFERROR(__xludf.DUMMYFUNCTION("""COMPUTED_VALUE"""),2341.0)</f>
        <v>2341</v>
      </c>
      <c r="L301" s="4">
        <f>IFERROR(__xludf.DUMMYFUNCTION("""COMPUTED_VALUE"""),1213.0)</f>
        <v>1213</v>
      </c>
      <c r="M301" s="4">
        <f>IFERROR(__xludf.DUMMYFUNCTION("""COMPUTED_VALUE"""),1736.0)</f>
        <v>1736</v>
      </c>
      <c r="N301" s="4">
        <f>IFERROR(__xludf.DUMMYFUNCTION("""COMPUTED_VALUE"""),1464.0)</f>
        <v>1464</v>
      </c>
    </row>
    <row r="302">
      <c r="A302" s="1" t="str">
        <f>vlookup(B302:B605,split_names!A301:B1212,2,0)</f>
        <v>Volvo</v>
      </c>
      <c r="B302" s="1" t="str">
        <f>IFERROR(__xludf.DUMMYFUNCTION("""COMPUTED_VALUE"""),"Volvo 90-Series")</f>
        <v>Volvo 90-Series</v>
      </c>
      <c r="C302" s="1">
        <f>IFERROR(__xludf.DUMMYFUNCTION("""COMPUTED_VALUE"""),102.0)</f>
        <v>102</v>
      </c>
      <c r="D302" s="1">
        <f>IFERROR(__xludf.DUMMYFUNCTION("""COMPUTED_VALUE"""),136.0)</f>
        <v>136</v>
      </c>
      <c r="E302" s="1">
        <f>IFERROR(__xludf.DUMMYFUNCTION("""COMPUTED_VALUE"""),116.0)</f>
        <v>116</v>
      </c>
      <c r="F302" s="1">
        <f>IFERROR(__xludf.DUMMYFUNCTION("""COMPUTED_VALUE"""),91.0)</f>
        <v>91</v>
      </c>
      <c r="G302" s="1">
        <f>IFERROR(__xludf.DUMMYFUNCTION("""COMPUTED_VALUE"""),178.0)</f>
        <v>178</v>
      </c>
      <c r="H302" s="1">
        <f>IFERROR(__xludf.DUMMYFUNCTION("""COMPUTED_VALUE"""),263.0)</f>
        <v>263</v>
      </c>
      <c r="I302" s="1">
        <f>IFERROR(__xludf.DUMMYFUNCTION("""COMPUTED_VALUE"""),332.0)</f>
        <v>332</v>
      </c>
      <c r="J302" s="1">
        <f>IFERROR(__xludf.DUMMYFUNCTION("""COMPUTED_VALUE"""),676.0)</f>
        <v>676</v>
      </c>
      <c r="K302" s="1">
        <f>IFERROR(__xludf.DUMMYFUNCTION("""COMPUTED_VALUE"""),718.0)</f>
        <v>718</v>
      </c>
      <c r="L302" s="1">
        <f>IFERROR(__xludf.DUMMYFUNCTION("""COMPUTED_VALUE"""),146.0)</f>
        <v>146</v>
      </c>
      <c r="M302" s="1">
        <f>IFERROR(__xludf.DUMMYFUNCTION("""COMPUTED_VALUE"""),239.0)</f>
        <v>239</v>
      </c>
      <c r="N302" s="1">
        <f>IFERROR(__xludf.DUMMYFUNCTION("""COMPUTED_VALUE"""),198.0)</f>
        <v>198</v>
      </c>
    </row>
    <row r="303">
      <c r="A303" s="1" t="str">
        <f>vlookup(B303:B606,split_names!A302:B1213,2,0)</f>
        <v>Volvo</v>
      </c>
      <c r="B303" s="1" t="str">
        <f>IFERROR(__xludf.DUMMYFUNCTION("""COMPUTED_VALUE"""),"Volvo XC40")</f>
        <v>Volvo XC40</v>
      </c>
      <c r="C303" s="4">
        <f>IFERROR(__xludf.DUMMYFUNCTION("""COMPUTED_VALUE"""),1303.0)</f>
        <v>1303</v>
      </c>
      <c r="D303" s="4">
        <f>IFERROR(__xludf.DUMMYFUNCTION("""COMPUTED_VALUE"""),1615.0)</f>
        <v>1615</v>
      </c>
      <c r="E303" s="4">
        <f>IFERROR(__xludf.DUMMYFUNCTION("""COMPUTED_VALUE"""),1052.0)</f>
        <v>1052</v>
      </c>
      <c r="F303" s="1">
        <f>IFERROR(__xludf.DUMMYFUNCTION("""COMPUTED_VALUE"""),930.0)</f>
        <v>930</v>
      </c>
      <c r="G303" s="4">
        <f>IFERROR(__xludf.DUMMYFUNCTION("""COMPUTED_VALUE"""),2305.0)</f>
        <v>2305</v>
      </c>
      <c r="H303" s="4">
        <f>IFERROR(__xludf.DUMMYFUNCTION("""COMPUTED_VALUE"""),2315.0)</f>
        <v>2315</v>
      </c>
      <c r="I303" s="4">
        <f>IFERROR(__xludf.DUMMYFUNCTION("""COMPUTED_VALUE"""),2216.0)</f>
        <v>2216</v>
      </c>
      <c r="J303" s="4">
        <f>IFERROR(__xludf.DUMMYFUNCTION("""COMPUTED_VALUE"""),1933.0)</f>
        <v>1933</v>
      </c>
      <c r="K303" s="4">
        <f>IFERROR(__xludf.DUMMYFUNCTION("""COMPUTED_VALUE"""),1911.0)</f>
        <v>1911</v>
      </c>
      <c r="L303" s="4">
        <f>IFERROR(__xludf.DUMMYFUNCTION("""COMPUTED_VALUE"""),2504.0)</f>
        <v>2504</v>
      </c>
      <c r="M303" s="4">
        <f>IFERROR(__xludf.DUMMYFUNCTION("""COMPUTED_VALUE"""),2344.0)</f>
        <v>2344</v>
      </c>
      <c r="N303" s="4">
        <f>IFERROR(__xludf.DUMMYFUNCTION("""COMPUTED_VALUE"""),3350.0)</f>
        <v>3350</v>
      </c>
    </row>
    <row r="304">
      <c r="A304" s="1" t="str">
        <f>vlookup(B304:B607,split_names!A303:B1214,2,0)</f>
        <v>Volvo</v>
      </c>
      <c r="B304" s="1" t="str">
        <f>IFERROR(__xludf.DUMMYFUNCTION("""COMPUTED_VALUE"""),"Volvo XC60")</f>
        <v>Volvo XC60</v>
      </c>
      <c r="C304" s="4">
        <f>IFERROR(__xludf.DUMMYFUNCTION("""COMPUTED_VALUE"""),1737.0)</f>
        <v>1737</v>
      </c>
      <c r="D304" s="4">
        <f>IFERROR(__xludf.DUMMYFUNCTION("""COMPUTED_VALUE"""),2276.0)</f>
        <v>2276</v>
      </c>
      <c r="E304" s="4">
        <f>IFERROR(__xludf.DUMMYFUNCTION("""COMPUTED_VALUE"""),1556.0)</f>
        <v>1556</v>
      </c>
      <c r="F304" s="4">
        <f>IFERROR(__xludf.DUMMYFUNCTION("""COMPUTED_VALUE"""),1053.0)</f>
        <v>1053</v>
      </c>
      <c r="G304" s="4">
        <f>IFERROR(__xludf.DUMMYFUNCTION("""COMPUTED_VALUE"""),2723.0)</f>
        <v>2723</v>
      </c>
      <c r="H304" s="4">
        <f>IFERROR(__xludf.DUMMYFUNCTION("""COMPUTED_VALUE"""),2867.0)</f>
        <v>2867</v>
      </c>
      <c r="I304" s="4">
        <f>IFERROR(__xludf.DUMMYFUNCTION("""COMPUTED_VALUE"""),2637.0)</f>
        <v>2637</v>
      </c>
      <c r="J304" s="4">
        <f>IFERROR(__xludf.DUMMYFUNCTION("""COMPUTED_VALUE"""),2981.0)</f>
        <v>2981</v>
      </c>
      <c r="K304" s="4">
        <f>IFERROR(__xludf.DUMMYFUNCTION("""COMPUTED_VALUE"""),2632.0)</f>
        <v>2632</v>
      </c>
      <c r="L304" s="4">
        <f>IFERROR(__xludf.DUMMYFUNCTION("""COMPUTED_VALUE"""),3571.0)</f>
        <v>3571</v>
      </c>
      <c r="M304" s="4">
        <f>IFERROR(__xludf.DUMMYFUNCTION("""COMPUTED_VALUE"""),3756.0)</f>
        <v>3756</v>
      </c>
      <c r="N304" s="4">
        <f>IFERROR(__xludf.DUMMYFUNCTION("""COMPUTED_VALUE"""),4289.0)</f>
        <v>4289</v>
      </c>
    </row>
    <row r="305">
      <c r="A305" s="1" t="str">
        <f>vlookup(B305:B608,split_names!A304:B1215,2,0)</f>
        <v>Volvo</v>
      </c>
      <c r="B305" s="1" t="str">
        <f>IFERROR(__xludf.DUMMYFUNCTION("""COMPUTED_VALUE"""),"Volvo XC90")</f>
        <v>Volvo XC90</v>
      </c>
      <c r="C305" s="4">
        <f>IFERROR(__xludf.DUMMYFUNCTION("""COMPUTED_VALUE"""),1994.0)</f>
        <v>1994</v>
      </c>
      <c r="D305" s="4">
        <f>IFERROR(__xludf.DUMMYFUNCTION("""COMPUTED_VALUE"""),2429.0)</f>
        <v>2429</v>
      </c>
      <c r="E305" s="4">
        <f>IFERROR(__xludf.DUMMYFUNCTION("""COMPUTED_VALUE"""),1664.0)</f>
        <v>1664</v>
      </c>
      <c r="F305" s="4">
        <f>IFERROR(__xludf.DUMMYFUNCTION("""COMPUTED_VALUE"""),1286.0)</f>
        <v>1286</v>
      </c>
      <c r="G305" s="4">
        <f>IFERROR(__xludf.DUMMYFUNCTION("""COMPUTED_VALUE"""),3072.0)</f>
        <v>3072</v>
      </c>
      <c r="H305" s="4">
        <f>IFERROR(__xludf.DUMMYFUNCTION("""COMPUTED_VALUE"""),3454.0)</f>
        <v>3454</v>
      </c>
      <c r="I305" s="4">
        <f>IFERROR(__xludf.DUMMYFUNCTION("""COMPUTED_VALUE"""),2966.0)</f>
        <v>2966</v>
      </c>
      <c r="J305" s="4">
        <f>IFERROR(__xludf.DUMMYFUNCTION("""COMPUTED_VALUE"""),2998.0)</f>
        <v>2998</v>
      </c>
      <c r="K305" s="4">
        <f>IFERROR(__xludf.DUMMYFUNCTION("""COMPUTED_VALUE"""),2672.0)</f>
        <v>2672</v>
      </c>
      <c r="L305" s="4">
        <f>IFERROR(__xludf.DUMMYFUNCTION("""COMPUTED_VALUE"""),3257.0)</f>
        <v>3257</v>
      </c>
      <c r="M305" s="4">
        <f>IFERROR(__xludf.DUMMYFUNCTION("""COMPUTED_VALUE"""),3516.0)</f>
        <v>3516</v>
      </c>
      <c r="N305" s="4">
        <f>IFERROR(__xludf.DUMMYFUNCTION("""COMPUTED_VALUE"""),4943.0)</f>
        <v>4943</v>
      </c>
    </row>
    <row r="306">
      <c r="A306" s="1" t="str">
        <f>vlookup(B306:B609,split_names!A305:B1216,2,0)</f>
        <v>#N/A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>
      <c r="A307" s="1" t="str">
        <f>vlookup(B307:B610,split_names!A306:B1217,2,0)</f>
        <v>#N/A</v>
      </c>
      <c r="B307" s="1"/>
      <c r="C307" s="1" t="str">
        <f>IFERROR(__xludf.DUMMYFUNCTION("""COMPUTED_VALUE"""),"∑ = 1,157,415")</f>
        <v>∑ = 1,157,415</v>
      </c>
      <c r="D307" s="1" t="str">
        <f>IFERROR(__xludf.DUMMYFUNCTION("""COMPUTED_VALUE"""),"∑ = 1,434,716")</f>
        <v>∑ = 1,434,716</v>
      </c>
      <c r="E307" s="1" t="str">
        <f>IFERROR(__xludf.DUMMYFUNCTION("""COMPUTED_VALUE"""),"∑ = 944,850")</f>
        <v>∑ = 944,850</v>
      </c>
      <c r="F307" s="1" t="str">
        <f>IFERROR(__xludf.DUMMYFUNCTION("""COMPUTED_VALUE"""),"∑ = 563,122")</f>
        <v>∑ = 563,122</v>
      </c>
      <c r="G307" s="1" t="str">
        <f>IFERROR(__xludf.DUMMYFUNCTION("""COMPUTED_VALUE"""),"∑ = 1,181,756")</f>
        <v>∑ = 1,181,756</v>
      </c>
      <c r="H307" s="1" t="str">
        <f>IFERROR(__xludf.DUMMYFUNCTION("""COMPUTED_VALUE"""),"∑ = 1,214,706")</f>
        <v>∑ = 1,214,706</v>
      </c>
      <c r="I307" s="1" t="str">
        <f>IFERROR(__xludf.DUMMYFUNCTION("""COMPUTED_VALUE"""),"∑ = 1,336,267")</f>
        <v>∑ = 1,336,267</v>
      </c>
      <c r="J307" s="1" t="str">
        <f>IFERROR(__xludf.DUMMYFUNCTION("""COMPUTED_VALUE"""),"∑ = 1,298,489")</f>
        <v>∑ = 1,298,489</v>
      </c>
      <c r="K307" s="1" t="str">
        <f>IFERROR(__xludf.DUMMYFUNCTION("""COMPUTED_VALUE"""),"∑ = 1,370,243")</f>
        <v>∑ = 1,370,243</v>
      </c>
      <c r="L307" s="1" t="str">
        <f>IFERROR(__xludf.DUMMYFUNCTION("""COMPUTED_VALUE"""),"∑ = 1,398,735")</f>
        <v>∑ = 1,398,735</v>
      </c>
      <c r="M307" s="1" t="str">
        <f>IFERROR(__xludf.DUMMYFUNCTION("""COMPUTED_VALUE"""),"∑ = 1,199,580")</f>
        <v>∑ = 1,199,580</v>
      </c>
      <c r="N307" s="1" t="str">
        <f>IFERROR(__xludf.DUMMYFUNCTION("""COMPUTED_VALUE"""),"∑ = 1,597,958")</f>
        <v>∑ = 1,597,958</v>
      </c>
    </row>
  </sheetData>
  <autoFilter ref="$B$1:$O$30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N1" s="5" t="s">
        <v>14</v>
      </c>
    </row>
    <row r="2">
      <c r="N2" s="6">
        <f t="shared" ref="N2:N36" si="1">SUM(B2:M2)</f>
        <v>123568</v>
      </c>
    </row>
    <row r="3">
      <c r="N3" s="6">
        <f t="shared" si="1"/>
        <v>18585</v>
      </c>
    </row>
    <row r="4">
      <c r="N4" s="6">
        <f t="shared" si="1"/>
        <v>186625</v>
      </c>
    </row>
    <row r="5">
      <c r="N5" s="6">
        <f t="shared" si="1"/>
        <v>280297</v>
      </c>
    </row>
    <row r="6">
      <c r="N6" s="6">
        <f t="shared" si="1"/>
        <v>162749</v>
      </c>
    </row>
    <row r="7">
      <c r="N7" s="6">
        <f t="shared" si="1"/>
        <v>129495</v>
      </c>
    </row>
    <row r="8">
      <c r="N8" s="6">
        <f t="shared" si="1"/>
        <v>1730033</v>
      </c>
    </row>
    <row r="9">
      <c r="N9" s="6">
        <f t="shared" si="1"/>
        <v>110285</v>
      </c>
    </row>
    <row r="10">
      <c r="N10" s="6">
        <f t="shared" si="1"/>
        <v>267326</v>
      </c>
    </row>
    <row r="11">
      <c r="N11" s="6">
        <f t="shared" si="1"/>
        <v>4304</v>
      </c>
    </row>
    <row r="12">
      <c r="N12" s="6">
        <f t="shared" si="1"/>
        <v>1929195</v>
      </c>
    </row>
    <row r="13">
      <c r="N13" s="6">
        <f t="shared" si="1"/>
        <v>16384</v>
      </c>
    </row>
    <row r="14">
      <c r="N14" s="6">
        <f t="shared" si="1"/>
        <v>515313</v>
      </c>
    </row>
    <row r="15">
      <c r="N15" s="6">
        <f t="shared" si="1"/>
        <v>1199805</v>
      </c>
    </row>
    <row r="16">
      <c r="N16" s="6">
        <f t="shared" si="1"/>
        <v>619925</v>
      </c>
    </row>
    <row r="17">
      <c r="N17" s="6">
        <f t="shared" si="1"/>
        <v>79503</v>
      </c>
    </row>
    <row r="18">
      <c r="N18" s="6">
        <f t="shared" si="1"/>
        <v>21786</v>
      </c>
    </row>
    <row r="19">
      <c r="N19" s="6">
        <f t="shared" si="1"/>
        <v>795306</v>
      </c>
    </row>
    <row r="20">
      <c r="N20" s="6">
        <f t="shared" si="1"/>
        <v>586005</v>
      </c>
    </row>
    <row r="21">
      <c r="N21" s="6">
        <f t="shared" si="1"/>
        <v>80033</v>
      </c>
    </row>
    <row r="22">
      <c r="N22" s="6">
        <f t="shared" si="1"/>
        <v>275042</v>
      </c>
    </row>
    <row r="23">
      <c r="N23" s="6">
        <f t="shared" si="1"/>
        <v>105405</v>
      </c>
    </row>
    <row r="24">
      <c r="N24" s="6">
        <f t="shared" si="1"/>
        <v>13414</v>
      </c>
    </row>
    <row r="25">
      <c r="N25" s="6">
        <f t="shared" si="1"/>
        <v>279076</v>
      </c>
    </row>
    <row r="26">
      <c r="N26" s="6">
        <f t="shared" si="1"/>
        <v>324708</v>
      </c>
    </row>
    <row r="27">
      <c r="N27" s="6">
        <f t="shared" si="1"/>
        <v>28047</v>
      </c>
    </row>
    <row r="28">
      <c r="N28" s="6">
        <f t="shared" si="1"/>
        <v>87386</v>
      </c>
    </row>
    <row r="29">
      <c r="N29" s="6">
        <f t="shared" si="1"/>
        <v>837762</v>
      </c>
    </row>
    <row r="30">
      <c r="N30" s="6">
        <f t="shared" si="1"/>
        <v>57286</v>
      </c>
    </row>
    <row r="31">
      <c r="N31" s="6">
        <f t="shared" si="1"/>
        <v>624637</v>
      </c>
    </row>
    <row r="32">
      <c r="N32" s="6">
        <f t="shared" si="1"/>
        <v>611938</v>
      </c>
    </row>
    <row r="33">
      <c r="N33" s="6">
        <f t="shared" si="1"/>
        <v>292902</v>
      </c>
    </row>
    <row r="34">
      <c r="N34" s="6">
        <f t="shared" si="1"/>
        <v>1837898</v>
      </c>
    </row>
    <row r="35">
      <c r="N35" s="6">
        <f t="shared" si="1"/>
        <v>355684</v>
      </c>
    </row>
    <row r="36">
      <c r="N36" s="6">
        <f t="shared" si="1"/>
        <v>110130</v>
      </c>
    </row>
    <row r="3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86"/>
  </cols>
  <sheetData>
    <row r="1">
      <c r="A1" t="s">
        <v>50</v>
      </c>
      <c r="B1" s="7" t="s">
        <v>15</v>
      </c>
      <c r="C1" s="8" t="s">
        <v>51</v>
      </c>
    </row>
    <row r="2">
      <c r="A2" t="s">
        <v>52</v>
      </c>
      <c r="B2" s="7" t="s">
        <v>15</v>
      </c>
      <c r="C2" s="8" t="s">
        <v>53</v>
      </c>
    </row>
    <row r="3">
      <c r="A3" t="s">
        <v>54</v>
      </c>
      <c r="B3" s="7" t="s">
        <v>15</v>
      </c>
      <c r="C3" s="8" t="s">
        <v>55</v>
      </c>
    </row>
    <row r="4">
      <c r="A4" t="s">
        <v>56</v>
      </c>
      <c r="B4" s="7" t="s">
        <v>15</v>
      </c>
      <c r="C4" s="8" t="s">
        <v>57</v>
      </c>
    </row>
    <row r="5">
      <c r="A5" t="s">
        <v>58</v>
      </c>
      <c r="B5" s="7" t="s">
        <v>15</v>
      </c>
      <c r="C5" s="8" t="s">
        <v>59</v>
      </c>
    </row>
    <row r="6">
      <c r="A6" t="s">
        <v>60</v>
      </c>
      <c r="B6" s="7" t="s">
        <v>15</v>
      </c>
      <c r="C6" s="8" t="s">
        <v>61</v>
      </c>
    </row>
    <row r="7">
      <c r="A7" t="s">
        <v>62</v>
      </c>
      <c r="B7" s="7" t="s">
        <v>16</v>
      </c>
      <c r="C7" s="8" t="s">
        <v>63</v>
      </c>
      <c r="D7" s="8" t="s">
        <v>64</v>
      </c>
    </row>
    <row r="8">
      <c r="A8" t="s">
        <v>65</v>
      </c>
      <c r="B8" s="7" t="s">
        <v>16</v>
      </c>
      <c r="C8" s="8" t="s">
        <v>63</v>
      </c>
      <c r="D8" s="8" t="s">
        <v>66</v>
      </c>
    </row>
    <row r="9">
      <c r="A9" t="s">
        <v>67</v>
      </c>
      <c r="B9" s="7" t="s">
        <v>16</v>
      </c>
      <c r="C9" s="8" t="s">
        <v>63</v>
      </c>
      <c r="D9" s="8" t="s">
        <v>68</v>
      </c>
    </row>
    <row r="10">
      <c r="A10" t="s">
        <v>69</v>
      </c>
      <c r="B10" s="7" t="s">
        <v>17</v>
      </c>
      <c r="C10" s="8" t="s">
        <v>70</v>
      </c>
    </row>
    <row r="11">
      <c r="A11" t="s">
        <v>71</v>
      </c>
      <c r="B11" s="7" t="s">
        <v>17</v>
      </c>
      <c r="C11" s="8" t="s">
        <v>72</v>
      </c>
    </row>
    <row r="12">
      <c r="A12" t="s">
        <v>73</v>
      </c>
      <c r="B12" s="7" t="s">
        <v>17</v>
      </c>
      <c r="C12" s="8" t="s">
        <v>74</v>
      </c>
    </row>
    <row r="13">
      <c r="A13" t="s">
        <v>75</v>
      </c>
      <c r="B13" s="7" t="s">
        <v>17</v>
      </c>
      <c r="C13" s="8" t="s">
        <v>76</v>
      </c>
    </row>
    <row r="14">
      <c r="A14" t="s">
        <v>77</v>
      </c>
      <c r="B14" s="7" t="s">
        <v>17</v>
      </c>
      <c r="C14" s="8" t="s">
        <v>78</v>
      </c>
    </row>
    <row r="15">
      <c r="A15" t="s">
        <v>79</v>
      </c>
      <c r="B15" s="7" t="s">
        <v>17</v>
      </c>
      <c r="C15" s="8" t="s">
        <v>80</v>
      </c>
    </row>
    <row r="16">
      <c r="A16" t="s">
        <v>81</v>
      </c>
      <c r="B16" s="7" t="s">
        <v>17</v>
      </c>
      <c r="C16" s="8" t="s">
        <v>82</v>
      </c>
    </row>
    <row r="17">
      <c r="A17" t="s">
        <v>83</v>
      </c>
      <c r="B17" s="7" t="s">
        <v>17</v>
      </c>
      <c r="C17" s="8" t="s">
        <v>84</v>
      </c>
    </row>
    <row r="18">
      <c r="A18" t="s">
        <v>85</v>
      </c>
      <c r="B18" s="7" t="s">
        <v>17</v>
      </c>
      <c r="C18" s="8" t="s">
        <v>86</v>
      </c>
    </row>
    <row r="19">
      <c r="A19" t="s">
        <v>87</v>
      </c>
      <c r="B19" s="7" t="s">
        <v>17</v>
      </c>
      <c r="C19" s="8" t="s">
        <v>88</v>
      </c>
    </row>
    <row r="20">
      <c r="A20" t="s">
        <v>89</v>
      </c>
      <c r="B20" s="7" t="s">
        <v>17</v>
      </c>
      <c r="C20" s="8" t="s">
        <v>90</v>
      </c>
    </row>
    <row r="21">
      <c r="A21" t="s">
        <v>91</v>
      </c>
      <c r="B21" s="7" t="s">
        <v>17</v>
      </c>
      <c r="C21" s="8" t="s">
        <v>92</v>
      </c>
    </row>
    <row r="22">
      <c r="A22" t="s">
        <v>93</v>
      </c>
      <c r="B22" s="7" t="s">
        <v>17</v>
      </c>
      <c r="C22" s="8" t="s">
        <v>94</v>
      </c>
    </row>
    <row r="23">
      <c r="A23" t="s">
        <v>95</v>
      </c>
      <c r="B23" s="7" t="s">
        <v>18</v>
      </c>
      <c r="C23" s="8" t="s">
        <v>96</v>
      </c>
    </row>
    <row r="24">
      <c r="A24" t="s">
        <v>97</v>
      </c>
      <c r="B24" s="7" t="s">
        <v>18</v>
      </c>
      <c r="C24" s="8" t="s">
        <v>98</v>
      </c>
    </row>
    <row r="25">
      <c r="A25" t="s">
        <v>99</v>
      </c>
      <c r="B25" s="7" t="s">
        <v>18</v>
      </c>
      <c r="C25" s="8" t="s">
        <v>100</v>
      </c>
    </row>
    <row r="26">
      <c r="A26" t="s">
        <v>101</v>
      </c>
      <c r="B26" s="7" t="s">
        <v>18</v>
      </c>
      <c r="C26" s="8" t="s">
        <v>102</v>
      </c>
    </row>
    <row r="27">
      <c r="A27" t="s">
        <v>103</v>
      </c>
      <c r="B27" s="7" t="s">
        <v>18</v>
      </c>
      <c r="C27" s="8" t="s">
        <v>104</v>
      </c>
    </row>
    <row r="28">
      <c r="A28" t="s">
        <v>105</v>
      </c>
      <c r="B28" s="7" t="s">
        <v>18</v>
      </c>
      <c r="C28" s="8" t="s">
        <v>106</v>
      </c>
    </row>
    <row r="29">
      <c r="A29" t="s">
        <v>107</v>
      </c>
      <c r="B29" s="7" t="s">
        <v>18</v>
      </c>
      <c r="C29" s="8" t="s">
        <v>108</v>
      </c>
    </row>
    <row r="30">
      <c r="A30" t="s">
        <v>109</v>
      </c>
      <c r="B30" s="7" t="s">
        <v>18</v>
      </c>
      <c r="C30" s="8" t="s">
        <v>110</v>
      </c>
    </row>
    <row r="31">
      <c r="A31" t="s">
        <v>111</v>
      </c>
      <c r="B31" s="7" t="s">
        <v>18</v>
      </c>
      <c r="C31" s="8" t="s">
        <v>112</v>
      </c>
    </row>
    <row r="32">
      <c r="A32" t="s">
        <v>113</v>
      </c>
      <c r="B32" s="7" t="s">
        <v>18</v>
      </c>
      <c r="C32" s="8" t="s">
        <v>114</v>
      </c>
    </row>
    <row r="33">
      <c r="A33" t="s">
        <v>115</v>
      </c>
      <c r="B33" s="7" t="s">
        <v>18</v>
      </c>
      <c r="C33" s="8" t="s">
        <v>116</v>
      </c>
    </row>
    <row r="34">
      <c r="A34" t="s">
        <v>117</v>
      </c>
      <c r="B34" s="7" t="s">
        <v>18</v>
      </c>
      <c r="C34" s="8" t="s">
        <v>118</v>
      </c>
    </row>
    <row r="35">
      <c r="A35" t="s">
        <v>119</v>
      </c>
      <c r="B35" s="7" t="s">
        <v>18</v>
      </c>
      <c r="C35" s="8" t="s">
        <v>120</v>
      </c>
    </row>
    <row r="36">
      <c r="A36" t="s">
        <v>121</v>
      </c>
      <c r="B36" s="7" t="s">
        <v>18</v>
      </c>
      <c r="C36" s="8" t="s">
        <v>122</v>
      </c>
    </row>
    <row r="37">
      <c r="A37" t="s">
        <v>123</v>
      </c>
      <c r="B37" s="7" t="s">
        <v>18</v>
      </c>
      <c r="C37" s="8" t="s">
        <v>124</v>
      </c>
    </row>
    <row r="38">
      <c r="A38" t="s">
        <v>125</v>
      </c>
      <c r="B38" s="7" t="s">
        <v>18</v>
      </c>
      <c r="C38" s="8" t="s">
        <v>126</v>
      </c>
    </row>
    <row r="39">
      <c r="A39" t="s">
        <v>127</v>
      </c>
      <c r="B39" s="7" t="s">
        <v>18</v>
      </c>
      <c r="C39" s="8" t="s">
        <v>128</v>
      </c>
    </row>
    <row r="40">
      <c r="A40" t="s">
        <v>129</v>
      </c>
      <c r="B40" s="7" t="s">
        <v>19</v>
      </c>
      <c r="C40" s="8" t="s">
        <v>130</v>
      </c>
    </row>
    <row r="41">
      <c r="A41" t="s">
        <v>131</v>
      </c>
      <c r="B41" s="7" t="s">
        <v>19</v>
      </c>
      <c r="C41" s="8" t="s">
        <v>132</v>
      </c>
    </row>
    <row r="42">
      <c r="A42" t="s">
        <v>133</v>
      </c>
      <c r="B42" s="7" t="s">
        <v>19</v>
      </c>
      <c r="C42" s="8" t="s">
        <v>134</v>
      </c>
    </row>
    <row r="43">
      <c r="A43" t="s">
        <v>135</v>
      </c>
      <c r="B43" s="7" t="s">
        <v>19</v>
      </c>
      <c r="C43" s="8" t="s">
        <v>134</v>
      </c>
      <c r="D43" s="8" t="s">
        <v>136</v>
      </c>
    </row>
    <row r="44">
      <c r="A44" t="s">
        <v>137</v>
      </c>
      <c r="B44" s="7" t="s">
        <v>19</v>
      </c>
      <c r="C44" s="8" t="s">
        <v>138</v>
      </c>
    </row>
    <row r="45">
      <c r="A45" t="s">
        <v>139</v>
      </c>
      <c r="B45" s="7" t="s">
        <v>19</v>
      </c>
      <c r="C45" s="8" t="s">
        <v>140</v>
      </c>
    </row>
    <row r="46">
      <c r="A46" t="s">
        <v>141</v>
      </c>
      <c r="B46" s="7" t="s">
        <v>19</v>
      </c>
      <c r="C46" s="8" t="s">
        <v>142</v>
      </c>
    </row>
    <row r="47">
      <c r="A47" t="s">
        <v>143</v>
      </c>
      <c r="B47" s="7" t="s">
        <v>20</v>
      </c>
      <c r="C47" s="8" t="s">
        <v>144</v>
      </c>
    </row>
    <row r="48">
      <c r="A48" t="s">
        <v>145</v>
      </c>
      <c r="B48" s="7" t="s">
        <v>20</v>
      </c>
      <c r="C48" s="8" t="s">
        <v>146</v>
      </c>
    </row>
    <row r="49">
      <c r="A49" t="s">
        <v>147</v>
      </c>
      <c r="B49" s="7" t="s">
        <v>20</v>
      </c>
      <c r="C49" s="8" t="s">
        <v>148</v>
      </c>
    </row>
    <row r="50">
      <c r="A50" t="s">
        <v>149</v>
      </c>
      <c r="B50" s="7" t="s">
        <v>20</v>
      </c>
      <c r="C50" s="8" t="s">
        <v>150</v>
      </c>
    </row>
    <row r="51">
      <c r="A51" t="s">
        <v>151</v>
      </c>
      <c r="B51" s="7" t="s">
        <v>20</v>
      </c>
      <c r="C51" s="8" t="s">
        <v>152</v>
      </c>
    </row>
    <row r="52">
      <c r="A52" t="s">
        <v>153</v>
      </c>
      <c r="B52" s="7" t="s">
        <v>20</v>
      </c>
      <c r="C52" s="8" t="s">
        <v>154</v>
      </c>
    </row>
    <row r="53">
      <c r="A53" t="s">
        <v>155</v>
      </c>
      <c r="B53" s="7" t="s">
        <v>20</v>
      </c>
      <c r="C53" s="8" t="s">
        <v>156</v>
      </c>
    </row>
    <row r="54">
      <c r="A54" t="s">
        <v>157</v>
      </c>
      <c r="B54" s="7" t="s">
        <v>20</v>
      </c>
      <c r="C54" s="8" t="s">
        <v>158</v>
      </c>
    </row>
    <row r="55">
      <c r="A55" t="s">
        <v>159</v>
      </c>
      <c r="B55" s="7" t="s">
        <v>20</v>
      </c>
      <c r="C55" s="8" t="s">
        <v>160</v>
      </c>
    </row>
    <row r="56">
      <c r="A56" t="s">
        <v>161</v>
      </c>
      <c r="B56" s="7" t="s">
        <v>20</v>
      </c>
      <c r="C56" s="8" t="s">
        <v>162</v>
      </c>
    </row>
    <row r="57">
      <c r="A57" t="s">
        <v>163</v>
      </c>
      <c r="B57" s="7" t="s">
        <v>21</v>
      </c>
      <c r="C57" s="8" t="s">
        <v>164</v>
      </c>
    </row>
    <row r="58">
      <c r="A58" t="s">
        <v>165</v>
      </c>
      <c r="B58" s="7" t="s">
        <v>21</v>
      </c>
      <c r="C58" s="8" t="s">
        <v>166</v>
      </c>
    </row>
    <row r="59">
      <c r="A59" t="s">
        <v>167</v>
      </c>
      <c r="B59" s="7" t="s">
        <v>21</v>
      </c>
      <c r="C59" s="8" t="s">
        <v>168</v>
      </c>
    </row>
    <row r="60">
      <c r="A60" t="s">
        <v>169</v>
      </c>
      <c r="B60" s="7" t="s">
        <v>21</v>
      </c>
      <c r="C60" s="8" t="s">
        <v>170</v>
      </c>
    </row>
    <row r="61">
      <c r="A61" t="s">
        <v>171</v>
      </c>
      <c r="B61" s="7" t="s">
        <v>21</v>
      </c>
      <c r="C61" s="8" t="s">
        <v>172</v>
      </c>
    </row>
    <row r="62">
      <c r="A62" t="s">
        <v>173</v>
      </c>
      <c r="B62" s="7" t="s">
        <v>21</v>
      </c>
      <c r="C62" s="8" t="s">
        <v>174</v>
      </c>
    </row>
    <row r="63">
      <c r="A63" t="s">
        <v>175</v>
      </c>
      <c r="B63" s="7" t="s">
        <v>21</v>
      </c>
      <c r="C63" s="8" t="s">
        <v>176</v>
      </c>
    </row>
    <row r="64">
      <c r="A64" t="s">
        <v>177</v>
      </c>
      <c r="B64" s="7" t="s">
        <v>21</v>
      </c>
      <c r="C64" s="8" t="s">
        <v>178</v>
      </c>
    </row>
    <row r="65">
      <c r="A65" t="s">
        <v>179</v>
      </c>
      <c r="B65" s="7" t="s">
        <v>21</v>
      </c>
      <c r="C65" s="8" t="s">
        <v>180</v>
      </c>
    </row>
    <row r="66">
      <c r="A66" t="s">
        <v>181</v>
      </c>
      <c r="B66" s="7" t="s">
        <v>21</v>
      </c>
      <c r="C66" s="8" t="s">
        <v>182</v>
      </c>
    </row>
    <row r="67">
      <c r="A67" t="s">
        <v>183</v>
      </c>
      <c r="B67" s="7" t="s">
        <v>21</v>
      </c>
      <c r="C67" s="8" t="s">
        <v>184</v>
      </c>
    </row>
    <row r="68">
      <c r="A68" t="s">
        <v>185</v>
      </c>
      <c r="B68" s="7" t="s">
        <v>21</v>
      </c>
      <c r="C68" s="8" t="s">
        <v>186</v>
      </c>
    </row>
    <row r="69">
      <c r="A69" t="s">
        <v>187</v>
      </c>
      <c r="B69" s="7" t="s">
        <v>21</v>
      </c>
      <c r="C69" s="8" t="s">
        <v>188</v>
      </c>
    </row>
    <row r="70">
      <c r="A70" t="s">
        <v>189</v>
      </c>
      <c r="B70" s="7" t="s">
        <v>21</v>
      </c>
      <c r="C70" s="8" t="s">
        <v>190</v>
      </c>
    </row>
    <row r="71">
      <c r="A71" t="s">
        <v>191</v>
      </c>
      <c r="B71" s="7" t="s">
        <v>21</v>
      </c>
      <c r="C71" s="8" t="s">
        <v>192</v>
      </c>
    </row>
    <row r="72">
      <c r="A72" t="s">
        <v>193</v>
      </c>
      <c r="B72" s="7" t="s">
        <v>21</v>
      </c>
      <c r="C72" s="8" t="s">
        <v>194</v>
      </c>
    </row>
    <row r="73">
      <c r="A73" t="s">
        <v>195</v>
      </c>
      <c r="B73" s="7" t="s">
        <v>21</v>
      </c>
      <c r="C73" s="8" t="s">
        <v>196</v>
      </c>
    </row>
    <row r="74">
      <c r="A74" t="s">
        <v>197</v>
      </c>
      <c r="B74" s="7" t="s">
        <v>21</v>
      </c>
      <c r="C74" s="8" t="s">
        <v>198</v>
      </c>
    </row>
    <row r="75">
      <c r="A75" t="s">
        <v>199</v>
      </c>
      <c r="B75" s="7" t="s">
        <v>21</v>
      </c>
      <c r="C75" s="8" t="s">
        <v>200</v>
      </c>
    </row>
    <row r="76">
      <c r="A76" t="s">
        <v>201</v>
      </c>
      <c r="B76" s="7" t="s">
        <v>22</v>
      </c>
      <c r="C76" s="8">
        <v>200.0</v>
      </c>
    </row>
    <row r="77">
      <c r="A77" t="s">
        <v>202</v>
      </c>
      <c r="B77" s="7" t="s">
        <v>22</v>
      </c>
      <c r="C77" s="8">
        <v>300.0</v>
      </c>
    </row>
    <row r="78">
      <c r="A78" t="s">
        <v>203</v>
      </c>
      <c r="B78" s="7" t="s">
        <v>22</v>
      </c>
      <c r="C78" s="8" t="s">
        <v>204</v>
      </c>
    </row>
    <row r="79">
      <c r="A79" t="s">
        <v>205</v>
      </c>
      <c r="B79" s="7" t="s">
        <v>22</v>
      </c>
      <c r="C79" s="8" t="s">
        <v>206</v>
      </c>
      <c r="D79" s="8" t="s">
        <v>207</v>
      </c>
      <c r="E79" s="8"/>
      <c r="F79" s="8" t="s">
        <v>208</v>
      </c>
    </row>
    <row r="80">
      <c r="A80" t="s">
        <v>209</v>
      </c>
      <c r="B80" s="7" t="s">
        <v>23</v>
      </c>
      <c r="C80" s="8" t="s">
        <v>210</v>
      </c>
    </row>
    <row r="81">
      <c r="A81" t="s">
        <v>211</v>
      </c>
      <c r="B81" s="7" t="s">
        <v>23</v>
      </c>
      <c r="C81" s="8" t="s">
        <v>212</v>
      </c>
    </row>
    <row r="82">
      <c r="A82" t="s">
        <v>213</v>
      </c>
      <c r="B82" s="7" t="s">
        <v>23</v>
      </c>
      <c r="C82" s="8" t="s">
        <v>214</v>
      </c>
    </row>
    <row r="83">
      <c r="A83" t="s">
        <v>215</v>
      </c>
      <c r="B83" s="7" t="s">
        <v>23</v>
      </c>
      <c r="C83" s="8" t="s">
        <v>216</v>
      </c>
    </row>
    <row r="84">
      <c r="A84" t="s">
        <v>217</v>
      </c>
      <c r="B84" s="7" t="s">
        <v>23</v>
      </c>
      <c r="C84" s="8" t="s">
        <v>218</v>
      </c>
      <c r="D84" s="8" t="s">
        <v>219</v>
      </c>
    </row>
    <row r="85">
      <c r="A85" t="s">
        <v>220</v>
      </c>
      <c r="B85" s="7" t="s">
        <v>23</v>
      </c>
      <c r="C85" s="8" t="s">
        <v>221</v>
      </c>
    </row>
    <row r="86">
      <c r="A86" t="s">
        <v>222</v>
      </c>
      <c r="B86" s="7" t="s">
        <v>23</v>
      </c>
      <c r="C86" s="8" t="s">
        <v>223</v>
      </c>
    </row>
    <row r="87">
      <c r="A87" t="s">
        <v>224</v>
      </c>
      <c r="B87" s="7" t="s">
        <v>24</v>
      </c>
      <c r="C87" s="8">
        <v>124.0</v>
      </c>
      <c r="D87" s="8" t="s">
        <v>225</v>
      </c>
    </row>
    <row r="88">
      <c r="A88" t="s">
        <v>226</v>
      </c>
      <c r="B88" s="7" t="s">
        <v>24</v>
      </c>
      <c r="C88" s="8">
        <v>500.0</v>
      </c>
    </row>
    <row r="89">
      <c r="A89" t="s">
        <v>227</v>
      </c>
      <c r="B89" s="7" t="s">
        <v>24</v>
      </c>
      <c r="C89" s="8" t="s">
        <v>228</v>
      </c>
    </row>
    <row r="90">
      <c r="A90" t="s">
        <v>229</v>
      </c>
      <c r="B90" s="7" t="s">
        <v>24</v>
      </c>
      <c r="C90" s="8" t="s">
        <v>230</v>
      </c>
    </row>
    <row r="91">
      <c r="A91" t="s">
        <v>231</v>
      </c>
      <c r="B91" s="7" t="s">
        <v>25</v>
      </c>
      <c r="C91" s="8" t="s">
        <v>232</v>
      </c>
      <c r="D91" s="8" t="s">
        <v>233</v>
      </c>
    </row>
    <row r="92">
      <c r="A92" t="s">
        <v>234</v>
      </c>
      <c r="B92" s="7" t="s">
        <v>25</v>
      </c>
      <c r="C92" s="8" t="s">
        <v>235</v>
      </c>
    </row>
    <row r="93">
      <c r="A93" t="s">
        <v>236</v>
      </c>
      <c r="B93" s="7" t="s">
        <v>25</v>
      </c>
      <c r="C93" s="8" t="s">
        <v>237</v>
      </c>
    </row>
    <row r="94">
      <c r="A94" t="s">
        <v>238</v>
      </c>
      <c r="B94" s="7" t="s">
        <v>25</v>
      </c>
      <c r="C94" s="8" t="s">
        <v>239</v>
      </c>
    </row>
    <row r="95">
      <c r="A95" t="s">
        <v>240</v>
      </c>
      <c r="B95" s="7" t="s">
        <v>25</v>
      </c>
      <c r="C95" s="8" t="s">
        <v>241</v>
      </c>
    </row>
    <row r="96">
      <c r="A96" t="s">
        <v>242</v>
      </c>
      <c r="B96" s="7" t="s">
        <v>25</v>
      </c>
      <c r="C96" s="8" t="s">
        <v>243</v>
      </c>
    </row>
    <row r="97">
      <c r="A97" t="s">
        <v>244</v>
      </c>
      <c r="B97" s="7" t="s">
        <v>25</v>
      </c>
      <c r="C97" s="8" t="s">
        <v>245</v>
      </c>
    </row>
    <row r="98">
      <c r="A98" t="s">
        <v>246</v>
      </c>
      <c r="B98" s="7" t="s">
        <v>25</v>
      </c>
      <c r="C98" s="8" t="s">
        <v>247</v>
      </c>
    </row>
    <row r="99">
      <c r="A99" t="s">
        <v>248</v>
      </c>
      <c r="B99" s="7" t="s">
        <v>25</v>
      </c>
      <c r="C99" s="8" t="s">
        <v>249</v>
      </c>
    </row>
    <row r="100">
      <c r="A100" t="s">
        <v>250</v>
      </c>
      <c r="B100" s="7" t="s">
        <v>25</v>
      </c>
      <c r="C100" s="8" t="s">
        <v>251</v>
      </c>
    </row>
    <row r="101">
      <c r="A101" t="s">
        <v>252</v>
      </c>
      <c r="B101" s="7" t="s">
        <v>25</v>
      </c>
      <c r="C101" s="8" t="s">
        <v>253</v>
      </c>
    </row>
    <row r="102">
      <c r="A102" t="s">
        <v>254</v>
      </c>
      <c r="B102" s="7" t="s">
        <v>25</v>
      </c>
      <c r="C102" s="8" t="s">
        <v>255</v>
      </c>
    </row>
    <row r="103">
      <c r="A103" t="s">
        <v>256</v>
      </c>
      <c r="B103" s="7" t="s">
        <v>25</v>
      </c>
      <c r="C103" s="8" t="s">
        <v>257</v>
      </c>
    </row>
    <row r="104">
      <c r="A104" t="s">
        <v>258</v>
      </c>
      <c r="B104" s="7" t="s">
        <v>25</v>
      </c>
      <c r="C104" s="8" t="s">
        <v>257</v>
      </c>
      <c r="D104" s="8" t="s">
        <v>259</v>
      </c>
      <c r="E104" s="8"/>
      <c r="F104" s="8" t="s">
        <v>260</v>
      </c>
    </row>
    <row r="105">
      <c r="A105" t="s">
        <v>261</v>
      </c>
      <c r="B105" s="7" t="s">
        <v>25</v>
      </c>
      <c r="C105" s="8" t="s">
        <v>262</v>
      </c>
    </row>
    <row r="106">
      <c r="A106" t="s">
        <v>263</v>
      </c>
      <c r="B106" s="7" t="s">
        <v>25</v>
      </c>
      <c r="C106" s="8" t="s">
        <v>264</v>
      </c>
    </row>
    <row r="107">
      <c r="A107" t="s">
        <v>265</v>
      </c>
      <c r="B107" s="7" t="s">
        <v>25</v>
      </c>
      <c r="C107" s="8" t="s">
        <v>264</v>
      </c>
      <c r="D107" s="8" t="s">
        <v>266</v>
      </c>
    </row>
    <row r="108">
      <c r="A108" t="s">
        <v>267</v>
      </c>
      <c r="B108" s="7" t="s">
        <v>26</v>
      </c>
      <c r="C108" s="8" t="s">
        <v>268</v>
      </c>
    </row>
    <row r="109">
      <c r="A109" t="s">
        <v>269</v>
      </c>
      <c r="B109" s="7" t="s">
        <v>26</v>
      </c>
      <c r="C109" s="8" t="s">
        <v>270</v>
      </c>
    </row>
    <row r="110">
      <c r="A110" t="s">
        <v>271</v>
      </c>
      <c r="B110" s="7" t="s">
        <v>26</v>
      </c>
      <c r="C110" s="8" t="s">
        <v>272</v>
      </c>
    </row>
    <row r="111">
      <c r="A111" t="s">
        <v>273</v>
      </c>
      <c r="B111" s="7" t="s">
        <v>26</v>
      </c>
      <c r="C111" s="8" t="s">
        <v>274</v>
      </c>
    </row>
    <row r="112">
      <c r="A112" t="s">
        <v>275</v>
      </c>
      <c r="B112" s="7" t="s">
        <v>27</v>
      </c>
      <c r="C112" s="8" t="s">
        <v>276</v>
      </c>
    </row>
    <row r="113">
      <c r="A113" t="s">
        <v>277</v>
      </c>
      <c r="B113" s="7" t="s">
        <v>27</v>
      </c>
      <c r="C113" s="8" t="s">
        <v>278</v>
      </c>
    </row>
    <row r="114">
      <c r="A114" t="s">
        <v>279</v>
      </c>
      <c r="B114" s="7" t="s">
        <v>27</v>
      </c>
      <c r="C114" s="8" t="s">
        <v>280</v>
      </c>
    </row>
    <row r="115">
      <c r="A115" t="s">
        <v>281</v>
      </c>
      <c r="B115" s="7" t="s">
        <v>27</v>
      </c>
      <c r="C115" s="8" t="s">
        <v>282</v>
      </c>
    </row>
    <row r="116">
      <c r="A116" t="s">
        <v>283</v>
      </c>
      <c r="B116" s="7" t="s">
        <v>27</v>
      </c>
      <c r="C116" s="8" t="s">
        <v>284</v>
      </c>
    </row>
    <row r="117">
      <c r="A117" t="s">
        <v>285</v>
      </c>
      <c r="B117" s="7" t="s">
        <v>27</v>
      </c>
      <c r="C117" s="8" t="s">
        <v>286</v>
      </c>
    </row>
    <row r="118">
      <c r="A118" t="s">
        <v>287</v>
      </c>
      <c r="B118" s="7" t="s">
        <v>28</v>
      </c>
      <c r="C118" s="8" t="s">
        <v>288</v>
      </c>
    </row>
    <row r="119">
      <c r="A119" t="s">
        <v>289</v>
      </c>
      <c r="B119" s="7" t="s">
        <v>28</v>
      </c>
      <c r="C119" s="8" t="s">
        <v>290</v>
      </c>
    </row>
    <row r="120">
      <c r="A120" t="s">
        <v>291</v>
      </c>
      <c r="B120" s="7" t="s">
        <v>28</v>
      </c>
      <c r="C120" s="8" t="s">
        <v>292</v>
      </c>
      <c r="D120" s="8" t="s">
        <v>293</v>
      </c>
    </row>
    <row r="121">
      <c r="A121" t="s">
        <v>294</v>
      </c>
      <c r="B121" s="7" t="s">
        <v>28</v>
      </c>
      <c r="C121" s="8" t="s">
        <v>295</v>
      </c>
    </row>
    <row r="122">
      <c r="A122" t="s">
        <v>296</v>
      </c>
      <c r="B122" s="7" t="s">
        <v>28</v>
      </c>
      <c r="C122" s="8" t="s">
        <v>297</v>
      </c>
    </row>
    <row r="123">
      <c r="A123" t="s">
        <v>298</v>
      </c>
      <c r="B123" s="7" t="s">
        <v>28</v>
      </c>
      <c r="C123" s="8" t="s">
        <v>299</v>
      </c>
    </row>
    <row r="124">
      <c r="A124" t="s">
        <v>300</v>
      </c>
      <c r="B124" s="7" t="s">
        <v>28</v>
      </c>
      <c r="C124" s="8" t="s">
        <v>301</v>
      </c>
    </row>
    <row r="125">
      <c r="A125" t="s">
        <v>302</v>
      </c>
      <c r="B125" s="7" t="s">
        <v>28</v>
      </c>
      <c r="C125" s="8" t="s">
        <v>303</v>
      </c>
    </row>
    <row r="126">
      <c r="A126" t="s">
        <v>304</v>
      </c>
      <c r="B126" s="7" t="s">
        <v>28</v>
      </c>
      <c r="C126" s="8" t="s">
        <v>305</v>
      </c>
    </row>
    <row r="127">
      <c r="A127" t="s">
        <v>306</v>
      </c>
      <c r="B127" s="7" t="s">
        <v>28</v>
      </c>
      <c r="C127" s="8" t="s">
        <v>307</v>
      </c>
    </row>
    <row r="128">
      <c r="A128" t="s">
        <v>308</v>
      </c>
      <c r="B128" s="7" t="s">
        <v>28</v>
      </c>
      <c r="C128" s="8" t="s">
        <v>309</v>
      </c>
    </row>
    <row r="129">
      <c r="A129" t="s">
        <v>310</v>
      </c>
      <c r="B129" s="7" t="s">
        <v>28</v>
      </c>
      <c r="C129" s="8" t="s">
        <v>311</v>
      </c>
    </row>
    <row r="130">
      <c r="A130" t="s">
        <v>312</v>
      </c>
      <c r="B130" s="7" t="s">
        <v>29</v>
      </c>
      <c r="C130" s="8" t="s">
        <v>313</v>
      </c>
    </row>
    <row r="131">
      <c r="A131" t="s">
        <v>314</v>
      </c>
      <c r="B131" s="7" t="s">
        <v>29</v>
      </c>
      <c r="C131" s="8" t="s">
        <v>315</v>
      </c>
    </row>
    <row r="132">
      <c r="A132" t="s">
        <v>316</v>
      </c>
      <c r="B132" s="7" t="s">
        <v>29</v>
      </c>
      <c r="C132" s="8" t="s">
        <v>317</v>
      </c>
    </row>
    <row r="133">
      <c r="A133" t="s">
        <v>318</v>
      </c>
      <c r="B133" s="7" t="s">
        <v>29</v>
      </c>
      <c r="C133" s="8" t="s">
        <v>319</v>
      </c>
    </row>
    <row r="134">
      <c r="A134" t="s">
        <v>320</v>
      </c>
      <c r="B134" s="7" t="s">
        <v>29</v>
      </c>
      <c r="C134" s="8" t="s">
        <v>321</v>
      </c>
    </row>
    <row r="135">
      <c r="A135" t="s">
        <v>322</v>
      </c>
      <c r="B135" s="7" t="s">
        <v>29</v>
      </c>
      <c r="C135" s="8" t="s">
        <v>323</v>
      </c>
    </row>
    <row r="136">
      <c r="A136" t="s">
        <v>324</v>
      </c>
      <c r="B136" s="7" t="s">
        <v>29</v>
      </c>
      <c r="C136" s="8" t="s">
        <v>325</v>
      </c>
      <c r="D136" s="8" t="s">
        <v>326</v>
      </c>
    </row>
    <row r="137">
      <c r="A137" t="s">
        <v>327</v>
      </c>
      <c r="B137" s="7" t="s">
        <v>29</v>
      </c>
      <c r="C137" s="8" t="s">
        <v>328</v>
      </c>
    </row>
    <row r="138">
      <c r="A138" t="s">
        <v>329</v>
      </c>
      <c r="B138" s="7" t="s">
        <v>29</v>
      </c>
      <c r="C138" s="8" t="s">
        <v>330</v>
      </c>
    </row>
    <row r="139">
      <c r="A139" t="s">
        <v>331</v>
      </c>
      <c r="B139" s="7" t="s">
        <v>29</v>
      </c>
      <c r="C139" s="8" t="s">
        <v>332</v>
      </c>
    </row>
    <row r="140">
      <c r="A140" t="s">
        <v>333</v>
      </c>
      <c r="B140" s="7" t="s">
        <v>29</v>
      </c>
      <c r="C140" s="8" t="s">
        <v>334</v>
      </c>
    </row>
    <row r="141">
      <c r="A141" t="s">
        <v>335</v>
      </c>
      <c r="B141" s="7" t="s">
        <v>30</v>
      </c>
      <c r="C141" s="8" t="s">
        <v>336</v>
      </c>
    </row>
    <row r="142">
      <c r="A142" t="s">
        <v>337</v>
      </c>
      <c r="B142" s="7" t="s">
        <v>30</v>
      </c>
      <c r="C142" s="8" t="s">
        <v>338</v>
      </c>
    </row>
    <row r="143">
      <c r="A143" t="s">
        <v>339</v>
      </c>
      <c r="B143" s="7" t="s">
        <v>30</v>
      </c>
      <c r="C143" s="8" t="s">
        <v>340</v>
      </c>
    </row>
    <row r="144">
      <c r="A144" t="s">
        <v>341</v>
      </c>
      <c r="B144" s="7" t="s">
        <v>30</v>
      </c>
      <c r="C144" s="8" t="s">
        <v>342</v>
      </c>
    </row>
    <row r="145">
      <c r="A145" t="s">
        <v>343</v>
      </c>
      <c r="B145" s="7" t="s">
        <v>30</v>
      </c>
      <c r="C145" s="8" t="s">
        <v>344</v>
      </c>
    </row>
    <row r="146">
      <c r="A146" t="s">
        <v>345</v>
      </c>
      <c r="B146" s="7" t="s">
        <v>30</v>
      </c>
      <c r="C146" s="8" t="s">
        <v>346</v>
      </c>
    </row>
    <row r="147">
      <c r="A147" t="s">
        <v>347</v>
      </c>
      <c r="B147" s="7" t="s">
        <v>30</v>
      </c>
      <c r="C147" s="8" t="s">
        <v>348</v>
      </c>
    </row>
    <row r="148">
      <c r="A148" t="s">
        <v>349</v>
      </c>
      <c r="B148" s="7" t="s">
        <v>31</v>
      </c>
      <c r="C148" s="8" t="s">
        <v>350</v>
      </c>
    </row>
    <row r="149">
      <c r="A149" t="s">
        <v>351</v>
      </c>
      <c r="B149" s="7" t="s">
        <v>31</v>
      </c>
      <c r="C149" s="8" t="s">
        <v>352</v>
      </c>
    </row>
    <row r="150">
      <c r="A150" t="s">
        <v>353</v>
      </c>
      <c r="B150" s="7" t="s">
        <v>31</v>
      </c>
      <c r="C150" s="8" t="s">
        <v>354</v>
      </c>
    </row>
    <row r="151">
      <c r="A151" t="s">
        <v>355</v>
      </c>
      <c r="B151" s="7" t="s">
        <v>31</v>
      </c>
      <c r="C151" s="8" t="s">
        <v>356</v>
      </c>
    </row>
    <row r="152">
      <c r="A152" t="s">
        <v>357</v>
      </c>
      <c r="B152" s="7" t="s">
        <v>31</v>
      </c>
      <c r="C152" s="8" t="s">
        <v>358</v>
      </c>
    </row>
    <row r="153">
      <c r="A153" t="s">
        <v>359</v>
      </c>
      <c r="B153" s="7" t="s">
        <v>31</v>
      </c>
      <c r="C153" s="8" t="s">
        <v>360</v>
      </c>
    </row>
    <row r="154">
      <c r="A154" t="s">
        <v>361</v>
      </c>
      <c r="B154" s="7" t="s">
        <v>31</v>
      </c>
      <c r="C154" s="8" t="s">
        <v>362</v>
      </c>
    </row>
    <row r="155">
      <c r="A155" t="s">
        <v>363</v>
      </c>
      <c r="B155" s="7" t="s">
        <v>32</v>
      </c>
      <c r="C155" s="8" t="s">
        <v>364</v>
      </c>
    </row>
    <row r="156">
      <c r="A156" t="s">
        <v>365</v>
      </c>
      <c r="B156" s="7" t="s">
        <v>32</v>
      </c>
      <c r="C156" s="8" t="s">
        <v>366</v>
      </c>
    </row>
    <row r="157">
      <c r="A157" t="s">
        <v>367</v>
      </c>
      <c r="B157" s="7" t="s">
        <v>32</v>
      </c>
      <c r="C157" s="8" t="s">
        <v>368</v>
      </c>
    </row>
    <row r="158">
      <c r="A158" t="s">
        <v>369</v>
      </c>
      <c r="B158" s="7" t="s">
        <v>32</v>
      </c>
      <c r="C158" s="8" t="s">
        <v>218</v>
      </c>
      <c r="D158" s="8" t="s">
        <v>364</v>
      </c>
    </row>
    <row r="159">
      <c r="A159" t="s">
        <v>370</v>
      </c>
      <c r="B159" s="7" t="s">
        <v>32</v>
      </c>
      <c r="C159" s="8" t="s">
        <v>371</v>
      </c>
    </row>
    <row r="160">
      <c r="A160" t="s">
        <v>372</v>
      </c>
      <c r="B160" s="7" t="s">
        <v>32</v>
      </c>
      <c r="C160" s="8" t="s">
        <v>373</v>
      </c>
    </row>
    <row r="161">
      <c r="A161" t="s">
        <v>374</v>
      </c>
      <c r="B161" s="7" t="s">
        <v>33</v>
      </c>
      <c r="C161" s="8" t="s">
        <v>375</v>
      </c>
    </row>
    <row r="162">
      <c r="A162" t="s">
        <v>376</v>
      </c>
      <c r="B162" s="7" t="s">
        <v>33</v>
      </c>
      <c r="C162" s="8" t="s">
        <v>377</v>
      </c>
    </row>
    <row r="163">
      <c r="A163" t="s">
        <v>378</v>
      </c>
      <c r="B163" s="7" t="s">
        <v>33</v>
      </c>
      <c r="C163" s="8" t="s">
        <v>379</v>
      </c>
    </row>
    <row r="164">
      <c r="A164" t="s">
        <v>380</v>
      </c>
      <c r="B164" s="7" t="s">
        <v>33</v>
      </c>
      <c r="C164" s="8" t="s">
        <v>381</v>
      </c>
    </row>
    <row r="165">
      <c r="A165" t="s">
        <v>382</v>
      </c>
      <c r="B165" s="7" t="s">
        <v>33</v>
      </c>
      <c r="C165" s="8" t="s">
        <v>383</v>
      </c>
    </row>
    <row r="166">
      <c r="A166" t="s">
        <v>384</v>
      </c>
      <c r="B166" s="7" t="s">
        <v>33</v>
      </c>
      <c r="C166" s="8" t="s">
        <v>385</v>
      </c>
    </row>
    <row r="167">
      <c r="A167" t="s">
        <v>386</v>
      </c>
      <c r="B167" s="7" t="s">
        <v>33</v>
      </c>
      <c r="C167" s="8" t="s">
        <v>387</v>
      </c>
    </row>
    <row r="168">
      <c r="A168" t="s">
        <v>388</v>
      </c>
      <c r="B168" s="7" t="s">
        <v>33</v>
      </c>
      <c r="C168" s="8" t="s">
        <v>389</v>
      </c>
    </row>
    <row r="169">
      <c r="A169" t="s">
        <v>390</v>
      </c>
      <c r="B169" s="7" t="s">
        <v>33</v>
      </c>
      <c r="C169" s="8" t="s">
        <v>391</v>
      </c>
    </row>
    <row r="170">
      <c r="A170" t="s">
        <v>392</v>
      </c>
      <c r="B170" s="7" t="s">
        <v>33</v>
      </c>
      <c r="C170" s="8" t="s">
        <v>393</v>
      </c>
    </row>
    <row r="171">
      <c r="A171" t="s">
        <v>394</v>
      </c>
      <c r="B171" s="7" t="s">
        <v>33</v>
      </c>
      <c r="C171" s="8" t="s">
        <v>395</v>
      </c>
    </row>
    <row r="172">
      <c r="A172" t="s">
        <v>396</v>
      </c>
      <c r="B172" s="7" t="s">
        <v>33</v>
      </c>
      <c r="C172" s="8" t="s">
        <v>397</v>
      </c>
    </row>
    <row r="173">
      <c r="A173" t="s">
        <v>398</v>
      </c>
      <c r="B173" s="7" t="s">
        <v>33</v>
      </c>
      <c r="C173" s="8" t="s">
        <v>399</v>
      </c>
    </row>
    <row r="174">
      <c r="A174" t="s">
        <v>400</v>
      </c>
      <c r="B174" s="7" t="s">
        <v>33</v>
      </c>
      <c r="C174" s="8" t="s">
        <v>401</v>
      </c>
    </row>
    <row r="175">
      <c r="A175" t="s">
        <v>402</v>
      </c>
      <c r="B175" s="7" t="s">
        <v>34</v>
      </c>
      <c r="C175" s="8" t="s">
        <v>403</v>
      </c>
      <c r="D175" s="8" t="s">
        <v>404</v>
      </c>
    </row>
    <row r="176">
      <c r="A176" t="s">
        <v>405</v>
      </c>
      <c r="B176" s="7" t="s">
        <v>34</v>
      </c>
      <c r="C176" s="8" t="s">
        <v>403</v>
      </c>
      <c r="D176" s="8" t="s">
        <v>406</v>
      </c>
      <c r="E176" s="8"/>
      <c r="F176" s="8" t="s">
        <v>407</v>
      </c>
      <c r="G176" s="8" t="s">
        <v>408</v>
      </c>
    </row>
    <row r="177">
      <c r="A177" t="s">
        <v>409</v>
      </c>
      <c r="B177" s="7" t="s">
        <v>34</v>
      </c>
      <c r="C177" s="8" t="s">
        <v>403</v>
      </c>
      <c r="D177" s="8" t="s">
        <v>406</v>
      </c>
      <c r="E177" s="8"/>
      <c r="F177" s="8" t="s">
        <v>233</v>
      </c>
    </row>
    <row r="178">
      <c r="A178" t="s">
        <v>410</v>
      </c>
      <c r="B178" s="7" t="s">
        <v>34</v>
      </c>
      <c r="C178" s="8" t="s">
        <v>403</v>
      </c>
      <c r="D178" s="8" t="s">
        <v>411</v>
      </c>
      <c r="E178" s="8"/>
      <c r="F178" s="8" t="s">
        <v>403</v>
      </c>
    </row>
    <row r="179">
      <c r="A179" t="s">
        <v>412</v>
      </c>
      <c r="B179" s="7" t="s">
        <v>34</v>
      </c>
      <c r="C179" s="8" t="s">
        <v>403</v>
      </c>
      <c r="D179" s="8" t="s">
        <v>411</v>
      </c>
      <c r="E179" s="8"/>
      <c r="F179" s="8" t="s">
        <v>403</v>
      </c>
      <c r="G179" s="8" t="s">
        <v>413</v>
      </c>
    </row>
    <row r="180">
      <c r="A180" t="s">
        <v>414</v>
      </c>
      <c r="B180" s="7" t="s">
        <v>34</v>
      </c>
      <c r="C180" s="8" t="s">
        <v>403</v>
      </c>
      <c r="D180" s="8" t="s">
        <v>411</v>
      </c>
      <c r="E180" s="8"/>
      <c r="F180" s="8" t="s">
        <v>403</v>
      </c>
      <c r="G180" s="8" t="s">
        <v>233</v>
      </c>
    </row>
    <row r="181">
      <c r="A181" t="s">
        <v>415</v>
      </c>
      <c r="B181" s="7" t="s">
        <v>34</v>
      </c>
      <c r="C181" s="8" t="s">
        <v>403</v>
      </c>
      <c r="D181" s="8" t="s">
        <v>411</v>
      </c>
      <c r="E181" s="8"/>
      <c r="F181" s="8" t="s">
        <v>403</v>
      </c>
      <c r="G181" s="8" t="s">
        <v>416</v>
      </c>
    </row>
    <row r="182">
      <c r="A182" t="s">
        <v>417</v>
      </c>
      <c r="B182" s="7" t="s">
        <v>35</v>
      </c>
      <c r="C182" s="8" t="s">
        <v>418</v>
      </c>
    </row>
    <row r="183">
      <c r="A183" t="s">
        <v>419</v>
      </c>
      <c r="B183" s="7" t="s">
        <v>35</v>
      </c>
      <c r="C183" s="8" t="s">
        <v>420</v>
      </c>
    </row>
    <row r="184">
      <c r="A184" t="s">
        <v>421</v>
      </c>
      <c r="B184" s="7" t="s">
        <v>35</v>
      </c>
      <c r="C184" s="8" t="s">
        <v>136</v>
      </c>
    </row>
    <row r="185">
      <c r="A185" t="s">
        <v>422</v>
      </c>
      <c r="B185" s="7" t="s">
        <v>35</v>
      </c>
      <c r="C185" s="8" t="s">
        <v>423</v>
      </c>
    </row>
    <row r="186">
      <c r="A186" t="s">
        <v>424</v>
      </c>
      <c r="B186" s="7" t="s">
        <v>35</v>
      </c>
      <c r="C186" s="8" t="s">
        <v>425</v>
      </c>
    </row>
    <row r="187">
      <c r="A187" t="s">
        <v>426</v>
      </c>
      <c r="B187" s="7" t="s">
        <v>35</v>
      </c>
      <c r="C187" s="8" t="s">
        <v>427</v>
      </c>
    </row>
    <row r="188">
      <c r="A188" t="s">
        <v>428</v>
      </c>
      <c r="B188" s="7" t="s">
        <v>35</v>
      </c>
      <c r="C188" s="8" t="s">
        <v>429</v>
      </c>
    </row>
    <row r="189">
      <c r="A189" t="s">
        <v>430</v>
      </c>
      <c r="B189" s="7" t="s">
        <v>35</v>
      </c>
      <c r="C189" s="8" t="s">
        <v>431</v>
      </c>
    </row>
    <row r="190">
      <c r="A190" t="s">
        <v>432</v>
      </c>
      <c r="B190" s="7" t="s">
        <v>35</v>
      </c>
      <c r="C190" s="8" t="s">
        <v>433</v>
      </c>
    </row>
    <row r="191">
      <c r="A191" t="s">
        <v>434</v>
      </c>
      <c r="B191" s="7" t="s">
        <v>35</v>
      </c>
      <c r="C191" s="8" t="s">
        <v>435</v>
      </c>
    </row>
    <row r="192">
      <c r="A192" t="s">
        <v>436</v>
      </c>
      <c r="B192" s="7" t="s">
        <v>35</v>
      </c>
      <c r="C192" s="8" t="s">
        <v>437</v>
      </c>
    </row>
    <row r="193">
      <c r="A193" t="s">
        <v>438</v>
      </c>
      <c r="B193" s="7" t="s">
        <v>35</v>
      </c>
      <c r="C193" s="8" t="s">
        <v>439</v>
      </c>
    </row>
    <row r="194">
      <c r="A194" t="s">
        <v>440</v>
      </c>
      <c r="B194" s="7" t="s">
        <v>36</v>
      </c>
      <c r="C194" s="8" t="s">
        <v>441</v>
      </c>
    </row>
    <row r="195">
      <c r="A195" t="s">
        <v>442</v>
      </c>
      <c r="B195" s="7" t="s">
        <v>36</v>
      </c>
      <c r="C195" s="8" t="s">
        <v>443</v>
      </c>
    </row>
    <row r="196">
      <c r="A196" t="s">
        <v>444</v>
      </c>
      <c r="B196" s="7" t="s">
        <v>36</v>
      </c>
      <c r="C196" s="8" t="s">
        <v>445</v>
      </c>
    </row>
    <row r="197">
      <c r="A197" t="s">
        <v>446</v>
      </c>
      <c r="B197" s="7" t="s">
        <v>36</v>
      </c>
      <c r="C197" s="8" t="s">
        <v>447</v>
      </c>
    </row>
    <row r="198">
      <c r="A198" t="s">
        <v>448</v>
      </c>
      <c r="B198" s="7" t="s">
        <v>36</v>
      </c>
      <c r="C198" s="8" t="s">
        <v>449</v>
      </c>
    </row>
    <row r="199">
      <c r="A199" t="s">
        <v>450</v>
      </c>
      <c r="B199" s="7" t="s">
        <v>36</v>
      </c>
      <c r="C199" s="8" t="s">
        <v>451</v>
      </c>
    </row>
    <row r="200">
      <c r="A200" t="s">
        <v>452</v>
      </c>
      <c r="B200" s="7" t="s">
        <v>36</v>
      </c>
      <c r="C200" s="8" t="s">
        <v>453</v>
      </c>
    </row>
    <row r="201">
      <c r="A201" t="s">
        <v>454</v>
      </c>
      <c r="B201" s="7" t="s">
        <v>37</v>
      </c>
      <c r="C201" s="8">
        <v>2.0</v>
      </c>
    </row>
    <row r="202">
      <c r="A202" t="s">
        <v>455</v>
      </c>
      <c r="B202" s="7" t="s">
        <v>37</v>
      </c>
      <c r="C202" s="8">
        <v>3.0</v>
      </c>
    </row>
    <row r="203">
      <c r="A203" t="s">
        <v>456</v>
      </c>
      <c r="B203" s="7" t="s">
        <v>37</v>
      </c>
      <c r="C203" s="8">
        <v>6.0</v>
      </c>
    </row>
    <row r="204">
      <c r="A204" t="s">
        <v>457</v>
      </c>
      <c r="B204" s="7" t="s">
        <v>37</v>
      </c>
      <c r="C204" s="8" t="s">
        <v>458</v>
      </c>
    </row>
    <row r="205">
      <c r="A205" t="s">
        <v>459</v>
      </c>
      <c r="B205" s="7" t="s">
        <v>37</v>
      </c>
      <c r="C205" s="8" t="s">
        <v>460</v>
      </c>
    </row>
    <row r="206">
      <c r="A206" t="s">
        <v>461</v>
      </c>
      <c r="B206" s="7" t="s">
        <v>37</v>
      </c>
      <c r="C206" s="8" t="s">
        <v>462</v>
      </c>
    </row>
    <row r="207">
      <c r="A207" t="s">
        <v>463</v>
      </c>
      <c r="B207" s="7" t="s">
        <v>37</v>
      </c>
      <c r="C207" s="8" t="s">
        <v>464</v>
      </c>
    </row>
    <row r="208">
      <c r="A208" t="s">
        <v>465</v>
      </c>
      <c r="B208" s="7" t="s">
        <v>37</v>
      </c>
      <c r="C208" s="8" t="s">
        <v>466</v>
      </c>
      <c r="D208" s="8" t="s">
        <v>467</v>
      </c>
    </row>
    <row r="209">
      <c r="A209" t="s">
        <v>468</v>
      </c>
      <c r="B209" s="7" t="s">
        <v>38</v>
      </c>
      <c r="C209" s="8" t="s">
        <v>469</v>
      </c>
    </row>
    <row r="210">
      <c r="A210" t="s">
        <v>470</v>
      </c>
      <c r="B210" s="7" t="s">
        <v>38</v>
      </c>
      <c r="C210" s="8" t="s">
        <v>471</v>
      </c>
      <c r="D210" s="8" t="s">
        <v>255</v>
      </c>
    </row>
    <row r="211">
      <c r="A211" t="s">
        <v>472</v>
      </c>
      <c r="B211" s="7" t="s">
        <v>38</v>
      </c>
      <c r="C211" s="8" t="s">
        <v>473</v>
      </c>
    </row>
    <row r="212">
      <c r="A212" t="s">
        <v>474</v>
      </c>
      <c r="B212" s="7" t="s">
        <v>38</v>
      </c>
      <c r="C212" s="8" t="s">
        <v>475</v>
      </c>
    </row>
    <row r="213">
      <c r="A213" t="s">
        <v>476</v>
      </c>
      <c r="B213" s="7" t="s">
        <v>38</v>
      </c>
      <c r="C213" s="8" t="s">
        <v>260</v>
      </c>
      <c r="D213" s="8" t="s">
        <v>407</v>
      </c>
      <c r="E213" s="8"/>
      <c r="F213" s="8" t="s">
        <v>477</v>
      </c>
    </row>
    <row r="214">
      <c r="A214" t="s">
        <v>478</v>
      </c>
      <c r="B214" s="7" t="s">
        <v>38</v>
      </c>
      <c r="C214" s="8" t="s">
        <v>479</v>
      </c>
    </row>
    <row r="215">
      <c r="A215" t="s">
        <v>480</v>
      </c>
      <c r="B215" s="7" t="s">
        <v>38</v>
      </c>
      <c r="C215" s="8" t="s">
        <v>481</v>
      </c>
    </row>
    <row r="216">
      <c r="A216" t="s">
        <v>482</v>
      </c>
      <c r="B216" s="7" t="s">
        <v>38</v>
      </c>
      <c r="C216" s="8" t="s">
        <v>483</v>
      </c>
    </row>
    <row r="217">
      <c r="A217" t="s">
        <v>484</v>
      </c>
      <c r="B217" s="7" t="s">
        <v>38</v>
      </c>
      <c r="C217" s="8" t="s">
        <v>485</v>
      </c>
    </row>
    <row r="218">
      <c r="A218" t="s">
        <v>486</v>
      </c>
      <c r="B218" s="7" t="s">
        <v>38</v>
      </c>
      <c r="C218" s="8" t="s">
        <v>487</v>
      </c>
    </row>
    <row r="219">
      <c r="A219" t="s">
        <v>488</v>
      </c>
      <c r="B219" s="7" t="s">
        <v>38</v>
      </c>
      <c r="C219" s="8" t="s">
        <v>489</v>
      </c>
    </row>
    <row r="220">
      <c r="A220" t="s">
        <v>490</v>
      </c>
      <c r="B220" s="7" t="s">
        <v>38</v>
      </c>
      <c r="C220" s="8" t="s">
        <v>491</v>
      </c>
    </row>
    <row r="221">
      <c r="A221" t="s">
        <v>492</v>
      </c>
      <c r="B221" s="7" t="s">
        <v>38</v>
      </c>
      <c r="C221" s="8" t="s">
        <v>493</v>
      </c>
    </row>
    <row r="222">
      <c r="A222" t="s">
        <v>494</v>
      </c>
      <c r="B222" s="7" t="s">
        <v>38</v>
      </c>
      <c r="C222" s="8" t="s">
        <v>495</v>
      </c>
    </row>
    <row r="223">
      <c r="A223" t="s">
        <v>496</v>
      </c>
      <c r="B223" s="7" t="s">
        <v>38</v>
      </c>
      <c r="C223" s="8" t="s">
        <v>497</v>
      </c>
    </row>
    <row r="224">
      <c r="A224" t="s">
        <v>498</v>
      </c>
      <c r="B224" s="7" t="s">
        <v>38</v>
      </c>
      <c r="C224" s="8" t="s">
        <v>499</v>
      </c>
    </row>
    <row r="225">
      <c r="A225" t="s">
        <v>500</v>
      </c>
      <c r="B225" s="7" t="s">
        <v>39</v>
      </c>
      <c r="C225" s="8" t="s">
        <v>501</v>
      </c>
    </row>
    <row r="226">
      <c r="A226" t="s">
        <v>502</v>
      </c>
      <c r="B226" s="7" t="s">
        <v>39</v>
      </c>
      <c r="C226" s="8" t="s">
        <v>503</v>
      </c>
    </row>
    <row r="227">
      <c r="A227" t="s">
        <v>504</v>
      </c>
      <c r="B227" s="7" t="s">
        <v>40</v>
      </c>
      <c r="C227" s="8" t="s">
        <v>505</v>
      </c>
      <c r="D227" s="8" t="s">
        <v>506</v>
      </c>
    </row>
    <row r="228">
      <c r="A228" t="s">
        <v>507</v>
      </c>
      <c r="B228" s="7" t="s">
        <v>40</v>
      </c>
      <c r="C228" s="8" t="s">
        <v>508</v>
      </c>
    </row>
    <row r="229">
      <c r="A229" t="s">
        <v>509</v>
      </c>
      <c r="B229" s="7" t="s">
        <v>40</v>
      </c>
      <c r="C229" s="8" t="s">
        <v>510</v>
      </c>
    </row>
    <row r="230">
      <c r="A230" t="s">
        <v>511</v>
      </c>
      <c r="B230" s="7" t="s">
        <v>40</v>
      </c>
      <c r="C230" s="8" t="s">
        <v>510</v>
      </c>
      <c r="D230" s="8" t="s">
        <v>512</v>
      </c>
    </row>
    <row r="231">
      <c r="A231" t="s">
        <v>513</v>
      </c>
      <c r="B231" s="7" t="s">
        <v>40</v>
      </c>
      <c r="C231" s="8" t="s">
        <v>510</v>
      </c>
      <c r="D231" s="8" t="s">
        <v>233</v>
      </c>
    </row>
    <row r="232">
      <c r="A232" t="s">
        <v>514</v>
      </c>
      <c r="B232" s="7" t="s">
        <v>41</v>
      </c>
      <c r="C232" s="8" t="s">
        <v>515</v>
      </c>
    </row>
    <row r="233">
      <c r="A233" t="s">
        <v>516</v>
      </c>
      <c r="B233" s="7" t="s">
        <v>41</v>
      </c>
      <c r="C233" s="8" t="s">
        <v>517</v>
      </c>
    </row>
    <row r="234">
      <c r="A234" t="s">
        <v>518</v>
      </c>
      <c r="B234" s="7" t="s">
        <v>41</v>
      </c>
      <c r="C234" s="8" t="s">
        <v>519</v>
      </c>
    </row>
    <row r="235">
      <c r="A235" t="s">
        <v>520</v>
      </c>
      <c r="B235" s="7" t="s">
        <v>41</v>
      </c>
      <c r="C235" s="8" t="s">
        <v>521</v>
      </c>
    </row>
    <row r="236">
      <c r="A236" t="s">
        <v>522</v>
      </c>
      <c r="B236" s="7" t="s">
        <v>41</v>
      </c>
      <c r="C236" s="8" t="s">
        <v>523</v>
      </c>
    </row>
    <row r="237">
      <c r="A237" t="s">
        <v>524</v>
      </c>
      <c r="B237" s="7" t="s">
        <v>41</v>
      </c>
      <c r="C237" s="8" t="s">
        <v>525</v>
      </c>
    </row>
    <row r="238">
      <c r="A238" t="s">
        <v>526</v>
      </c>
      <c r="B238" s="7" t="s">
        <v>41</v>
      </c>
      <c r="C238" s="8" t="s">
        <v>527</v>
      </c>
    </row>
    <row r="239">
      <c r="A239" t="s">
        <v>528</v>
      </c>
      <c r="B239" s="7" t="s">
        <v>41</v>
      </c>
      <c r="C239" s="8" t="s">
        <v>529</v>
      </c>
    </row>
    <row r="240">
      <c r="A240" t="s">
        <v>530</v>
      </c>
      <c r="B240" s="7" t="s">
        <v>41</v>
      </c>
      <c r="C240" s="8" t="s">
        <v>531</v>
      </c>
    </row>
    <row r="241">
      <c r="A241" t="s">
        <v>532</v>
      </c>
      <c r="B241" s="7" t="s">
        <v>41</v>
      </c>
      <c r="C241" s="8" t="s">
        <v>533</v>
      </c>
    </row>
    <row r="242">
      <c r="A242" t="s">
        <v>534</v>
      </c>
      <c r="B242" s="7" t="s">
        <v>41</v>
      </c>
      <c r="C242" s="8" t="s">
        <v>535</v>
      </c>
    </row>
    <row r="243">
      <c r="A243" t="s">
        <v>536</v>
      </c>
      <c r="B243" s="7" t="s">
        <v>41</v>
      </c>
      <c r="C243" s="8" t="s">
        <v>537</v>
      </c>
    </row>
    <row r="244">
      <c r="A244" t="s">
        <v>538</v>
      </c>
      <c r="B244" s="7" t="s">
        <v>41</v>
      </c>
      <c r="C244" s="8" t="s">
        <v>539</v>
      </c>
    </row>
    <row r="245">
      <c r="A245" t="s">
        <v>540</v>
      </c>
      <c r="B245" s="7" t="s">
        <v>41</v>
      </c>
      <c r="C245" s="8" t="s">
        <v>541</v>
      </c>
    </row>
    <row r="246">
      <c r="A246" t="s">
        <v>542</v>
      </c>
      <c r="B246" s="7" t="s">
        <v>41</v>
      </c>
      <c r="C246" s="8" t="s">
        <v>543</v>
      </c>
    </row>
    <row r="247">
      <c r="A247" t="s">
        <v>544</v>
      </c>
      <c r="B247" s="7" t="s">
        <v>41</v>
      </c>
      <c r="C247" s="8" t="s">
        <v>545</v>
      </c>
    </row>
    <row r="248">
      <c r="A248" t="s">
        <v>546</v>
      </c>
      <c r="B248" s="7" t="s">
        <v>41</v>
      </c>
      <c r="C248" s="8" t="s">
        <v>547</v>
      </c>
    </row>
    <row r="249">
      <c r="A249" t="s">
        <v>548</v>
      </c>
      <c r="B249" s="7" t="s">
        <v>42</v>
      </c>
      <c r="C249" s="8">
        <v>718.0</v>
      </c>
    </row>
    <row r="250">
      <c r="A250" t="s">
        <v>549</v>
      </c>
      <c r="B250" s="7" t="s">
        <v>42</v>
      </c>
      <c r="C250" s="8">
        <v>911.0</v>
      </c>
    </row>
    <row r="251">
      <c r="A251" t="s">
        <v>550</v>
      </c>
      <c r="B251" s="7" t="s">
        <v>42</v>
      </c>
      <c r="C251" s="8" t="s">
        <v>551</v>
      </c>
    </row>
    <row r="252">
      <c r="A252" t="s">
        <v>552</v>
      </c>
      <c r="B252" s="7" t="s">
        <v>42</v>
      </c>
      <c r="C252" s="8" t="s">
        <v>553</v>
      </c>
    </row>
    <row r="253">
      <c r="A253" t="s">
        <v>554</v>
      </c>
      <c r="B253" s="7" t="s">
        <v>42</v>
      </c>
      <c r="C253" s="8" t="s">
        <v>555</v>
      </c>
    </row>
    <row r="254">
      <c r="A254" t="s">
        <v>556</v>
      </c>
      <c r="B254" s="7" t="s">
        <v>42</v>
      </c>
      <c r="C254" s="8" t="s">
        <v>557</v>
      </c>
    </row>
    <row r="255">
      <c r="A255" t="s">
        <v>558</v>
      </c>
      <c r="B255" s="7" t="s">
        <v>43</v>
      </c>
      <c r="C255" s="8" t="s">
        <v>559</v>
      </c>
    </row>
    <row r="256">
      <c r="A256" t="s">
        <v>560</v>
      </c>
      <c r="B256" s="7" t="s">
        <v>43</v>
      </c>
      <c r="C256" s="8" t="s">
        <v>561</v>
      </c>
    </row>
    <row r="257">
      <c r="A257" t="s">
        <v>562</v>
      </c>
      <c r="B257" s="7" t="s">
        <v>43</v>
      </c>
      <c r="C257" s="8" t="s">
        <v>561</v>
      </c>
      <c r="D257" s="8" t="s">
        <v>563</v>
      </c>
    </row>
    <row r="258">
      <c r="A258" t="s">
        <v>564</v>
      </c>
      <c r="B258" s="7" t="s">
        <v>44</v>
      </c>
      <c r="C258" s="8" t="s">
        <v>565</v>
      </c>
    </row>
    <row r="259">
      <c r="A259" t="s">
        <v>566</v>
      </c>
      <c r="B259" s="7" t="s">
        <v>44</v>
      </c>
      <c r="C259" s="8" t="s">
        <v>567</v>
      </c>
    </row>
    <row r="260">
      <c r="A260" t="s">
        <v>568</v>
      </c>
      <c r="B260" s="7" t="s">
        <v>44</v>
      </c>
      <c r="C260" s="8" t="s">
        <v>569</v>
      </c>
    </row>
    <row r="261">
      <c r="A261" t="s">
        <v>570</v>
      </c>
      <c r="B261" s="7" t="s">
        <v>44</v>
      </c>
      <c r="C261" s="8" t="s">
        <v>571</v>
      </c>
    </row>
    <row r="262">
      <c r="A262" t="s">
        <v>572</v>
      </c>
      <c r="B262" s="7" t="s">
        <v>44</v>
      </c>
      <c r="C262" s="8" t="s">
        <v>573</v>
      </c>
    </row>
    <row r="263">
      <c r="A263" t="s">
        <v>574</v>
      </c>
      <c r="B263" s="7" t="s">
        <v>44</v>
      </c>
      <c r="C263" s="8" t="s">
        <v>573</v>
      </c>
      <c r="D263" s="8" t="s">
        <v>575</v>
      </c>
    </row>
    <row r="264">
      <c r="A264" t="s">
        <v>576</v>
      </c>
      <c r="B264" s="7" t="s">
        <v>44</v>
      </c>
      <c r="C264" s="8" t="s">
        <v>577</v>
      </c>
    </row>
    <row r="265">
      <c r="A265" t="s">
        <v>578</v>
      </c>
      <c r="B265" s="7" t="s">
        <v>44</v>
      </c>
      <c r="C265" s="8" t="s">
        <v>579</v>
      </c>
    </row>
    <row r="266">
      <c r="A266" t="s">
        <v>580</v>
      </c>
      <c r="B266" s="7" t="s">
        <v>45</v>
      </c>
      <c r="C266" s="8" t="s">
        <v>581</v>
      </c>
      <c r="D266" s="8">
        <v>3.0</v>
      </c>
    </row>
    <row r="267">
      <c r="A267" t="s">
        <v>582</v>
      </c>
      <c r="B267" s="7" t="s">
        <v>45</v>
      </c>
      <c r="C267" s="8" t="s">
        <v>581</v>
      </c>
      <c r="D267" s="8" t="s">
        <v>583</v>
      </c>
    </row>
    <row r="268">
      <c r="A268" t="s">
        <v>584</v>
      </c>
      <c r="B268" s="7" t="s">
        <v>45</v>
      </c>
      <c r="C268" s="8" t="s">
        <v>581</v>
      </c>
      <c r="D268" s="8" t="s">
        <v>585</v>
      </c>
    </row>
    <row r="269">
      <c r="A269" t="s">
        <v>586</v>
      </c>
      <c r="B269" s="7" t="s">
        <v>45</v>
      </c>
      <c r="C269" s="8" t="s">
        <v>581</v>
      </c>
      <c r="D269" s="8" t="s">
        <v>587</v>
      </c>
    </row>
    <row r="270">
      <c r="A270" t="s">
        <v>588</v>
      </c>
      <c r="B270" s="7" t="s">
        <v>46</v>
      </c>
      <c r="C270" s="8" t="s">
        <v>589</v>
      </c>
    </row>
    <row r="271">
      <c r="A271" t="s">
        <v>590</v>
      </c>
      <c r="B271" s="7" t="s">
        <v>46</v>
      </c>
      <c r="C271" s="8">
        <v>86.0</v>
      </c>
      <c r="D271" s="8" t="s">
        <v>407</v>
      </c>
      <c r="E271" s="8"/>
      <c r="F271" s="8" t="s">
        <v>591</v>
      </c>
    </row>
    <row r="272">
      <c r="A272" t="s">
        <v>592</v>
      </c>
      <c r="B272" s="7" t="s">
        <v>46</v>
      </c>
      <c r="C272" s="8" t="s">
        <v>593</v>
      </c>
    </row>
    <row r="273">
      <c r="A273" t="s">
        <v>594</v>
      </c>
      <c r="B273" s="7" t="s">
        <v>46</v>
      </c>
      <c r="C273" s="8" t="s">
        <v>595</v>
      </c>
    </row>
    <row r="274">
      <c r="A274" t="s">
        <v>596</v>
      </c>
      <c r="B274" s="7" t="s">
        <v>46</v>
      </c>
      <c r="C274" s="8" t="s">
        <v>597</v>
      </c>
    </row>
    <row r="275">
      <c r="A275" t="s">
        <v>598</v>
      </c>
      <c r="B275" s="7" t="s">
        <v>46</v>
      </c>
      <c r="C275" s="8" t="s">
        <v>599</v>
      </c>
    </row>
    <row r="276">
      <c r="A276" t="s">
        <v>600</v>
      </c>
      <c r="B276" s="7" t="s">
        <v>46</v>
      </c>
      <c r="C276" s="8" t="s">
        <v>601</v>
      </c>
    </row>
    <row r="277">
      <c r="A277" t="s">
        <v>602</v>
      </c>
      <c r="B277" s="7" t="s">
        <v>46</v>
      </c>
      <c r="C277" s="8" t="s">
        <v>34</v>
      </c>
      <c r="D277" s="8" t="s">
        <v>603</v>
      </c>
    </row>
    <row r="278">
      <c r="A278" t="s">
        <v>604</v>
      </c>
      <c r="B278" s="7" t="s">
        <v>46</v>
      </c>
      <c r="C278" s="8" t="s">
        <v>605</v>
      </c>
    </row>
    <row r="279">
      <c r="A279" t="s">
        <v>606</v>
      </c>
      <c r="B279" s="7" t="s">
        <v>46</v>
      </c>
      <c r="C279" s="8" t="s">
        <v>607</v>
      </c>
      <c r="D279" s="8" t="s">
        <v>608</v>
      </c>
    </row>
    <row r="280">
      <c r="A280" t="s">
        <v>609</v>
      </c>
      <c r="B280" s="7" t="s">
        <v>46</v>
      </c>
      <c r="C280" s="8" t="s">
        <v>610</v>
      </c>
    </row>
    <row r="281">
      <c r="A281" t="s">
        <v>611</v>
      </c>
      <c r="B281" s="7" t="s">
        <v>46</v>
      </c>
      <c r="C281" s="8" t="s">
        <v>612</v>
      </c>
    </row>
    <row r="282">
      <c r="A282" t="s">
        <v>613</v>
      </c>
      <c r="B282" s="7" t="s">
        <v>46</v>
      </c>
      <c r="C282" s="8" t="s">
        <v>614</v>
      </c>
    </row>
    <row r="283">
      <c r="A283" t="s">
        <v>615</v>
      </c>
      <c r="B283" s="7" t="s">
        <v>46</v>
      </c>
      <c r="C283" s="8" t="s">
        <v>616</v>
      </c>
    </row>
    <row r="284">
      <c r="A284" t="s">
        <v>617</v>
      </c>
      <c r="B284" s="7" t="s">
        <v>46</v>
      </c>
      <c r="C284" s="8" t="s">
        <v>618</v>
      </c>
    </row>
    <row r="285">
      <c r="A285" t="s">
        <v>619</v>
      </c>
      <c r="B285" s="7" t="s">
        <v>46</v>
      </c>
      <c r="C285" s="8" t="s">
        <v>620</v>
      </c>
    </row>
    <row r="286">
      <c r="A286" t="s">
        <v>621</v>
      </c>
      <c r="B286" s="7" t="s">
        <v>46</v>
      </c>
      <c r="C286" s="8" t="s">
        <v>622</v>
      </c>
    </row>
    <row r="287">
      <c r="A287" t="s">
        <v>623</v>
      </c>
      <c r="B287" s="7" t="s">
        <v>46</v>
      </c>
      <c r="C287" s="8" t="s">
        <v>624</v>
      </c>
    </row>
    <row r="288">
      <c r="A288" t="s">
        <v>625</v>
      </c>
      <c r="B288" s="7" t="s">
        <v>47</v>
      </c>
      <c r="C288" s="8" t="s">
        <v>626</v>
      </c>
    </row>
    <row r="289">
      <c r="A289" t="s">
        <v>627</v>
      </c>
      <c r="B289" s="7" t="s">
        <v>47</v>
      </c>
      <c r="C289" s="8" t="s">
        <v>628</v>
      </c>
    </row>
    <row r="290">
      <c r="A290" t="s">
        <v>629</v>
      </c>
      <c r="B290" s="7" t="s">
        <v>47</v>
      </c>
      <c r="C290" s="8" t="s">
        <v>628</v>
      </c>
      <c r="D290" s="8" t="s">
        <v>233</v>
      </c>
    </row>
    <row r="291">
      <c r="A291" t="s">
        <v>630</v>
      </c>
      <c r="B291" s="7" t="s">
        <v>47</v>
      </c>
      <c r="C291" s="8" t="s">
        <v>631</v>
      </c>
    </row>
    <row r="292">
      <c r="A292" t="s">
        <v>632</v>
      </c>
      <c r="B292" s="7" t="s">
        <v>47</v>
      </c>
      <c r="C292" s="8" t="s">
        <v>633</v>
      </c>
    </row>
    <row r="293">
      <c r="A293" t="s">
        <v>634</v>
      </c>
      <c r="B293" s="7" t="s">
        <v>47</v>
      </c>
      <c r="C293" s="8" t="s">
        <v>635</v>
      </c>
    </row>
    <row r="294">
      <c r="A294" t="s">
        <v>636</v>
      </c>
      <c r="B294" s="7" t="s">
        <v>47</v>
      </c>
      <c r="C294" s="8" t="s">
        <v>637</v>
      </c>
    </row>
    <row r="295">
      <c r="A295" t="s">
        <v>638</v>
      </c>
      <c r="B295" s="7" t="s">
        <v>47</v>
      </c>
      <c r="C295" s="8" t="s">
        <v>639</v>
      </c>
    </row>
    <row r="296">
      <c r="A296" t="s">
        <v>640</v>
      </c>
      <c r="B296" s="7" t="s">
        <v>47</v>
      </c>
      <c r="C296" s="8" t="s">
        <v>641</v>
      </c>
    </row>
    <row r="297">
      <c r="A297" t="s">
        <v>642</v>
      </c>
      <c r="B297" s="7" t="s">
        <v>47</v>
      </c>
      <c r="C297" s="8" t="s">
        <v>643</v>
      </c>
    </row>
    <row r="298">
      <c r="A298" t="s">
        <v>644</v>
      </c>
      <c r="B298" s="7" t="s">
        <v>47</v>
      </c>
      <c r="C298" s="8" t="s">
        <v>645</v>
      </c>
    </row>
    <row r="299">
      <c r="A299" t="s">
        <v>646</v>
      </c>
      <c r="B299" s="7" t="s">
        <v>48</v>
      </c>
      <c r="C299" s="8">
        <v>40.0</v>
      </c>
      <c r="D299" s="8" t="s">
        <v>647</v>
      </c>
    </row>
    <row r="300">
      <c r="A300" t="s">
        <v>648</v>
      </c>
      <c r="B300" s="7" t="s">
        <v>48</v>
      </c>
      <c r="C300" s="8" t="s">
        <v>649</v>
      </c>
    </row>
    <row r="301">
      <c r="A301" t="s">
        <v>650</v>
      </c>
      <c r="B301" s="7" t="s">
        <v>48</v>
      </c>
      <c r="C301" s="8" t="s">
        <v>651</v>
      </c>
    </row>
    <row r="302">
      <c r="A302" t="s">
        <v>652</v>
      </c>
      <c r="B302" s="7" t="s">
        <v>48</v>
      </c>
      <c r="C302" s="8" t="s">
        <v>653</v>
      </c>
    </row>
    <row r="303">
      <c r="A303" t="s">
        <v>654</v>
      </c>
      <c r="B303" s="7" t="s">
        <v>48</v>
      </c>
      <c r="C303" s="8" t="s">
        <v>655</v>
      </c>
    </row>
    <row r="304">
      <c r="A304" t="s">
        <v>656</v>
      </c>
      <c r="B304" s="7" t="s">
        <v>48</v>
      </c>
      <c r="C304" s="8" t="s">
        <v>657</v>
      </c>
    </row>
    <row r="305">
      <c r="A305" s="1" t="s">
        <v>50</v>
      </c>
    </row>
    <row r="306">
      <c r="A306" s="1" t="s">
        <v>52</v>
      </c>
    </row>
    <row r="307">
      <c r="A307" s="1" t="s">
        <v>54</v>
      </c>
    </row>
    <row r="308">
      <c r="A308" s="1" t="s">
        <v>56</v>
      </c>
    </row>
    <row r="309">
      <c r="A309" s="1" t="s">
        <v>58</v>
      </c>
    </row>
    <row r="310">
      <c r="A310" s="1" t="s">
        <v>60</v>
      </c>
    </row>
    <row r="311">
      <c r="A311" s="1" t="s">
        <v>62</v>
      </c>
    </row>
    <row r="312">
      <c r="A312" s="1" t="s">
        <v>65</v>
      </c>
    </row>
    <row r="313">
      <c r="A313" s="1" t="s">
        <v>67</v>
      </c>
    </row>
    <row r="314">
      <c r="A314" s="1" t="s">
        <v>69</v>
      </c>
    </row>
    <row r="315">
      <c r="A315" s="1" t="s">
        <v>71</v>
      </c>
    </row>
    <row r="316">
      <c r="A316" s="1" t="s">
        <v>73</v>
      </c>
    </row>
    <row r="317">
      <c r="A317" s="1" t="s">
        <v>75</v>
      </c>
    </row>
    <row r="318">
      <c r="A318" s="1" t="s">
        <v>77</v>
      </c>
    </row>
    <row r="319">
      <c r="A319" s="1" t="s">
        <v>79</v>
      </c>
    </row>
    <row r="320">
      <c r="A320" s="1" t="s">
        <v>81</v>
      </c>
    </row>
    <row r="321">
      <c r="A321" s="1" t="s">
        <v>83</v>
      </c>
    </row>
    <row r="322">
      <c r="A322" s="1" t="s">
        <v>85</v>
      </c>
    </row>
    <row r="323">
      <c r="A323" s="1" t="s">
        <v>87</v>
      </c>
    </row>
    <row r="324">
      <c r="A324" s="1" t="s">
        <v>89</v>
      </c>
    </row>
    <row r="325">
      <c r="A325" s="1" t="s">
        <v>91</v>
      </c>
    </row>
    <row r="326">
      <c r="A326" s="1" t="s">
        <v>93</v>
      </c>
    </row>
    <row r="327">
      <c r="A327" s="1" t="s">
        <v>95</v>
      </c>
    </row>
    <row r="328">
      <c r="A328" s="1" t="s">
        <v>97</v>
      </c>
    </row>
    <row r="329">
      <c r="A329" s="1" t="s">
        <v>99</v>
      </c>
    </row>
    <row r="330">
      <c r="A330" s="1" t="s">
        <v>101</v>
      </c>
    </row>
    <row r="331">
      <c r="A331" s="1" t="s">
        <v>103</v>
      </c>
    </row>
    <row r="332">
      <c r="A332" s="1" t="s">
        <v>105</v>
      </c>
    </row>
    <row r="333">
      <c r="A333" s="1" t="s">
        <v>107</v>
      </c>
    </row>
    <row r="334">
      <c r="A334" s="1" t="s">
        <v>109</v>
      </c>
    </row>
    <row r="335">
      <c r="A335" s="1" t="s">
        <v>111</v>
      </c>
    </row>
    <row r="336">
      <c r="A336" s="1" t="s">
        <v>113</v>
      </c>
    </row>
    <row r="337">
      <c r="A337" s="1" t="s">
        <v>115</v>
      </c>
    </row>
    <row r="338">
      <c r="A338" s="1" t="s">
        <v>117</v>
      </c>
    </row>
    <row r="339">
      <c r="A339" s="1" t="s">
        <v>119</v>
      </c>
    </row>
    <row r="340">
      <c r="A340" s="1" t="s">
        <v>121</v>
      </c>
    </row>
    <row r="341">
      <c r="A341" s="1" t="s">
        <v>123</v>
      </c>
    </row>
    <row r="342">
      <c r="A342" s="1" t="s">
        <v>125</v>
      </c>
    </row>
    <row r="343">
      <c r="A343" s="1" t="s">
        <v>127</v>
      </c>
    </row>
    <row r="344">
      <c r="A344" s="1" t="s">
        <v>129</v>
      </c>
    </row>
    <row r="345">
      <c r="A345" s="1" t="s">
        <v>131</v>
      </c>
    </row>
    <row r="346">
      <c r="A346" s="1" t="s">
        <v>133</v>
      </c>
    </row>
    <row r="347">
      <c r="A347" s="1" t="s">
        <v>135</v>
      </c>
    </row>
    <row r="348">
      <c r="A348" s="1" t="s">
        <v>137</v>
      </c>
    </row>
    <row r="349">
      <c r="A349" s="1" t="s">
        <v>139</v>
      </c>
    </row>
    <row r="350">
      <c r="A350" s="1" t="s">
        <v>141</v>
      </c>
    </row>
    <row r="351">
      <c r="A351" s="1" t="s">
        <v>143</v>
      </c>
    </row>
    <row r="352">
      <c r="A352" s="1" t="s">
        <v>145</v>
      </c>
    </row>
    <row r="353">
      <c r="A353" s="1" t="s">
        <v>147</v>
      </c>
    </row>
    <row r="354">
      <c r="A354" s="1" t="s">
        <v>149</v>
      </c>
    </row>
    <row r="355">
      <c r="A355" s="1" t="s">
        <v>151</v>
      </c>
    </row>
    <row r="356">
      <c r="A356" s="1" t="s">
        <v>153</v>
      </c>
    </row>
    <row r="357">
      <c r="A357" s="1" t="s">
        <v>155</v>
      </c>
    </row>
    <row r="358">
      <c r="A358" s="1" t="s">
        <v>157</v>
      </c>
    </row>
    <row r="359">
      <c r="A359" s="1" t="s">
        <v>159</v>
      </c>
    </row>
    <row r="360">
      <c r="A360" s="1" t="s">
        <v>161</v>
      </c>
    </row>
    <row r="361">
      <c r="A361" s="1" t="s">
        <v>163</v>
      </c>
    </row>
    <row r="362">
      <c r="A362" s="1" t="s">
        <v>165</v>
      </c>
    </row>
    <row r="363">
      <c r="A363" s="1" t="s">
        <v>167</v>
      </c>
    </row>
    <row r="364">
      <c r="A364" s="1" t="s">
        <v>169</v>
      </c>
    </row>
    <row r="365">
      <c r="A365" s="1" t="s">
        <v>171</v>
      </c>
    </row>
    <row r="366">
      <c r="A366" s="1" t="s">
        <v>173</v>
      </c>
    </row>
    <row r="367">
      <c r="A367" s="1" t="s">
        <v>175</v>
      </c>
    </row>
    <row r="368">
      <c r="A368" s="1" t="s">
        <v>177</v>
      </c>
    </row>
    <row r="369">
      <c r="A369" s="1" t="s">
        <v>179</v>
      </c>
    </row>
    <row r="370">
      <c r="A370" s="1" t="s">
        <v>181</v>
      </c>
    </row>
    <row r="371">
      <c r="A371" s="1" t="s">
        <v>183</v>
      </c>
    </row>
    <row r="372">
      <c r="A372" s="1" t="s">
        <v>185</v>
      </c>
    </row>
    <row r="373">
      <c r="A373" s="1" t="s">
        <v>187</v>
      </c>
    </row>
    <row r="374">
      <c r="A374" s="1" t="s">
        <v>189</v>
      </c>
    </row>
    <row r="375">
      <c r="A375" s="1" t="s">
        <v>191</v>
      </c>
    </row>
    <row r="376">
      <c r="A376" s="1" t="s">
        <v>193</v>
      </c>
    </row>
    <row r="377">
      <c r="A377" s="1" t="s">
        <v>195</v>
      </c>
    </row>
    <row r="378">
      <c r="A378" s="1" t="s">
        <v>197</v>
      </c>
    </row>
    <row r="379">
      <c r="A379" s="1" t="s">
        <v>199</v>
      </c>
    </row>
    <row r="380">
      <c r="A380" s="1" t="s">
        <v>201</v>
      </c>
    </row>
    <row r="381">
      <c r="A381" s="1" t="s">
        <v>202</v>
      </c>
    </row>
    <row r="382">
      <c r="A382" s="1" t="s">
        <v>203</v>
      </c>
    </row>
    <row r="383">
      <c r="A383" s="1" t="s">
        <v>205</v>
      </c>
    </row>
    <row r="384">
      <c r="A384" s="1" t="s">
        <v>209</v>
      </c>
    </row>
    <row r="385">
      <c r="A385" s="1" t="s">
        <v>211</v>
      </c>
    </row>
    <row r="386">
      <c r="A386" s="1" t="s">
        <v>213</v>
      </c>
    </row>
    <row r="387">
      <c r="A387" s="1" t="s">
        <v>215</v>
      </c>
    </row>
    <row r="388">
      <c r="A388" s="1" t="s">
        <v>217</v>
      </c>
    </row>
    <row r="389">
      <c r="A389" s="1" t="s">
        <v>220</v>
      </c>
    </row>
    <row r="390">
      <c r="A390" s="1" t="s">
        <v>222</v>
      </c>
    </row>
    <row r="391">
      <c r="A391" s="1" t="s">
        <v>224</v>
      </c>
    </row>
    <row r="392">
      <c r="A392" s="1" t="s">
        <v>226</v>
      </c>
    </row>
    <row r="393">
      <c r="A393" s="1" t="s">
        <v>227</v>
      </c>
    </row>
    <row r="394">
      <c r="A394" s="1" t="s">
        <v>229</v>
      </c>
    </row>
    <row r="395">
      <c r="A395" s="1" t="s">
        <v>231</v>
      </c>
    </row>
    <row r="396">
      <c r="A396" s="1" t="s">
        <v>234</v>
      </c>
    </row>
    <row r="397">
      <c r="A397" s="1" t="s">
        <v>236</v>
      </c>
    </row>
    <row r="398">
      <c r="A398" s="1" t="s">
        <v>238</v>
      </c>
    </row>
    <row r="399">
      <c r="A399" s="1" t="s">
        <v>240</v>
      </c>
    </row>
    <row r="400">
      <c r="A400" s="1" t="s">
        <v>242</v>
      </c>
    </row>
    <row r="401">
      <c r="A401" s="1" t="s">
        <v>244</v>
      </c>
    </row>
    <row r="402">
      <c r="A402" s="1" t="s">
        <v>246</v>
      </c>
    </row>
    <row r="403">
      <c r="A403" s="1" t="s">
        <v>248</v>
      </c>
    </row>
    <row r="404">
      <c r="A404" s="1" t="s">
        <v>250</v>
      </c>
    </row>
    <row r="405">
      <c r="A405" s="1" t="s">
        <v>252</v>
      </c>
    </row>
    <row r="406">
      <c r="A406" s="1" t="s">
        <v>254</v>
      </c>
    </row>
    <row r="407">
      <c r="A407" s="1" t="s">
        <v>256</v>
      </c>
    </row>
    <row r="408">
      <c r="A408" s="1" t="s">
        <v>258</v>
      </c>
    </row>
    <row r="409">
      <c r="A409" s="1" t="s">
        <v>261</v>
      </c>
    </row>
    <row r="410">
      <c r="A410" s="1" t="s">
        <v>263</v>
      </c>
    </row>
    <row r="411">
      <c r="A411" s="1" t="s">
        <v>265</v>
      </c>
    </row>
    <row r="412">
      <c r="A412" s="1" t="s">
        <v>267</v>
      </c>
    </row>
    <row r="413">
      <c r="A413" s="1" t="s">
        <v>269</v>
      </c>
    </row>
    <row r="414">
      <c r="A414" s="1" t="s">
        <v>271</v>
      </c>
    </row>
    <row r="415">
      <c r="A415" s="1" t="s">
        <v>273</v>
      </c>
    </row>
    <row r="416">
      <c r="A416" s="1" t="s">
        <v>275</v>
      </c>
    </row>
    <row r="417">
      <c r="A417" s="1" t="s">
        <v>277</v>
      </c>
    </row>
    <row r="418">
      <c r="A418" s="1" t="s">
        <v>279</v>
      </c>
    </row>
    <row r="419">
      <c r="A419" s="1" t="s">
        <v>281</v>
      </c>
    </row>
    <row r="420">
      <c r="A420" s="1" t="s">
        <v>283</v>
      </c>
    </row>
    <row r="421">
      <c r="A421" s="1" t="s">
        <v>285</v>
      </c>
    </row>
    <row r="422">
      <c r="A422" s="1" t="s">
        <v>287</v>
      </c>
    </row>
    <row r="423">
      <c r="A423" s="1" t="s">
        <v>289</v>
      </c>
    </row>
    <row r="424">
      <c r="A424" s="1" t="s">
        <v>291</v>
      </c>
    </row>
    <row r="425">
      <c r="A425" s="1" t="s">
        <v>294</v>
      </c>
    </row>
    <row r="426">
      <c r="A426" s="1" t="s">
        <v>296</v>
      </c>
    </row>
    <row r="427">
      <c r="A427" s="1" t="s">
        <v>298</v>
      </c>
    </row>
    <row r="428">
      <c r="A428" s="1" t="s">
        <v>300</v>
      </c>
    </row>
    <row r="429">
      <c r="A429" s="1" t="s">
        <v>302</v>
      </c>
    </row>
    <row r="430">
      <c r="A430" s="1" t="s">
        <v>304</v>
      </c>
    </row>
    <row r="431">
      <c r="A431" s="1" t="s">
        <v>306</v>
      </c>
    </row>
    <row r="432">
      <c r="A432" s="1" t="s">
        <v>308</v>
      </c>
    </row>
    <row r="433">
      <c r="A433" s="1" t="s">
        <v>310</v>
      </c>
    </row>
    <row r="434">
      <c r="A434" s="1" t="s">
        <v>312</v>
      </c>
    </row>
    <row r="435">
      <c r="A435" s="1" t="s">
        <v>314</v>
      </c>
    </row>
    <row r="436">
      <c r="A436" s="1" t="s">
        <v>316</v>
      </c>
    </row>
    <row r="437">
      <c r="A437" s="1" t="s">
        <v>318</v>
      </c>
    </row>
    <row r="438">
      <c r="A438" s="1" t="s">
        <v>320</v>
      </c>
    </row>
    <row r="439">
      <c r="A439" s="1" t="s">
        <v>322</v>
      </c>
    </row>
    <row r="440">
      <c r="A440" s="1" t="s">
        <v>324</v>
      </c>
    </row>
    <row r="441">
      <c r="A441" s="1" t="s">
        <v>327</v>
      </c>
    </row>
    <row r="442">
      <c r="A442" s="1" t="s">
        <v>329</v>
      </c>
    </row>
    <row r="443">
      <c r="A443" s="1" t="s">
        <v>331</v>
      </c>
    </row>
    <row r="444">
      <c r="A444" s="1" t="s">
        <v>333</v>
      </c>
    </row>
    <row r="445">
      <c r="A445" s="1" t="s">
        <v>335</v>
      </c>
    </row>
    <row r="446">
      <c r="A446" s="1" t="s">
        <v>337</v>
      </c>
    </row>
    <row r="447">
      <c r="A447" s="1" t="s">
        <v>339</v>
      </c>
    </row>
    <row r="448">
      <c r="A448" s="1" t="s">
        <v>341</v>
      </c>
    </row>
    <row r="449">
      <c r="A449" s="1" t="s">
        <v>343</v>
      </c>
    </row>
    <row r="450">
      <c r="A450" s="1" t="s">
        <v>345</v>
      </c>
    </row>
    <row r="451">
      <c r="A451" s="1" t="s">
        <v>347</v>
      </c>
    </row>
    <row r="452">
      <c r="A452" s="1" t="s">
        <v>349</v>
      </c>
    </row>
    <row r="453">
      <c r="A453" s="1" t="s">
        <v>351</v>
      </c>
    </row>
    <row r="454">
      <c r="A454" s="1" t="s">
        <v>353</v>
      </c>
    </row>
    <row r="455">
      <c r="A455" s="1" t="s">
        <v>355</v>
      </c>
    </row>
    <row r="456">
      <c r="A456" s="1" t="s">
        <v>357</v>
      </c>
    </row>
    <row r="457">
      <c r="A457" s="1" t="s">
        <v>359</v>
      </c>
    </row>
    <row r="458">
      <c r="A458" s="1" t="s">
        <v>361</v>
      </c>
    </row>
    <row r="459">
      <c r="A459" s="1" t="s">
        <v>363</v>
      </c>
    </row>
    <row r="460">
      <c r="A460" s="1" t="s">
        <v>365</v>
      </c>
    </row>
    <row r="461">
      <c r="A461" s="1" t="s">
        <v>367</v>
      </c>
    </row>
    <row r="462">
      <c r="A462" s="1" t="s">
        <v>369</v>
      </c>
    </row>
    <row r="463">
      <c r="A463" s="1" t="s">
        <v>370</v>
      </c>
    </row>
    <row r="464">
      <c r="A464" s="1" t="s">
        <v>372</v>
      </c>
    </row>
    <row r="465">
      <c r="A465" s="1" t="s">
        <v>374</v>
      </c>
    </row>
    <row r="466">
      <c r="A466" s="1" t="s">
        <v>376</v>
      </c>
    </row>
    <row r="467">
      <c r="A467" s="1" t="s">
        <v>378</v>
      </c>
    </row>
    <row r="468">
      <c r="A468" s="1" t="s">
        <v>380</v>
      </c>
    </row>
    <row r="469">
      <c r="A469" s="1" t="s">
        <v>382</v>
      </c>
    </row>
    <row r="470">
      <c r="A470" s="1" t="s">
        <v>384</v>
      </c>
    </row>
    <row r="471">
      <c r="A471" s="1" t="s">
        <v>386</v>
      </c>
    </row>
    <row r="472">
      <c r="A472" s="1" t="s">
        <v>388</v>
      </c>
    </row>
    <row r="473">
      <c r="A473" s="1" t="s">
        <v>390</v>
      </c>
    </row>
    <row r="474">
      <c r="A474" s="1" t="s">
        <v>392</v>
      </c>
    </row>
    <row r="475">
      <c r="A475" s="1" t="s">
        <v>394</v>
      </c>
    </row>
    <row r="476">
      <c r="A476" s="1" t="s">
        <v>396</v>
      </c>
    </row>
    <row r="477">
      <c r="A477" s="1" t="s">
        <v>398</v>
      </c>
    </row>
    <row r="478">
      <c r="A478" s="1" t="s">
        <v>400</v>
      </c>
    </row>
    <row r="479">
      <c r="A479" s="1" t="s">
        <v>402</v>
      </c>
    </row>
    <row r="480">
      <c r="A480" s="1" t="s">
        <v>405</v>
      </c>
    </row>
    <row r="481">
      <c r="A481" s="1" t="s">
        <v>409</v>
      </c>
    </row>
    <row r="482">
      <c r="A482" s="1" t="s">
        <v>410</v>
      </c>
    </row>
    <row r="483">
      <c r="A483" s="1" t="s">
        <v>412</v>
      </c>
    </row>
    <row r="484">
      <c r="A484" s="1" t="s">
        <v>414</v>
      </c>
    </row>
    <row r="485">
      <c r="A485" s="1" t="s">
        <v>415</v>
      </c>
    </row>
    <row r="486">
      <c r="A486" s="1" t="s">
        <v>417</v>
      </c>
    </row>
    <row r="487">
      <c r="A487" s="1" t="s">
        <v>419</v>
      </c>
    </row>
    <row r="488">
      <c r="A488" s="1" t="s">
        <v>421</v>
      </c>
    </row>
    <row r="489">
      <c r="A489" s="1" t="s">
        <v>422</v>
      </c>
    </row>
    <row r="490">
      <c r="A490" s="1" t="s">
        <v>424</v>
      </c>
    </row>
    <row r="491">
      <c r="A491" s="1" t="s">
        <v>426</v>
      </c>
    </row>
    <row r="492">
      <c r="A492" s="1" t="s">
        <v>428</v>
      </c>
    </row>
    <row r="493">
      <c r="A493" s="1" t="s">
        <v>430</v>
      </c>
    </row>
    <row r="494">
      <c r="A494" s="1" t="s">
        <v>432</v>
      </c>
    </row>
    <row r="495">
      <c r="A495" s="1" t="s">
        <v>434</v>
      </c>
    </row>
    <row r="496">
      <c r="A496" s="1" t="s">
        <v>436</v>
      </c>
    </row>
    <row r="497">
      <c r="A497" s="1" t="s">
        <v>438</v>
      </c>
    </row>
    <row r="498">
      <c r="A498" s="1" t="s">
        <v>440</v>
      </c>
    </row>
    <row r="499">
      <c r="A499" s="1" t="s">
        <v>442</v>
      </c>
    </row>
    <row r="500">
      <c r="A500" s="1" t="s">
        <v>444</v>
      </c>
    </row>
    <row r="501">
      <c r="A501" s="1" t="s">
        <v>446</v>
      </c>
    </row>
    <row r="502">
      <c r="A502" s="1" t="s">
        <v>448</v>
      </c>
    </row>
    <row r="503">
      <c r="A503" s="1" t="s">
        <v>450</v>
      </c>
    </row>
    <row r="504">
      <c r="A504" s="1" t="s">
        <v>452</v>
      </c>
    </row>
    <row r="505">
      <c r="A505" s="1" t="s">
        <v>454</v>
      </c>
    </row>
    <row r="506">
      <c r="A506" s="1" t="s">
        <v>455</v>
      </c>
    </row>
    <row r="507">
      <c r="A507" s="1" t="s">
        <v>456</v>
      </c>
    </row>
    <row r="508">
      <c r="A508" s="1" t="s">
        <v>457</v>
      </c>
    </row>
    <row r="509">
      <c r="A509" s="1" t="s">
        <v>459</v>
      </c>
    </row>
    <row r="510">
      <c r="A510" s="1" t="s">
        <v>461</v>
      </c>
    </row>
    <row r="511">
      <c r="A511" s="1" t="s">
        <v>463</v>
      </c>
    </row>
    <row r="512">
      <c r="A512" s="1" t="s">
        <v>465</v>
      </c>
    </row>
    <row r="513">
      <c r="A513" s="1" t="s">
        <v>468</v>
      </c>
    </row>
    <row r="514">
      <c r="A514" s="1" t="s">
        <v>470</v>
      </c>
    </row>
    <row r="515">
      <c r="A515" s="1" t="s">
        <v>472</v>
      </c>
    </row>
    <row r="516">
      <c r="A516" s="1" t="s">
        <v>474</v>
      </c>
    </row>
    <row r="517">
      <c r="A517" s="1" t="s">
        <v>476</v>
      </c>
    </row>
    <row r="518">
      <c r="A518" s="1" t="s">
        <v>478</v>
      </c>
    </row>
    <row r="519">
      <c r="A519" s="1" t="s">
        <v>480</v>
      </c>
    </row>
    <row r="520">
      <c r="A520" s="1" t="s">
        <v>482</v>
      </c>
    </row>
    <row r="521">
      <c r="A521" s="1" t="s">
        <v>484</v>
      </c>
    </row>
    <row r="522">
      <c r="A522" s="1" t="s">
        <v>486</v>
      </c>
    </row>
    <row r="523">
      <c r="A523" s="1" t="s">
        <v>488</v>
      </c>
    </row>
    <row r="524">
      <c r="A524" s="1" t="s">
        <v>490</v>
      </c>
    </row>
    <row r="525">
      <c r="A525" s="1" t="s">
        <v>492</v>
      </c>
    </row>
    <row r="526">
      <c r="A526" s="1" t="s">
        <v>494</v>
      </c>
    </row>
    <row r="527">
      <c r="A527" s="1" t="s">
        <v>496</v>
      </c>
    </row>
    <row r="528">
      <c r="A528" s="1" t="s">
        <v>498</v>
      </c>
    </row>
    <row r="529">
      <c r="A529" s="1" t="s">
        <v>500</v>
      </c>
    </row>
    <row r="530">
      <c r="A530" s="1" t="s">
        <v>502</v>
      </c>
    </row>
    <row r="531">
      <c r="A531" s="1" t="s">
        <v>504</v>
      </c>
    </row>
    <row r="532">
      <c r="A532" s="1" t="s">
        <v>507</v>
      </c>
    </row>
    <row r="533">
      <c r="A533" s="1" t="s">
        <v>509</v>
      </c>
    </row>
    <row r="534">
      <c r="A534" s="1" t="s">
        <v>511</v>
      </c>
    </row>
    <row r="535">
      <c r="A535" s="1" t="s">
        <v>513</v>
      </c>
    </row>
    <row r="536">
      <c r="A536" s="1" t="s">
        <v>514</v>
      </c>
    </row>
    <row r="537">
      <c r="A537" s="1" t="s">
        <v>516</v>
      </c>
    </row>
    <row r="538">
      <c r="A538" s="1" t="s">
        <v>518</v>
      </c>
    </row>
    <row r="539">
      <c r="A539" s="1" t="s">
        <v>520</v>
      </c>
    </row>
    <row r="540">
      <c r="A540" s="1" t="s">
        <v>522</v>
      </c>
    </row>
    <row r="541">
      <c r="A541" s="1" t="s">
        <v>524</v>
      </c>
    </row>
    <row r="542">
      <c r="A542" s="1" t="s">
        <v>526</v>
      </c>
    </row>
    <row r="543">
      <c r="A543" s="1" t="s">
        <v>528</v>
      </c>
    </row>
    <row r="544">
      <c r="A544" s="1" t="s">
        <v>530</v>
      </c>
    </row>
    <row r="545">
      <c r="A545" s="1" t="s">
        <v>532</v>
      </c>
    </row>
    <row r="546">
      <c r="A546" s="1" t="s">
        <v>534</v>
      </c>
    </row>
    <row r="547">
      <c r="A547" s="1" t="s">
        <v>536</v>
      </c>
    </row>
    <row r="548">
      <c r="A548" s="1" t="s">
        <v>538</v>
      </c>
    </row>
    <row r="549">
      <c r="A549" s="1" t="s">
        <v>540</v>
      </c>
    </row>
    <row r="550">
      <c r="A550" s="1" t="s">
        <v>542</v>
      </c>
    </row>
    <row r="551">
      <c r="A551" s="1" t="s">
        <v>544</v>
      </c>
    </row>
    <row r="552">
      <c r="A552" s="1" t="s">
        <v>546</v>
      </c>
    </row>
    <row r="553">
      <c r="A553" s="1" t="s">
        <v>548</v>
      </c>
    </row>
    <row r="554">
      <c r="A554" s="1" t="s">
        <v>549</v>
      </c>
    </row>
    <row r="555">
      <c r="A555" s="1" t="s">
        <v>550</v>
      </c>
    </row>
    <row r="556">
      <c r="A556" s="1" t="s">
        <v>552</v>
      </c>
    </row>
    <row r="557">
      <c r="A557" s="1" t="s">
        <v>554</v>
      </c>
    </row>
    <row r="558">
      <c r="A558" s="1" t="s">
        <v>556</v>
      </c>
    </row>
    <row r="559">
      <c r="A559" s="1" t="s">
        <v>558</v>
      </c>
    </row>
    <row r="560">
      <c r="A560" s="1" t="s">
        <v>560</v>
      </c>
    </row>
    <row r="561">
      <c r="A561" s="1" t="s">
        <v>562</v>
      </c>
    </row>
    <row r="562">
      <c r="A562" s="1" t="s">
        <v>564</v>
      </c>
    </row>
    <row r="563">
      <c r="A563" s="1" t="s">
        <v>566</v>
      </c>
    </row>
    <row r="564">
      <c r="A564" s="1" t="s">
        <v>568</v>
      </c>
    </row>
    <row r="565">
      <c r="A565" s="1" t="s">
        <v>570</v>
      </c>
    </row>
    <row r="566">
      <c r="A566" s="1" t="s">
        <v>572</v>
      </c>
    </row>
    <row r="567">
      <c r="A567" s="1" t="s">
        <v>574</v>
      </c>
    </row>
    <row r="568">
      <c r="A568" s="1" t="s">
        <v>576</v>
      </c>
    </row>
    <row r="569">
      <c r="A569" s="1" t="s">
        <v>578</v>
      </c>
    </row>
    <row r="570">
      <c r="A570" s="1" t="s">
        <v>580</v>
      </c>
    </row>
    <row r="571">
      <c r="A571" s="1" t="s">
        <v>582</v>
      </c>
    </row>
    <row r="572">
      <c r="A572" s="1" t="s">
        <v>584</v>
      </c>
    </row>
    <row r="573">
      <c r="A573" s="1" t="s">
        <v>586</v>
      </c>
    </row>
    <row r="574">
      <c r="A574" s="1" t="s">
        <v>588</v>
      </c>
    </row>
    <row r="575">
      <c r="A575" s="1" t="s">
        <v>590</v>
      </c>
    </row>
    <row r="576">
      <c r="A576" s="1" t="s">
        <v>592</v>
      </c>
    </row>
    <row r="577">
      <c r="A577" s="1" t="s">
        <v>594</v>
      </c>
    </row>
    <row r="578">
      <c r="A578" s="1" t="s">
        <v>596</v>
      </c>
    </row>
    <row r="579">
      <c r="A579" s="1" t="s">
        <v>598</v>
      </c>
    </row>
    <row r="580">
      <c r="A580" s="1" t="s">
        <v>600</v>
      </c>
    </row>
    <row r="581">
      <c r="A581" s="1" t="s">
        <v>602</v>
      </c>
    </row>
    <row r="582">
      <c r="A582" s="1" t="s">
        <v>604</v>
      </c>
    </row>
    <row r="583">
      <c r="A583" s="1" t="s">
        <v>606</v>
      </c>
    </row>
    <row r="584">
      <c r="A584" s="1" t="s">
        <v>609</v>
      </c>
    </row>
    <row r="585">
      <c r="A585" s="1" t="s">
        <v>611</v>
      </c>
    </row>
    <row r="586">
      <c r="A586" s="1" t="s">
        <v>613</v>
      </c>
    </row>
    <row r="587">
      <c r="A587" s="1" t="s">
        <v>615</v>
      </c>
    </row>
    <row r="588">
      <c r="A588" s="1" t="s">
        <v>617</v>
      </c>
    </row>
    <row r="589">
      <c r="A589" s="1" t="s">
        <v>619</v>
      </c>
    </row>
    <row r="590">
      <c r="A590" s="1" t="s">
        <v>621</v>
      </c>
    </row>
    <row r="591">
      <c r="A591" s="1" t="s">
        <v>623</v>
      </c>
    </row>
    <row r="592">
      <c r="A592" s="1" t="s">
        <v>625</v>
      </c>
    </row>
    <row r="593">
      <c r="A593" s="1" t="s">
        <v>627</v>
      </c>
    </row>
    <row r="594">
      <c r="A594" s="1" t="s">
        <v>629</v>
      </c>
    </row>
    <row r="595">
      <c r="A595" s="1" t="s">
        <v>630</v>
      </c>
    </row>
    <row r="596">
      <c r="A596" s="1" t="s">
        <v>632</v>
      </c>
    </row>
    <row r="597">
      <c r="A597" s="1" t="s">
        <v>634</v>
      </c>
    </row>
    <row r="598">
      <c r="A598" s="1" t="s">
        <v>636</v>
      </c>
    </row>
    <row r="599">
      <c r="A599" s="1" t="s">
        <v>638</v>
      </c>
    </row>
    <row r="600">
      <c r="A600" s="1" t="s">
        <v>640</v>
      </c>
    </row>
    <row r="601">
      <c r="A601" s="1" t="s">
        <v>642</v>
      </c>
    </row>
    <row r="602">
      <c r="A602" s="1" t="s">
        <v>644</v>
      </c>
    </row>
    <row r="603">
      <c r="A603" s="1" t="s">
        <v>646</v>
      </c>
    </row>
    <row r="604">
      <c r="A604" s="1" t="s">
        <v>648</v>
      </c>
    </row>
    <row r="605">
      <c r="A605" s="1" t="s">
        <v>650</v>
      </c>
    </row>
    <row r="606">
      <c r="A606" s="1" t="s">
        <v>652</v>
      </c>
    </row>
    <row r="607">
      <c r="A607" s="1" t="s">
        <v>654</v>
      </c>
    </row>
    <row r="608">
      <c r="A608" s="1" t="s">
        <v>656</v>
      </c>
    </row>
    <row r="609">
      <c r="A609" s="1" t="s">
        <v>50</v>
      </c>
    </row>
    <row r="610">
      <c r="A610" s="1" t="s">
        <v>52</v>
      </c>
    </row>
    <row r="611">
      <c r="A611" s="1" t="s">
        <v>54</v>
      </c>
    </row>
    <row r="612">
      <c r="A612" s="1" t="s">
        <v>56</v>
      </c>
    </row>
    <row r="613">
      <c r="A613" s="1" t="s">
        <v>58</v>
      </c>
    </row>
    <row r="614">
      <c r="A614" s="1" t="s">
        <v>60</v>
      </c>
    </row>
    <row r="615">
      <c r="A615" s="1" t="s">
        <v>62</v>
      </c>
    </row>
    <row r="616">
      <c r="A616" s="1" t="s">
        <v>65</v>
      </c>
    </row>
    <row r="617">
      <c r="A617" s="1" t="s">
        <v>67</v>
      </c>
    </row>
    <row r="618">
      <c r="A618" s="1" t="s">
        <v>69</v>
      </c>
    </row>
    <row r="619">
      <c r="A619" s="1" t="s">
        <v>71</v>
      </c>
    </row>
    <row r="620">
      <c r="A620" s="1" t="s">
        <v>73</v>
      </c>
    </row>
    <row r="621">
      <c r="A621" s="1" t="s">
        <v>75</v>
      </c>
    </row>
    <row r="622">
      <c r="A622" s="1" t="s">
        <v>77</v>
      </c>
    </row>
    <row r="623">
      <c r="A623" s="1" t="s">
        <v>79</v>
      </c>
    </row>
    <row r="624">
      <c r="A624" s="1" t="s">
        <v>81</v>
      </c>
    </row>
    <row r="625">
      <c r="A625" s="1" t="s">
        <v>83</v>
      </c>
    </row>
    <row r="626">
      <c r="A626" s="1" t="s">
        <v>85</v>
      </c>
    </row>
    <row r="627">
      <c r="A627" s="1" t="s">
        <v>87</v>
      </c>
    </row>
    <row r="628">
      <c r="A628" s="1" t="s">
        <v>89</v>
      </c>
    </row>
    <row r="629">
      <c r="A629" s="1" t="s">
        <v>91</v>
      </c>
    </row>
    <row r="630">
      <c r="A630" s="1" t="s">
        <v>93</v>
      </c>
    </row>
    <row r="631">
      <c r="A631" s="1" t="s">
        <v>95</v>
      </c>
    </row>
    <row r="632">
      <c r="A632" s="1" t="s">
        <v>97</v>
      </c>
    </row>
    <row r="633">
      <c r="A633" s="1" t="s">
        <v>99</v>
      </c>
    </row>
    <row r="634">
      <c r="A634" s="1" t="s">
        <v>101</v>
      </c>
    </row>
    <row r="635">
      <c r="A635" s="1" t="s">
        <v>103</v>
      </c>
    </row>
    <row r="636">
      <c r="A636" s="1" t="s">
        <v>105</v>
      </c>
    </row>
    <row r="637">
      <c r="A637" s="1" t="s">
        <v>107</v>
      </c>
    </row>
    <row r="638">
      <c r="A638" s="1" t="s">
        <v>109</v>
      </c>
    </row>
    <row r="639">
      <c r="A639" s="1" t="s">
        <v>111</v>
      </c>
    </row>
    <row r="640">
      <c r="A640" s="1" t="s">
        <v>113</v>
      </c>
    </row>
    <row r="641">
      <c r="A641" s="1" t="s">
        <v>115</v>
      </c>
    </row>
    <row r="642">
      <c r="A642" s="1" t="s">
        <v>117</v>
      </c>
    </row>
    <row r="643">
      <c r="A643" s="1" t="s">
        <v>119</v>
      </c>
    </row>
    <row r="644">
      <c r="A644" s="1" t="s">
        <v>121</v>
      </c>
    </row>
    <row r="645">
      <c r="A645" s="1" t="s">
        <v>123</v>
      </c>
    </row>
    <row r="646">
      <c r="A646" s="1" t="s">
        <v>125</v>
      </c>
    </row>
    <row r="647">
      <c r="A647" s="1" t="s">
        <v>127</v>
      </c>
    </row>
    <row r="648">
      <c r="A648" s="1" t="s">
        <v>129</v>
      </c>
    </row>
    <row r="649">
      <c r="A649" s="1" t="s">
        <v>131</v>
      </c>
    </row>
    <row r="650">
      <c r="A650" s="1" t="s">
        <v>133</v>
      </c>
    </row>
    <row r="651">
      <c r="A651" s="1" t="s">
        <v>135</v>
      </c>
    </row>
    <row r="652">
      <c r="A652" s="1" t="s">
        <v>137</v>
      </c>
    </row>
    <row r="653">
      <c r="A653" s="1" t="s">
        <v>139</v>
      </c>
    </row>
    <row r="654">
      <c r="A654" s="1" t="s">
        <v>141</v>
      </c>
    </row>
    <row r="655">
      <c r="A655" s="1" t="s">
        <v>143</v>
      </c>
    </row>
    <row r="656">
      <c r="A656" s="1" t="s">
        <v>145</v>
      </c>
    </row>
    <row r="657">
      <c r="A657" s="1" t="s">
        <v>147</v>
      </c>
    </row>
    <row r="658">
      <c r="A658" s="1" t="s">
        <v>149</v>
      </c>
    </row>
    <row r="659">
      <c r="A659" s="1" t="s">
        <v>151</v>
      </c>
    </row>
    <row r="660">
      <c r="A660" s="1" t="s">
        <v>153</v>
      </c>
    </row>
    <row r="661">
      <c r="A661" s="1" t="s">
        <v>155</v>
      </c>
    </row>
    <row r="662">
      <c r="A662" s="1" t="s">
        <v>157</v>
      </c>
    </row>
    <row r="663">
      <c r="A663" s="1" t="s">
        <v>159</v>
      </c>
    </row>
    <row r="664">
      <c r="A664" s="1" t="s">
        <v>161</v>
      </c>
    </row>
    <row r="665">
      <c r="A665" s="1" t="s">
        <v>163</v>
      </c>
    </row>
    <row r="666">
      <c r="A666" s="1" t="s">
        <v>165</v>
      </c>
    </row>
    <row r="667">
      <c r="A667" s="1" t="s">
        <v>167</v>
      </c>
    </row>
    <row r="668">
      <c r="A668" s="1" t="s">
        <v>169</v>
      </c>
    </row>
    <row r="669">
      <c r="A669" s="1" t="s">
        <v>171</v>
      </c>
    </row>
    <row r="670">
      <c r="A670" s="1" t="s">
        <v>173</v>
      </c>
    </row>
    <row r="671">
      <c r="A671" s="1" t="s">
        <v>175</v>
      </c>
    </row>
    <row r="672">
      <c r="A672" s="1" t="s">
        <v>177</v>
      </c>
    </row>
    <row r="673">
      <c r="A673" s="1" t="s">
        <v>179</v>
      </c>
    </row>
    <row r="674">
      <c r="A674" s="1" t="s">
        <v>181</v>
      </c>
    </row>
    <row r="675">
      <c r="A675" s="1" t="s">
        <v>183</v>
      </c>
    </row>
    <row r="676">
      <c r="A676" s="1" t="s">
        <v>185</v>
      </c>
    </row>
    <row r="677">
      <c r="A677" s="1" t="s">
        <v>187</v>
      </c>
    </row>
    <row r="678">
      <c r="A678" s="1" t="s">
        <v>189</v>
      </c>
    </row>
    <row r="679">
      <c r="A679" s="1" t="s">
        <v>191</v>
      </c>
    </row>
    <row r="680">
      <c r="A680" s="1" t="s">
        <v>193</v>
      </c>
    </row>
    <row r="681">
      <c r="A681" s="1" t="s">
        <v>195</v>
      </c>
    </row>
    <row r="682">
      <c r="A682" s="1" t="s">
        <v>197</v>
      </c>
    </row>
    <row r="683">
      <c r="A683" s="1" t="s">
        <v>199</v>
      </c>
    </row>
    <row r="684">
      <c r="A684" s="1" t="s">
        <v>201</v>
      </c>
    </row>
    <row r="685">
      <c r="A685" s="1" t="s">
        <v>202</v>
      </c>
    </row>
    <row r="686">
      <c r="A686" s="1" t="s">
        <v>203</v>
      </c>
    </row>
    <row r="687">
      <c r="A687" s="1" t="s">
        <v>205</v>
      </c>
    </row>
    <row r="688">
      <c r="A688" s="1" t="s">
        <v>209</v>
      </c>
    </row>
    <row r="689">
      <c r="A689" s="1" t="s">
        <v>211</v>
      </c>
    </row>
    <row r="690">
      <c r="A690" s="1" t="s">
        <v>213</v>
      </c>
    </row>
    <row r="691">
      <c r="A691" s="1" t="s">
        <v>215</v>
      </c>
    </row>
    <row r="692">
      <c r="A692" s="1" t="s">
        <v>217</v>
      </c>
    </row>
    <row r="693">
      <c r="A693" s="1" t="s">
        <v>220</v>
      </c>
    </row>
    <row r="694">
      <c r="A694" s="1" t="s">
        <v>222</v>
      </c>
    </row>
    <row r="695">
      <c r="A695" s="1" t="s">
        <v>224</v>
      </c>
    </row>
    <row r="696">
      <c r="A696" s="1" t="s">
        <v>226</v>
      </c>
    </row>
    <row r="697">
      <c r="A697" s="1" t="s">
        <v>227</v>
      </c>
    </row>
    <row r="698">
      <c r="A698" s="1" t="s">
        <v>229</v>
      </c>
    </row>
    <row r="699">
      <c r="A699" s="1" t="s">
        <v>231</v>
      </c>
    </row>
    <row r="700">
      <c r="A700" s="1" t="s">
        <v>234</v>
      </c>
    </row>
    <row r="701">
      <c r="A701" s="1" t="s">
        <v>236</v>
      </c>
    </row>
    <row r="702">
      <c r="A702" s="1" t="s">
        <v>238</v>
      </c>
    </row>
    <row r="703">
      <c r="A703" s="1" t="s">
        <v>240</v>
      </c>
    </row>
    <row r="704">
      <c r="A704" s="1" t="s">
        <v>242</v>
      </c>
    </row>
    <row r="705">
      <c r="A705" s="1" t="s">
        <v>244</v>
      </c>
    </row>
    <row r="706">
      <c r="A706" s="1" t="s">
        <v>246</v>
      </c>
    </row>
    <row r="707">
      <c r="A707" s="1" t="s">
        <v>248</v>
      </c>
    </row>
    <row r="708">
      <c r="A708" s="1" t="s">
        <v>250</v>
      </c>
    </row>
    <row r="709">
      <c r="A709" s="1" t="s">
        <v>252</v>
      </c>
    </row>
    <row r="710">
      <c r="A710" s="1" t="s">
        <v>254</v>
      </c>
    </row>
    <row r="711">
      <c r="A711" s="1" t="s">
        <v>256</v>
      </c>
    </row>
    <row r="712">
      <c r="A712" s="1" t="s">
        <v>258</v>
      </c>
    </row>
    <row r="713">
      <c r="A713" s="1" t="s">
        <v>261</v>
      </c>
    </row>
    <row r="714">
      <c r="A714" s="1" t="s">
        <v>263</v>
      </c>
    </row>
    <row r="715">
      <c r="A715" s="1" t="s">
        <v>265</v>
      </c>
    </row>
    <row r="716">
      <c r="A716" s="1" t="s">
        <v>267</v>
      </c>
    </row>
    <row r="717">
      <c r="A717" s="1" t="s">
        <v>269</v>
      </c>
    </row>
    <row r="718">
      <c r="A718" s="1" t="s">
        <v>271</v>
      </c>
    </row>
    <row r="719">
      <c r="A719" s="1" t="s">
        <v>273</v>
      </c>
    </row>
    <row r="720">
      <c r="A720" s="1" t="s">
        <v>275</v>
      </c>
    </row>
    <row r="721">
      <c r="A721" s="1" t="s">
        <v>277</v>
      </c>
    </row>
    <row r="722">
      <c r="A722" s="1" t="s">
        <v>279</v>
      </c>
    </row>
    <row r="723">
      <c r="A723" s="1" t="s">
        <v>281</v>
      </c>
    </row>
    <row r="724">
      <c r="A724" s="1" t="s">
        <v>283</v>
      </c>
    </row>
    <row r="725">
      <c r="A725" s="1" t="s">
        <v>285</v>
      </c>
    </row>
    <row r="726">
      <c r="A726" s="1" t="s">
        <v>287</v>
      </c>
    </row>
    <row r="727">
      <c r="A727" s="1" t="s">
        <v>289</v>
      </c>
    </row>
    <row r="728">
      <c r="A728" s="1" t="s">
        <v>291</v>
      </c>
    </row>
    <row r="729">
      <c r="A729" s="1" t="s">
        <v>294</v>
      </c>
    </row>
    <row r="730">
      <c r="A730" s="1" t="s">
        <v>296</v>
      </c>
    </row>
    <row r="731">
      <c r="A731" s="1" t="s">
        <v>298</v>
      </c>
    </row>
    <row r="732">
      <c r="A732" s="1" t="s">
        <v>300</v>
      </c>
    </row>
    <row r="733">
      <c r="A733" s="1" t="s">
        <v>302</v>
      </c>
    </row>
    <row r="734">
      <c r="A734" s="1" t="s">
        <v>304</v>
      </c>
    </row>
    <row r="735">
      <c r="A735" s="1" t="s">
        <v>306</v>
      </c>
    </row>
    <row r="736">
      <c r="A736" s="1" t="s">
        <v>308</v>
      </c>
    </row>
    <row r="737">
      <c r="A737" s="1" t="s">
        <v>310</v>
      </c>
    </row>
    <row r="738">
      <c r="A738" s="1" t="s">
        <v>312</v>
      </c>
    </row>
    <row r="739">
      <c r="A739" s="1" t="s">
        <v>314</v>
      </c>
    </row>
    <row r="740">
      <c r="A740" s="1" t="s">
        <v>316</v>
      </c>
    </row>
    <row r="741">
      <c r="A741" s="1" t="s">
        <v>318</v>
      </c>
    </row>
    <row r="742">
      <c r="A742" s="1" t="s">
        <v>320</v>
      </c>
    </row>
    <row r="743">
      <c r="A743" s="1" t="s">
        <v>322</v>
      </c>
    </row>
    <row r="744">
      <c r="A744" s="1" t="s">
        <v>324</v>
      </c>
    </row>
    <row r="745">
      <c r="A745" s="1" t="s">
        <v>327</v>
      </c>
    </row>
    <row r="746">
      <c r="A746" s="1" t="s">
        <v>329</v>
      </c>
    </row>
    <row r="747">
      <c r="A747" s="1" t="s">
        <v>331</v>
      </c>
    </row>
    <row r="748">
      <c r="A748" s="1" t="s">
        <v>333</v>
      </c>
    </row>
    <row r="749">
      <c r="A749" s="1" t="s">
        <v>335</v>
      </c>
    </row>
    <row r="750">
      <c r="A750" s="1" t="s">
        <v>337</v>
      </c>
    </row>
    <row r="751">
      <c r="A751" s="1" t="s">
        <v>339</v>
      </c>
    </row>
    <row r="752">
      <c r="A752" s="1" t="s">
        <v>341</v>
      </c>
    </row>
    <row r="753">
      <c r="A753" s="1" t="s">
        <v>343</v>
      </c>
    </row>
    <row r="754">
      <c r="A754" s="1" t="s">
        <v>345</v>
      </c>
    </row>
    <row r="755">
      <c r="A755" s="1" t="s">
        <v>347</v>
      </c>
    </row>
    <row r="756">
      <c r="A756" s="1" t="s">
        <v>349</v>
      </c>
    </row>
    <row r="757">
      <c r="A757" s="1" t="s">
        <v>351</v>
      </c>
    </row>
    <row r="758">
      <c r="A758" s="1" t="s">
        <v>353</v>
      </c>
    </row>
    <row r="759">
      <c r="A759" s="1" t="s">
        <v>355</v>
      </c>
    </row>
    <row r="760">
      <c r="A760" s="1" t="s">
        <v>357</v>
      </c>
    </row>
    <row r="761">
      <c r="A761" s="1" t="s">
        <v>359</v>
      </c>
    </row>
    <row r="762">
      <c r="A762" s="1" t="s">
        <v>361</v>
      </c>
    </row>
    <row r="763">
      <c r="A763" s="1" t="s">
        <v>363</v>
      </c>
    </row>
    <row r="764">
      <c r="A764" s="1" t="s">
        <v>365</v>
      </c>
    </row>
    <row r="765">
      <c r="A765" s="1" t="s">
        <v>367</v>
      </c>
    </row>
    <row r="766">
      <c r="A766" s="1" t="s">
        <v>369</v>
      </c>
    </row>
    <row r="767">
      <c r="A767" s="1" t="s">
        <v>370</v>
      </c>
    </row>
    <row r="768">
      <c r="A768" s="1" t="s">
        <v>372</v>
      </c>
    </row>
    <row r="769">
      <c r="A769" s="1" t="s">
        <v>374</v>
      </c>
    </row>
    <row r="770">
      <c r="A770" s="1" t="s">
        <v>376</v>
      </c>
    </row>
    <row r="771">
      <c r="A771" s="1" t="s">
        <v>378</v>
      </c>
    </row>
    <row r="772">
      <c r="A772" s="1" t="s">
        <v>380</v>
      </c>
    </row>
    <row r="773">
      <c r="A773" s="1" t="s">
        <v>382</v>
      </c>
    </row>
    <row r="774">
      <c r="A774" s="1" t="s">
        <v>384</v>
      </c>
    </row>
    <row r="775">
      <c r="A775" s="1" t="s">
        <v>386</v>
      </c>
    </row>
    <row r="776">
      <c r="A776" s="1" t="s">
        <v>388</v>
      </c>
    </row>
    <row r="777">
      <c r="A777" s="1" t="s">
        <v>390</v>
      </c>
    </row>
    <row r="778">
      <c r="A778" s="1" t="s">
        <v>392</v>
      </c>
    </row>
    <row r="779">
      <c r="A779" s="1" t="s">
        <v>394</v>
      </c>
    </row>
    <row r="780">
      <c r="A780" s="1" t="s">
        <v>396</v>
      </c>
    </row>
    <row r="781">
      <c r="A781" s="1" t="s">
        <v>398</v>
      </c>
    </row>
    <row r="782">
      <c r="A782" s="1" t="s">
        <v>400</v>
      </c>
    </row>
    <row r="783">
      <c r="A783" s="1" t="s">
        <v>402</v>
      </c>
    </row>
    <row r="784">
      <c r="A784" s="1" t="s">
        <v>405</v>
      </c>
    </row>
    <row r="785">
      <c r="A785" s="1" t="s">
        <v>409</v>
      </c>
    </row>
    <row r="786">
      <c r="A786" s="1" t="s">
        <v>410</v>
      </c>
    </row>
    <row r="787">
      <c r="A787" s="1" t="s">
        <v>412</v>
      </c>
    </row>
    <row r="788">
      <c r="A788" s="1" t="s">
        <v>414</v>
      </c>
    </row>
    <row r="789">
      <c r="A789" s="1" t="s">
        <v>415</v>
      </c>
    </row>
    <row r="790">
      <c r="A790" s="1" t="s">
        <v>417</v>
      </c>
    </row>
    <row r="791">
      <c r="A791" s="1" t="s">
        <v>419</v>
      </c>
    </row>
    <row r="792">
      <c r="A792" s="1" t="s">
        <v>421</v>
      </c>
    </row>
    <row r="793">
      <c r="A793" s="1" t="s">
        <v>422</v>
      </c>
    </row>
    <row r="794">
      <c r="A794" s="1" t="s">
        <v>424</v>
      </c>
    </row>
    <row r="795">
      <c r="A795" s="1" t="s">
        <v>426</v>
      </c>
    </row>
    <row r="796">
      <c r="A796" s="1" t="s">
        <v>428</v>
      </c>
    </row>
    <row r="797">
      <c r="A797" s="1" t="s">
        <v>430</v>
      </c>
    </row>
    <row r="798">
      <c r="A798" s="1" t="s">
        <v>432</v>
      </c>
    </row>
    <row r="799">
      <c r="A799" s="1" t="s">
        <v>434</v>
      </c>
    </row>
    <row r="800">
      <c r="A800" s="1" t="s">
        <v>436</v>
      </c>
    </row>
    <row r="801">
      <c r="A801" s="1" t="s">
        <v>438</v>
      </c>
    </row>
    <row r="802">
      <c r="A802" s="1" t="s">
        <v>440</v>
      </c>
    </row>
    <row r="803">
      <c r="A803" s="1" t="s">
        <v>442</v>
      </c>
    </row>
    <row r="804">
      <c r="A804" s="1" t="s">
        <v>444</v>
      </c>
    </row>
    <row r="805">
      <c r="A805" s="1" t="s">
        <v>446</v>
      </c>
    </row>
    <row r="806">
      <c r="A806" s="1" t="s">
        <v>448</v>
      </c>
    </row>
    <row r="807">
      <c r="A807" s="1" t="s">
        <v>450</v>
      </c>
    </row>
    <row r="808">
      <c r="A808" s="1" t="s">
        <v>452</v>
      </c>
    </row>
    <row r="809">
      <c r="A809" s="1" t="s">
        <v>454</v>
      </c>
    </row>
    <row r="810">
      <c r="A810" s="1" t="s">
        <v>455</v>
      </c>
    </row>
    <row r="811">
      <c r="A811" s="1" t="s">
        <v>456</v>
      </c>
    </row>
    <row r="812">
      <c r="A812" s="1" t="s">
        <v>457</v>
      </c>
    </row>
    <row r="813">
      <c r="A813" s="1" t="s">
        <v>459</v>
      </c>
    </row>
    <row r="814">
      <c r="A814" s="1" t="s">
        <v>461</v>
      </c>
    </row>
    <row r="815">
      <c r="A815" s="1" t="s">
        <v>463</v>
      </c>
    </row>
    <row r="816">
      <c r="A816" s="1" t="s">
        <v>465</v>
      </c>
    </row>
    <row r="817">
      <c r="A817" s="1" t="s">
        <v>468</v>
      </c>
    </row>
    <row r="818">
      <c r="A818" s="1" t="s">
        <v>470</v>
      </c>
    </row>
    <row r="819">
      <c r="A819" s="1" t="s">
        <v>472</v>
      </c>
    </row>
    <row r="820">
      <c r="A820" s="1" t="s">
        <v>474</v>
      </c>
    </row>
    <row r="821">
      <c r="A821" s="1" t="s">
        <v>476</v>
      </c>
    </row>
    <row r="822">
      <c r="A822" s="1" t="s">
        <v>478</v>
      </c>
    </row>
    <row r="823">
      <c r="A823" s="1" t="s">
        <v>480</v>
      </c>
    </row>
    <row r="824">
      <c r="A824" s="1" t="s">
        <v>482</v>
      </c>
    </row>
    <row r="825">
      <c r="A825" s="1" t="s">
        <v>484</v>
      </c>
    </row>
    <row r="826">
      <c r="A826" s="1" t="s">
        <v>486</v>
      </c>
    </row>
    <row r="827">
      <c r="A827" s="1" t="s">
        <v>488</v>
      </c>
    </row>
    <row r="828">
      <c r="A828" s="1" t="s">
        <v>490</v>
      </c>
    </row>
    <row r="829">
      <c r="A829" s="1" t="s">
        <v>492</v>
      </c>
    </row>
    <row r="830">
      <c r="A830" s="1" t="s">
        <v>494</v>
      </c>
    </row>
    <row r="831">
      <c r="A831" s="1" t="s">
        <v>496</v>
      </c>
    </row>
    <row r="832">
      <c r="A832" s="1" t="s">
        <v>498</v>
      </c>
    </row>
    <row r="833">
      <c r="A833" s="1" t="s">
        <v>500</v>
      </c>
    </row>
    <row r="834">
      <c r="A834" s="1" t="s">
        <v>502</v>
      </c>
    </row>
    <row r="835">
      <c r="A835" s="1" t="s">
        <v>504</v>
      </c>
    </row>
    <row r="836">
      <c r="A836" s="1" t="s">
        <v>507</v>
      </c>
    </row>
    <row r="837">
      <c r="A837" s="1" t="s">
        <v>509</v>
      </c>
    </row>
    <row r="838">
      <c r="A838" s="1" t="s">
        <v>511</v>
      </c>
    </row>
    <row r="839">
      <c r="A839" s="1" t="s">
        <v>513</v>
      </c>
    </row>
    <row r="840">
      <c r="A840" s="1" t="s">
        <v>514</v>
      </c>
    </row>
    <row r="841">
      <c r="A841" s="1" t="s">
        <v>516</v>
      </c>
    </row>
    <row r="842">
      <c r="A842" s="1" t="s">
        <v>518</v>
      </c>
    </row>
    <row r="843">
      <c r="A843" s="1" t="s">
        <v>520</v>
      </c>
    </row>
    <row r="844">
      <c r="A844" s="1" t="s">
        <v>522</v>
      </c>
    </row>
    <row r="845">
      <c r="A845" s="1" t="s">
        <v>524</v>
      </c>
    </row>
    <row r="846">
      <c r="A846" s="1" t="s">
        <v>526</v>
      </c>
    </row>
    <row r="847">
      <c r="A847" s="1" t="s">
        <v>528</v>
      </c>
    </row>
    <row r="848">
      <c r="A848" s="1" t="s">
        <v>530</v>
      </c>
    </row>
    <row r="849">
      <c r="A849" s="1" t="s">
        <v>532</v>
      </c>
    </row>
    <row r="850">
      <c r="A850" s="1" t="s">
        <v>534</v>
      </c>
    </row>
    <row r="851">
      <c r="A851" s="1" t="s">
        <v>536</v>
      </c>
    </row>
    <row r="852">
      <c r="A852" s="1" t="s">
        <v>538</v>
      </c>
    </row>
    <row r="853">
      <c r="A853" s="1" t="s">
        <v>540</v>
      </c>
    </row>
    <row r="854">
      <c r="A854" s="1" t="s">
        <v>542</v>
      </c>
    </row>
    <row r="855">
      <c r="A855" s="1" t="s">
        <v>544</v>
      </c>
    </row>
    <row r="856">
      <c r="A856" s="1" t="s">
        <v>546</v>
      </c>
    </row>
    <row r="857">
      <c r="A857" s="1" t="s">
        <v>548</v>
      </c>
    </row>
    <row r="858">
      <c r="A858" s="1" t="s">
        <v>549</v>
      </c>
    </row>
    <row r="859">
      <c r="A859" s="1" t="s">
        <v>550</v>
      </c>
    </row>
    <row r="860">
      <c r="A860" s="1" t="s">
        <v>552</v>
      </c>
    </row>
    <row r="861">
      <c r="A861" s="1" t="s">
        <v>554</v>
      </c>
    </row>
    <row r="862">
      <c r="A862" s="1" t="s">
        <v>556</v>
      </c>
    </row>
    <row r="863">
      <c r="A863" s="1" t="s">
        <v>558</v>
      </c>
    </row>
    <row r="864">
      <c r="A864" s="1" t="s">
        <v>560</v>
      </c>
    </row>
    <row r="865">
      <c r="A865" s="1" t="s">
        <v>562</v>
      </c>
    </row>
    <row r="866">
      <c r="A866" s="1" t="s">
        <v>564</v>
      </c>
    </row>
    <row r="867">
      <c r="A867" s="1" t="s">
        <v>566</v>
      </c>
    </row>
    <row r="868">
      <c r="A868" s="1" t="s">
        <v>568</v>
      </c>
    </row>
    <row r="869">
      <c r="A869" s="1" t="s">
        <v>570</v>
      </c>
    </row>
    <row r="870">
      <c r="A870" s="1" t="s">
        <v>572</v>
      </c>
    </row>
    <row r="871">
      <c r="A871" s="1" t="s">
        <v>574</v>
      </c>
    </row>
    <row r="872">
      <c r="A872" s="1" t="s">
        <v>576</v>
      </c>
    </row>
    <row r="873">
      <c r="A873" s="1" t="s">
        <v>578</v>
      </c>
    </row>
    <row r="874">
      <c r="A874" s="1" t="s">
        <v>580</v>
      </c>
    </row>
    <row r="875">
      <c r="A875" s="1" t="s">
        <v>582</v>
      </c>
    </row>
    <row r="876">
      <c r="A876" s="1" t="s">
        <v>584</v>
      </c>
    </row>
    <row r="877">
      <c r="A877" s="1" t="s">
        <v>586</v>
      </c>
    </row>
    <row r="878">
      <c r="A878" s="1" t="s">
        <v>588</v>
      </c>
    </row>
    <row r="879">
      <c r="A879" s="1" t="s">
        <v>590</v>
      </c>
    </row>
    <row r="880">
      <c r="A880" s="1" t="s">
        <v>592</v>
      </c>
    </row>
    <row r="881">
      <c r="A881" s="1" t="s">
        <v>594</v>
      </c>
    </row>
    <row r="882">
      <c r="A882" s="1" t="s">
        <v>596</v>
      </c>
    </row>
    <row r="883">
      <c r="A883" s="1" t="s">
        <v>598</v>
      </c>
    </row>
    <row r="884">
      <c r="A884" s="1" t="s">
        <v>600</v>
      </c>
    </row>
    <row r="885">
      <c r="A885" s="1" t="s">
        <v>602</v>
      </c>
    </row>
    <row r="886">
      <c r="A886" s="1" t="s">
        <v>604</v>
      </c>
    </row>
    <row r="887">
      <c r="A887" s="1" t="s">
        <v>606</v>
      </c>
    </row>
    <row r="888">
      <c r="A888" s="1" t="s">
        <v>609</v>
      </c>
    </row>
    <row r="889">
      <c r="A889" s="1" t="s">
        <v>611</v>
      </c>
    </row>
    <row r="890">
      <c r="A890" s="1" t="s">
        <v>613</v>
      </c>
    </row>
    <row r="891">
      <c r="A891" s="1" t="s">
        <v>615</v>
      </c>
    </row>
    <row r="892">
      <c r="A892" s="1" t="s">
        <v>617</v>
      </c>
    </row>
    <row r="893">
      <c r="A893" s="1" t="s">
        <v>619</v>
      </c>
    </row>
    <row r="894">
      <c r="A894" s="1" t="s">
        <v>621</v>
      </c>
    </row>
    <row r="895">
      <c r="A895" s="1" t="s">
        <v>623</v>
      </c>
    </row>
    <row r="896">
      <c r="A896" s="1" t="s">
        <v>625</v>
      </c>
    </row>
    <row r="897">
      <c r="A897" s="1" t="s">
        <v>627</v>
      </c>
    </row>
    <row r="898">
      <c r="A898" s="1" t="s">
        <v>629</v>
      </c>
    </row>
    <row r="899">
      <c r="A899" s="1" t="s">
        <v>630</v>
      </c>
    </row>
    <row r="900">
      <c r="A900" s="1" t="s">
        <v>632</v>
      </c>
    </row>
    <row r="901">
      <c r="A901" s="1" t="s">
        <v>634</v>
      </c>
    </row>
    <row r="902">
      <c r="A902" s="1" t="s">
        <v>636</v>
      </c>
    </row>
    <row r="903">
      <c r="A903" s="1" t="s">
        <v>638</v>
      </c>
    </row>
    <row r="904">
      <c r="A904" s="1" t="s">
        <v>640</v>
      </c>
    </row>
    <row r="905">
      <c r="A905" s="1" t="s">
        <v>642</v>
      </c>
    </row>
    <row r="906">
      <c r="A906" s="1" t="s">
        <v>644</v>
      </c>
    </row>
    <row r="907">
      <c r="A907" s="1" t="s">
        <v>646</v>
      </c>
    </row>
    <row r="908">
      <c r="A908" s="1" t="s">
        <v>648</v>
      </c>
    </row>
    <row r="909">
      <c r="A909" s="1" t="s">
        <v>650</v>
      </c>
    </row>
    <row r="910">
      <c r="A910" s="1" t="s">
        <v>652</v>
      </c>
    </row>
    <row r="911">
      <c r="A911" s="1" t="s">
        <v>654</v>
      </c>
    </row>
    <row r="912">
      <c r="A912" s="1" t="s">
        <v>656</v>
      </c>
    </row>
  </sheetData>
  <drawing r:id="rId1"/>
</worksheet>
</file>