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tables/table7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59ee4755274c001/Documents/DIME Proj/"/>
    </mc:Choice>
  </mc:AlternateContent>
  <xr:revisionPtr revIDLastSave="0" documentId="8_{50C2F96B-6569-4062-8BA2-2E64978345D9}" xr6:coauthVersionLast="47" xr6:coauthVersionMax="47" xr10:uidLastSave="{00000000-0000-0000-0000-000000000000}"/>
  <bookViews>
    <workbookView xWindow="10" yWindow="10" windowWidth="19180" windowHeight="10060" tabRatio="744" xr2:uid="{6BA46E57-1AEB-2F48-B859-B055AE760EE6}"/>
  </bookViews>
  <sheets>
    <sheet name="Pre-Survey Full Set" sheetId="2" r:id="rId1"/>
    <sheet name="Post-Survey Full Set" sheetId="4" r:id="rId2"/>
    <sheet name="Post-Survey Pivots" sheetId="9" state="hidden" r:id="rId3"/>
    <sheet name="Survey Summary Table Unmatched" sheetId="5" state="hidden" r:id="rId4"/>
    <sheet name="Pre-Survey Matched Set (36)" sheetId="6" state="hidden" r:id="rId5"/>
    <sheet name="Post-Survey Matched Set (36)" sheetId="7" state="hidden" r:id="rId6"/>
    <sheet name="Matched Set Comparison (36)" sheetId="8" state="hidden" r:id="rId7"/>
    <sheet name="Matched Set (44)" sheetId="17" r:id="rId8"/>
    <sheet name="PrePost-Survey Full Set" sheetId="18" r:id="rId9"/>
    <sheet name="Question Codes" sheetId="10" state="hidden" r:id="rId10"/>
    <sheet name="Incomplete Pre-Survey Responses" sheetId="1" state="hidden" r:id="rId11"/>
    <sheet name="Incomplete Post-Survey Response" sheetId="16" state="hidden" r:id="rId12"/>
  </sheets>
  <definedNames>
    <definedName name="ExternalData_1" localSheetId="7" hidden="1">'Matched Set (44)'!$A$1:$CC$103</definedName>
    <definedName name="ExternalData_1" localSheetId="6" hidden="1">'Matched Set Comparison (36)'!$A$1:$AM$53</definedName>
    <definedName name="ExternalData_1" localSheetId="1" hidden="1">'Post-Survey Full Set'!$A$1:$AU$71</definedName>
    <definedName name="ExternalData_1" localSheetId="5" hidden="1">'Post-Survey Matched Set (36)'!$A$1:$AR$51</definedName>
    <definedName name="ExternalData_1" localSheetId="8" hidden="1">'PrePost-Survey Full Set'!$A$1:$AR$104</definedName>
    <definedName name="ExternalData_1" localSheetId="4" hidden="1">'Pre-Survey Matched Set (36)'!$A$1:$AR$66</definedName>
  </definedNames>
  <calcPr calcId="191029"/>
  <pivotCaches>
    <pivotCache cacheId="0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6" i="18" l="1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142" i="18"/>
  <c r="H143" i="18"/>
  <c r="H144" i="18"/>
  <c r="H145" i="18"/>
  <c r="H146" i="18"/>
  <c r="H147" i="18"/>
  <c r="H148" i="18"/>
  <c r="H149" i="18"/>
  <c r="H150" i="18"/>
  <c r="H151" i="18"/>
  <c r="H152" i="18"/>
  <c r="H153" i="18"/>
  <c r="H154" i="18"/>
  <c r="H155" i="18"/>
  <c r="H156" i="18"/>
  <c r="H157" i="18"/>
  <c r="H158" i="18"/>
  <c r="H159" i="18"/>
  <c r="H160" i="18"/>
  <c r="H161" i="18"/>
  <c r="H162" i="18"/>
  <c r="H163" i="18"/>
  <c r="H164" i="18"/>
  <c r="H165" i="18"/>
  <c r="H166" i="18"/>
  <c r="H167" i="18"/>
  <c r="H168" i="18"/>
  <c r="H169" i="18"/>
  <c r="H170" i="18"/>
  <c r="H171" i="18"/>
  <c r="H172" i="18"/>
  <c r="H105" i="18"/>
  <c r="AF172" i="18"/>
  <c r="AD172" i="18"/>
  <c r="Q172" i="18"/>
  <c r="AJ171" i="18"/>
  <c r="AH171" i="18"/>
  <c r="AF171" i="18"/>
  <c r="AD171" i="18"/>
  <c r="Q171" i="18"/>
  <c r="AJ170" i="18"/>
  <c r="AH170" i="18"/>
  <c r="AF170" i="18"/>
  <c r="AD170" i="18"/>
  <c r="Q170" i="18"/>
  <c r="AJ169" i="18"/>
  <c r="AH169" i="18"/>
  <c r="AF169" i="18"/>
  <c r="AD169" i="18"/>
  <c r="Q169" i="18"/>
  <c r="AJ168" i="18"/>
  <c r="AH168" i="18"/>
  <c r="AF168" i="18"/>
  <c r="AD168" i="18"/>
  <c r="Q168" i="18"/>
  <c r="AJ167" i="18"/>
  <c r="AH167" i="18"/>
  <c r="AF167" i="18"/>
  <c r="AD167" i="18"/>
  <c r="Q167" i="18"/>
  <c r="AJ166" i="18"/>
  <c r="AH166" i="18"/>
  <c r="AF166" i="18"/>
  <c r="AD166" i="18"/>
  <c r="Q166" i="18"/>
  <c r="AJ165" i="18"/>
  <c r="AH165" i="18"/>
  <c r="AF165" i="18"/>
  <c r="AD165" i="18"/>
  <c r="Q165" i="18"/>
  <c r="AJ164" i="18"/>
  <c r="AH164" i="18"/>
  <c r="AF164" i="18"/>
  <c r="AD164" i="18"/>
  <c r="Q164" i="18"/>
  <c r="AJ163" i="18"/>
  <c r="AH163" i="18"/>
  <c r="AF163" i="18"/>
  <c r="AD163" i="18"/>
  <c r="Q163" i="18"/>
  <c r="AJ162" i="18"/>
  <c r="AH162" i="18"/>
  <c r="AF162" i="18"/>
  <c r="AD162" i="18"/>
  <c r="Q162" i="18"/>
  <c r="AJ161" i="18"/>
  <c r="AH161" i="18"/>
  <c r="AF161" i="18"/>
  <c r="AD161" i="18"/>
  <c r="Q161" i="18"/>
  <c r="AJ160" i="18"/>
  <c r="AH160" i="18"/>
  <c r="AF160" i="18"/>
  <c r="AD160" i="18"/>
  <c r="Q160" i="18"/>
  <c r="AJ159" i="18"/>
  <c r="AH159" i="18"/>
  <c r="AF159" i="18"/>
  <c r="AD159" i="18"/>
  <c r="Q159" i="18"/>
  <c r="AJ158" i="18"/>
  <c r="AH158" i="18"/>
  <c r="AF158" i="18"/>
  <c r="AD158" i="18"/>
  <c r="Q158" i="18"/>
  <c r="AJ157" i="18"/>
  <c r="AH157" i="18"/>
  <c r="AF157" i="18"/>
  <c r="AD157" i="18"/>
  <c r="Q157" i="18"/>
  <c r="AJ156" i="18"/>
  <c r="AH156" i="18"/>
  <c r="AF156" i="18"/>
  <c r="AD156" i="18"/>
  <c r="Q156" i="18"/>
  <c r="AJ155" i="18"/>
  <c r="AH155" i="18"/>
  <c r="AF155" i="18"/>
  <c r="AD155" i="18"/>
  <c r="Q155" i="18"/>
  <c r="AJ154" i="18"/>
  <c r="AH154" i="18"/>
  <c r="AF154" i="18"/>
  <c r="AD154" i="18"/>
  <c r="Q154" i="18"/>
  <c r="AJ153" i="18"/>
  <c r="AH153" i="18"/>
  <c r="AF153" i="18"/>
  <c r="AD153" i="18"/>
  <c r="Q153" i="18"/>
  <c r="AJ152" i="18"/>
  <c r="AH152" i="18"/>
  <c r="AF152" i="18"/>
  <c r="AD152" i="18"/>
  <c r="Q152" i="18"/>
  <c r="AJ151" i="18"/>
  <c r="AH151" i="18"/>
  <c r="AF151" i="18"/>
  <c r="AD151" i="18"/>
  <c r="Q151" i="18"/>
  <c r="AJ150" i="18"/>
  <c r="AH150" i="18"/>
  <c r="AF150" i="18"/>
  <c r="AD150" i="18"/>
  <c r="Q150" i="18"/>
  <c r="AJ149" i="18"/>
  <c r="AH149" i="18"/>
  <c r="AF149" i="18"/>
  <c r="AD149" i="18"/>
  <c r="Q149" i="18"/>
  <c r="AJ148" i="18"/>
  <c r="AH148" i="18"/>
  <c r="AF148" i="18"/>
  <c r="AD148" i="18"/>
  <c r="Q148" i="18"/>
  <c r="AJ147" i="18"/>
  <c r="AH147" i="18"/>
  <c r="AF147" i="18"/>
  <c r="AD147" i="18"/>
  <c r="Q147" i="18"/>
  <c r="AJ146" i="18"/>
  <c r="AH146" i="18"/>
  <c r="AF146" i="18"/>
  <c r="AD146" i="18"/>
  <c r="Q146" i="18"/>
  <c r="AJ145" i="18"/>
  <c r="AH145" i="18"/>
  <c r="AF145" i="18"/>
  <c r="AD145" i="18"/>
  <c r="Q145" i="18"/>
  <c r="AJ144" i="18"/>
  <c r="AH144" i="18"/>
  <c r="AF144" i="18"/>
  <c r="AD144" i="18"/>
  <c r="Q144" i="18"/>
  <c r="AJ143" i="18"/>
  <c r="AH143" i="18"/>
  <c r="AF143" i="18"/>
  <c r="AD143" i="18"/>
  <c r="Q143" i="18"/>
  <c r="AJ142" i="18"/>
  <c r="AH142" i="18"/>
  <c r="AF142" i="18"/>
  <c r="AD142" i="18"/>
  <c r="Q142" i="18"/>
  <c r="AJ141" i="18"/>
  <c r="AH141" i="18"/>
  <c r="AF141" i="18"/>
  <c r="AD141" i="18"/>
  <c r="Q141" i="18"/>
  <c r="AJ140" i="18"/>
  <c r="AH140" i="18"/>
  <c r="AF140" i="18"/>
  <c r="AD140" i="18"/>
  <c r="Q140" i="18"/>
  <c r="AJ139" i="18"/>
  <c r="AH139" i="18"/>
  <c r="AF139" i="18"/>
  <c r="AD139" i="18"/>
  <c r="Q139" i="18"/>
  <c r="AJ138" i="18"/>
  <c r="AH138" i="18"/>
  <c r="AF138" i="18"/>
  <c r="AD138" i="18"/>
  <c r="Q138" i="18"/>
  <c r="AJ137" i="18"/>
  <c r="AH137" i="18"/>
  <c r="AF137" i="18"/>
  <c r="AD137" i="18"/>
  <c r="Q137" i="18"/>
  <c r="AJ136" i="18"/>
  <c r="AH136" i="18"/>
  <c r="AF136" i="18"/>
  <c r="AD136" i="18"/>
  <c r="Q136" i="18"/>
  <c r="AJ135" i="18"/>
  <c r="AH135" i="18"/>
  <c r="AF135" i="18"/>
  <c r="AD135" i="18"/>
  <c r="Q135" i="18"/>
  <c r="AJ134" i="18"/>
  <c r="AH134" i="18"/>
  <c r="AF134" i="18"/>
  <c r="AD134" i="18"/>
  <c r="Q134" i="18"/>
  <c r="AJ133" i="18"/>
  <c r="AH133" i="18"/>
  <c r="AF133" i="18"/>
  <c r="AD133" i="18"/>
  <c r="Q133" i="18"/>
  <c r="AJ132" i="18"/>
  <c r="AH132" i="18"/>
  <c r="AF132" i="18"/>
  <c r="AD132" i="18"/>
  <c r="Q132" i="18"/>
  <c r="AJ131" i="18"/>
  <c r="AH131" i="18"/>
  <c r="AF131" i="18"/>
  <c r="AD131" i="18"/>
  <c r="Q131" i="18"/>
  <c r="AJ130" i="18"/>
  <c r="AH130" i="18"/>
  <c r="AF130" i="18"/>
  <c r="AD130" i="18"/>
  <c r="Q130" i="18"/>
  <c r="AJ129" i="18"/>
  <c r="AH129" i="18"/>
  <c r="AF129" i="18"/>
  <c r="AD129" i="18"/>
  <c r="Q129" i="18"/>
  <c r="AJ128" i="18"/>
  <c r="AH128" i="18"/>
  <c r="AF128" i="18"/>
  <c r="AD128" i="18"/>
  <c r="Q128" i="18"/>
  <c r="AJ127" i="18"/>
  <c r="AH127" i="18"/>
  <c r="AF127" i="18"/>
  <c r="AD127" i="18"/>
  <c r="Q127" i="18"/>
  <c r="AJ126" i="18"/>
  <c r="AH126" i="18"/>
  <c r="AF126" i="18"/>
  <c r="AD126" i="18"/>
  <c r="Q126" i="18"/>
  <c r="AJ125" i="18"/>
  <c r="AH125" i="18"/>
  <c r="AF125" i="18"/>
  <c r="AD125" i="18"/>
  <c r="Q125" i="18"/>
  <c r="AJ124" i="18"/>
  <c r="AH124" i="18"/>
  <c r="AF124" i="18"/>
  <c r="AD124" i="18"/>
  <c r="Q124" i="18"/>
  <c r="AJ123" i="18"/>
  <c r="AH123" i="18"/>
  <c r="AF123" i="18"/>
  <c r="AD123" i="18"/>
  <c r="Q123" i="18"/>
  <c r="AJ122" i="18"/>
  <c r="AH122" i="18"/>
  <c r="AF122" i="18"/>
  <c r="AD122" i="18"/>
  <c r="Q122" i="18"/>
  <c r="AJ121" i="18"/>
  <c r="AH121" i="18"/>
  <c r="AF121" i="18"/>
  <c r="AD121" i="18"/>
  <c r="Q121" i="18"/>
  <c r="AJ120" i="18"/>
  <c r="AH120" i="18"/>
  <c r="AF120" i="18"/>
  <c r="AD120" i="18"/>
  <c r="Q120" i="18"/>
  <c r="AJ119" i="18"/>
  <c r="AH119" i="18"/>
  <c r="AF119" i="18"/>
  <c r="AD119" i="18"/>
  <c r="Q119" i="18"/>
  <c r="AJ118" i="18"/>
  <c r="AH118" i="18"/>
  <c r="AF118" i="18"/>
  <c r="AD118" i="18"/>
  <c r="Q118" i="18"/>
  <c r="AJ117" i="18"/>
  <c r="AH117" i="18"/>
  <c r="AF117" i="18"/>
  <c r="AD117" i="18"/>
  <c r="Q117" i="18"/>
  <c r="AJ116" i="18"/>
  <c r="AH116" i="18"/>
  <c r="AF116" i="18"/>
  <c r="AD116" i="18"/>
  <c r="Q116" i="18"/>
  <c r="AJ115" i="18"/>
  <c r="AH115" i="18"/>
  <c r="AF115" i="18"/>
  <c r="AD115" i="18"/>
  <c r="Q115" i="18"/>
  <c r="AJ114" i="18"/>
  <c r="AH114" i="18"/>
  <c r="AF114" i="18"/>
  <c r="AD114" i="18"/>
  <c r="Q114" i="18"/>
  <c r="AJ113" i="18"/>
  <c r="AH113" i="18"/>
  <c r="AF113" i="18"/>
  <c r="AD113" i="18"/>
  <c r="Q113" i="18"/>
  <c r="AJ112" i="18"/>
  <c r="AH112" i="18"/>
  <c r="AF112" i="18"/>
  <c r="AD112" i="18"/>
  <c r="Q112" i="18"/>
  <c r="AJ111" i="18"/>
  <c r="AH111" i="18"/>
  <c r="AF111" i="18"/>
  <c r="AD111" i="18"/>
  <c r="Q111" i="18"/>
  <c r="AJ110" i="18"/>
  <c r="AH110" i="18"/>
  <c r="AF110" i="18"/>
  <c r="AD110" i="18"/>
  <c r="Q110" i="18"/>
  <c r="AJ109" i="18"/>
  <c r="AH109" i="18"/>
  <c r="AF109" i="18"/>
  <c r="AD109" i="18"/>
  <c r="Q109" i="18"/>
  <c r="AJ108" i="18"/>
  <c r="AH108" i="18"/>
  <c r="AF108" i="18"/>
  <c r="AD108" i="18"/>
  <c r="Q108" i="18"/>
  <c r="AJ107" i="18"/>
  <c r="AH107" i="18"/>
  <c r="AF107" i="18"/>
  <c r="AD107" i="18"/>
  <c r="Q107" i="18"/>
  <c r="AJ106" i="18"/>
  <c r="AH106" i="18"/>
  <c r="AF106" i="18"/>
  <c r="AD106" i="18"/>
  <c r="Q106" i="18"/>
  <c r="AJ105" i="18"/>
  <c r="AH105" i="18"/>
  <c r="AF105" i="18"/>
  <c r="AD105" i="18"/>
  <c r="Q105" i="18"/>
  <c r="G2" i="18"/>
  <c r="AD2" i="18"/>
  <c r="AF2" i="18"/>
  <c r="AH2" i="18"/>
  <c r="AJ2" i="18"/>
  <c r="G3" i="18"/>
  <c r="AD3" i="18"/>
  <c r="AF3" i="18"/>
  <c r="AH3" i="18"/>
  <c r="AJ3" i="18"/>
  <c r="G4" i="18"/>
  <c r="AD4" i="18"/>
  <c r="AF4" i="18"/>
  <c r="AH4" i="18"/>
  <c r="AJ4" i="18"/>
  <c r="G5" i="18"/>
  <c r="AD5" i="18"/>
  <c r="AF5" i="18"/>
  <c r="AH5" i="18"/>
  <c r="AJ5" i="18"/>
  <c r="G6" i="18"/>
  <c r="AD6" i="18"/>
  <c r="AF6" i="18"/>
  <c r="AH6" i="18"/>
  <c r="AJ6" i="18"/>
  <c r="G7" i="18"/>
  <c r="AD7" i="18"/>
  <c r="AF7" i="18"/>
  <c r="AH7" i="18"/>
  <c r="AJ7" i="18"/>
  <c r="G8" i="18"/>
  <c r="AD8" i="18"/>
  <c r="AF8" i="18"/>
  <c r="AH8" i="18"/>
  <c r="AJ8" i="18"/>
  <c r="G9" i="18"/>
  <c r="AD9" i="18"/>
  <c r="AF9" i="18"/>
  <c r="AH9" i="18"/>
  <c r="AJ9" i="18"/>
  <c r="G10" i="18"/>
  <c r="AD10" i="18"/>
  <c r="AF10" i="18"/>
  <c r="AH10" i="18"/>
  <c r="AJ10" i="18"/>
  <c r="G11" i="18"/>
  <c r="AD11" i="18"/>
  <c r="AF11" i="18"/>
  <c r="AH11" i="18"/>
  <c r="AJ11" i="18"/>
  <c r="G12" i="18"/>
  <c r="AD12" i="18"/>
  <c r="AF12" i="18"/>
  <c r="AH12" i="18"/>
  <c r="AJ12" i="18"/>
  <c r="G13" i="18"/>
  <c r="AD13" i="18"/>
  <c r="AF13" i="18"/>
  <c r="AH13" i="18"/>
  <c r="AJ13" i="18"/>
  <c r="G14" i="18"/>
  <c r="AD14" i="18"/>
  <c r="AF14" i="18"/>
  <c r="AH14" i="18"/>
  <c r="AJ14" i="18"/>
  <c r="G15" i="18"/>
  <c r="AD15" i="18"/>
  <c r="AF15" i="18"/>
  <c r="AH15" i="18"/>
  <c r="AJ15" i="18"/>
  <c r="G16" i="18"/>
  <c r="AD16" i="18"/>
  <c r="AF16" i="18"/>
  <c r="AH16" i="18"/>
  <c r="AJ16" i="18"/>
  <c r="G17" i="18"/>
  <c r="AD17" i="18"/>
  <c r="AF17" i="18"/>
  <c r="AH17" i="18"/>
  <c r="AJ17" i="18"/>
  <c r="G18" i="18"/>
  <c r="AD18" i="18"/>
  <c r="AF18" i="18"/>
  <c r="AH18" i="18"/>
  <c r="AJ18" i="18"/>
  <c r="G19" i="18"/>
  <c r="AD19" i="18"/>
  <c r="AF19" i="18"/>
  <c r="AH19" i="18"/>
  <c r="AJ19" i="18"/>
  <c r="G20" i="18"/>
  <c r="AD20" i="18"/>
  <c r="AF20" i="18"/>
  <c r="AH20" i="18"/>
  <c r="AJ20" i="18"/>
  <c r="G21" i="18"/>
  <c r="AD21" i="18"/>
  <c r="AF21" i="18"/>
  <c r="AH21" i="18"/>
  <c r="AJ21" i="18"/>
  <c r="G22" i="18"/>
  <c r="AD22" i="18"/>
  <c r="AF22" i="18"/>
  <c r="AH22" i="18"/>
  <c r="AJ22" i="18"/>
  <c r="G23" i="18"/>
  <c r="AD23" i="18"/>
  <c r="AF23" i="18"/>
  <c r="AH23" i="18"/>
  <c r="AJ23" i="18"/>
  <c r="G24" i="18"/>
  <c r="AD24" i="18"/>
  <c r="AF24" i="18"/>
  <c r="AH24" i="18"/>
  <c r="AJ24" i="18"/>
  <c r="G25" i="18"/>
  <c r="AD25" i="18"/>
  <c r="AF25" i="18"/>
  <c r="AH25" i="18"/>
  <c r="AJ25" i="18"/>
  <c r="G26" i="18"/>
  <c r="AD26" i="18"/>
  <c r="AF26" i="18"/>
  <c r="AH26" i="18"/>
  <c r="AJ26" i="18"/>
  <c r="G27" i="18"/>
  <c r="AD27" i="18"/>
  <c r="AF27" i="18"/>
  <c r="AH27" i="18"/>
  <c r="AJ27" i="18"/>
  <c r="G28" i="18"/>
  <c r="AD28" i="18"/>
  <c r="AF28" i="18"/>
  <c r="AH28" i="18"/>
  <c r="AJ28" i="18"/>
  <c r="G29" i="18"/>
  <c r="AD29" i="18"/>
  <c r="AF29" i="18"/>
  <c r="AH29" i="18"/>
  <c r="AJ29" i="18"/>
  <c r="G30" i="18"/>
  <c r="AD30" i="18"/>
  <c r="AF30" i="18"/>
  <c r="AH30" i="18"/>
  <c r="AJ30" i="18"/>
  <c r="G31" i="18"/>
  <c r="AD31" i="18"/>
  <c r="AF31" i="18"/>
  <c r="AH31" i="18"/>
  <c r="AJ31" i="18"/>
  <c r="G32" i="18"/>
  <c r="AD32" i="18"/>
  <c r="AF32" i="18"/>
  <c r="AH32" i="18"/>
  <c r="AJ32" i="18"/>
  <c r="G33" i="18"/>
  <c r="AD33" i="18"/>
  <c r="AF33" i="18"/>
  <c r="AH33" i="18"/>
  <c r="AJ33" i="18"/>
  <c r="G34" i="18"/>
  <c r="AD34" i="18"/>
  <c r="AF34" i="18"/>
  <c r="AH34" i="18"/>
  <c r="AJ34" i="18"/>
  <c r="G35" i="18"/>
  <c r="AD35" i="18"/>
  <c r="AF35" i="18"/>
  <c r="AH35" i="18"/>
  <c r="AJ35" i="18"/>
  <c r="G36" i="18"/>
  <c r="AD36" i="18"/>
  <c r="AF36" i="18"/>
  <c r="AH36" i="18"/>
  <c r="AJ36" i="18"/>
  <c r="G37" i="18"/>
  <c r="AD37" i="18"/>
  <c r="AF37" i="18"/>
  <c r="AH37" i="18"/>
  <c r="AJ37" i="18"/>
  <c r="G38" i="18"/>
  <c r="AD38" i="18"/>
  <c r="AF38" i="18"/>
  <c r="AH38" i="18"/>
  <c r="AJ38" i="18"/>
  <c r="G39" i="18"/>
  <c r="AD39" i="18"/>
  <c r="AF39" i="18"/>
  <c r="AH39" i="18"/>
  <c r="AJ39" i="18"/>
  <c r="G40" i="18"/>
  <c r="AD40" i="18"/>
  <c r="AF40" i="18"/>
  <c r="AH40" i="18"/>
  <c r="AJ40" i="18"/>
  <c r="G41" i="18"/>
  <c r="AD41" i="18"/>
  <c r="AF41" i="18"/>
  <c r="AH41" i="18"/>
  <c r="AJ41" i="18"/>
  <c r="G42" i="18"/>
  <c r="AD42" i="18"/>
  <c r="AF42" i="18"/>
  <c r="AH42" i="18"/>
  <c r="AJ42" i="18"/>
  <c r="G43" i="18"/>
  <c r="AD43" i="18"/>
  <c r="AF43" i="18"/>
  <c r="AH43" i="18"/>
  <c r="AJ43" i="18"/>
  <c r="G44" i="18"/>
  <c r="AD44" i="18"/>
  <c r="AF44" i="18"/>
  <c r="AH44" i="18"/>
  <c r="AJ44" i="18"/>
  <c r="G45" i="18"/>
  <c r="AD45" i="18"/>
  <c r="AF45" i="18"/>
  <c r="AH45" i="18"/>
  <c r="AJ45" i="18"/>
  <c r="G46" i="18"/>
  <c r="AD46" i="18"/>
  <c r="AF46" i="18"/>
  <c r="AH46" i="18"/>
  <c r="AJ46" i="18"/>
  <c r="G47" i="18"/>
  <c r="AD47" i="18"/>
  <c r="AF47" i="18"/>
  <c r="AH47" i="18"/>
  <c r="AJ47" i="18"/>
  <c r="G48" i="18"/>
  <c r="AD48" i="18"/>
  <c r="AF48" i="18"/>
  <c r="AH48" i="18"/>
  <c r="AJ48" i="18"/>
  <c r="G49" i="18"/>
  <c r="AD49" i="18"/>
  <c r="AF49" i="18"/>
  <c r="AH49" i="18"/>
  <c r="AJ49" i="18"/>
  <c r="G50" i="18"/>
  <c r="AD50" i="18"/>
  <c r="AF50" i="18"/>
  <c r="AH50" i="18"/>
  <c r="AJ50" i="18"/>
  <c r="G51" i="18"/>
  <c r="AD51" i="18"/>
  <c r="AF51" i="18"/>
  <c r="AH51" i="18"/>
  <c r="AJ51" i="18"/>
  <c r="G52" i="18"/>
  <c r="AD52" i="18"/>
  <c r="AF52" i="18"/>
  <c r="AH52" i="18"/>
  <c r="AJ52" i="18"/>
  <c r="G53" i="18"/>
  <c r="AD53" i="18"/>
  <c r="AF53" i="18"/>
  <c r="AH53" i="18"/>
  <c r="AJ53" i="18"/>
  <c r="G54" i="18"/>
  <c r="AD54" i="18"/>
  <c r="AF54" i="18"/>
  <c r="AH54" i="18"/>
  <c r="AJ54" i="18"/>
  <c r="G55" i="18"/>
  <c r="AD55" i="18"/>
  <c r="AF55" i="18"/>
  <c r="AH55" i="18"/>
  <c r="AJ55" i="18"/>
  <c r="G56" i="18"/>
  <c r="AD56" i="18"/>
  <c r="AF56" i="18"/>
  <c r="AH56" i="18"/>
  <c r="AJ56" i="18"/>
  <c r="G57" i="18"/>
  <c r="AD57" i="18"/>
  <c r="AF57" i="18"/>
  <c r="AH57" i="18"/>
  <c r="AJ57" i="18"/>
  <c r="G58" i="18"/>
  <c r="AD58" i="18"/>
  <c r="AF58" i="18"/>
  <c r="AH58" i="18"/>
  <c r="AJ58" i="18"/>
  <c r="G59" i="18"/>
  <c r="AD59" i="18"/>
  <c r="AF59" i="18"/>
  <c r="AH59" i="18"/>
  <c r="AJ59" i="18"/>
  <c r="G60" i="18"/>
  <c r="AD60" i="18"/>
  <c r="AF60" i="18"/>
  <c r="AH60" i="18"/>
  <c r="AJ60" i="18"/>
  <c r="G61" i="18"/>
  <c r="AD61" i="18"/>
  <c r="AF61" i="18"/>
  <c r="AH61" i="18"/>
  <c r="AJ61" i="18"/>
  <c r="G62" i="18"/>
  <c r="AD62" i="18"/>
  <c r="AF62" i="18"/>
  <c r="AH62" i="18"/>
  <c r="AJ62" i="18"/>
  <c r="G63" i="18"/>
  <c r="AD63" i="18"/>
  <c r="AF63" i="18"/>
  <c r="AH63" i="18"/>
  <c r="AJ63" i="18"/>
  <c r="G64" i="18"/>
  <c r="AD64" i="18"/>
  <c r="AF64" i="18"/>
  <c r="AH64" i="18"/>
  <c r="AJ64" i="18"/>
  <c r="G65" i="18"/>
  <c r="AD65" i="18"/>
  <c r="AF65" i="18"/>
  <c r="AH65" i="18"/>
  <c r="AJ65" i="18"/>
  <c r="G66" i="18"/>
  <c r="AD66" i="18"/>
  <c r="AF66" i="18"/>
  <c r="AH66" i="18"/>
  <c r="AJ66" i="18"/>
  <c r="G67" i="18"/>
  <c r="AD67" i="18"/>
  <c r="AF67" i="18"/>
  <c r="AH67" i="18"/>
  <c r="AJ67" i="18"/>
  <c r="G68" i="18"/>
  <c r="AD68" i="18"/>
  <c r="AF68" i="18"/>
  <c r="AH68" i="18"/>
  <c r="AJ68" i="18"/>
  <c r="G69" i="18"/>
  <c r="AD69" i="18"/>
  <c r="AF69" i="18"/>
  <c r="AH69" i="18"/>
  <c r="AJ69" i="18"/>
  <c r="G70" i="18"/>
  <c r="AD70" i="18"/>
  <c r="AF70" i="18"/>
  <c r="AH70" i="18"/>
  <c r="AJ70" i="18"/>
  <c r="G71" i="18"/>
  <c r="AD71" i="18"/>
  <c r="AF71" i="18"/>
  <c r="AH71" i="18"/>
  <c r="AJ71" i="18"/>
  <c r="G72" i="18"/>
  <c r="AD72" i="18"/>
  <c r="AF72" i="18"/>
  <c r="AH72" i="18"/>
  <c r="AJ72" i="18"/>
  <c r="G73" i="18"/>
  <c r="AD73" i="18"/>
  <c r="AF73" i="18"/>
  <c r="AH73" i="18"/>
  <c r="AJ73" i="18"/>
  <c r="G74" i="18"/>
  <c r="AD74" i="18"/>
  <c r="AF74" i="18"/>
  <c r="AH74" i="18"/>
  <c r="AJ74" i="18"/>
  <c r="G75" i="18"/>
  <c r="AD75" i="18"/>
  <c r="AF75" i="18"/>
  <c r="AH75" i="18"/>
  <c r="AJ75" i="18"/>
  <c r="G76" i="18"/>
  <c r="AD76" i="18"/>
  <c r="AF76" i="18"/>
  <c r="AH76" i="18"/>
  <c r="AJ76" i="18"/>
  <c r="G77" i="18"/>
  <c r="AD77" i="18"/>
  <c r="AF77" i="18"/>
  <c r="AH77" i="18"/>
  <c r="AJ77" i="18"/>
  <c r="G78" i="18"/>
  <c r="AD78" i="18"/>
  <c r="AF78" i="18"/>
  <c r="AH78" i="18"/>
  <c r="AJ78" i="18"/>
  <c r="G79" i="18"/>
  <c r="AD79" i="18"/>
  <c r="AF79" i="18"/>
  <c r="AH79" i="18"/>
  <c r="AJ79" i="18"/>
  <c r="G80" i="18"/>
  <c r="AD80" i="18"/>
  <c r="AF80" i="18"/>
  <c r="AH80" i="18"/>
  <c r="AJ80" i="18"/>
  <c r="G81" i="18"/>
  <c r="AD81" i="18"/>
  <c r="AF81" i="18"/>
  <c r="AH81" i="18"/>
  <c r="AJ81" i="18"/>
  <c r="G82" i="18"/>
  <c r="AD82" i="18"/>
  <c r="AF82" i="18"/>
  <c r="AH82" i="18"/>
  <c r="AJ82" i="18"/>
  <c r="G83" i="18"/>
  <c r="AD83" i="18"/>
  <c r="AF83" i="18"/>
  <c r="AH83" i="18"/>
  <c r="AJ83" i="18"/>
  <c r="G84" i="18"/>
  <c r="AD84" i="18"/>
  <c r="AF84" i="18"/>
  <c r="AH84" i="18"/>
  <c r="AJ84" i="18"/>
  <c r="G85" i="18"/>
  <c r="AD85" i="18"/>
  <c r="AF85" i="18"/>
  <c r="AH85" i="18"/>
  <c r="AJ85" i="18"/>
  <c r="G86" i="18"/>
  <c r="AD86" i="18"/>
  <c r="AF86" i="18"/>
  <c r="AH86" i="18"/>
  <c r="AJ86" i="18"/>
  <c r="G87" i="18"/>
  <c r="AD87" i="18"/>
  <c r="AF87" i="18"/>
  <c r="AH87" i="18"/>
  <c r="AJ87" i="18"/>
  <c r="G88" i="18"/>
  <c r="AD88" i="18"/>
  <c r="AF88" i="18"/>
  <c r="AH88" i="18"/>
  <c r="AJ88" i="18"/>
  <c r="G89" i="18"/>
  <c r="AD89" i="18"/>
  <c r="AF89" i="18"/>
  <c r="AH89" i="18"/>
  <c r="AJ89" i="18"/>
  <c r="G90" i="18"/>
  <c r="AD90" i="18"/>
  <c r="AF90" i="18"/>
  <c r="AH90" i="18"/>
  <c r="AJ90" i="18"/>
  <c r="G91" i="18"/>
  <c r="AD91" i="18"/>
  <c r="AF91" i="18"/>
  <c r="AH91" i="18"/>
  <c r="AJ91" i="18"/>
  <c r="G92" i="18"/>
  <c r="AD92" i="18"/>
  <c r="AF92" i="18"/>
  <c r="AH92" i="18"/>
  <c r="AJ92" i="18"/>
  <c r="G93" i="18"/>
  <c r="AD93" i="18"/>
  <c r="AF93" i="18"/>
  <c r="AH93" i="18"/>
  <c r="AJ93" i="18"/>
  <c r="G94" i="18"/>
  <c r="AD94" i="18"/>
  <c r="AF94" i="18"/>
  <c r="AH94" i="18"/>
  <c r="AJ94" i="18"/>
  <c r="G95" i="18"/>
  <c r="AD95" i="18"/>
  <c r="AF95" i="18"/>
  <c r="AH95" i="18"/>
  <c r="AJ95" i="18"/>
  <c r="G96" i="18"/>
  <c r="AD96" i="18"/>
  <c r="AF96" i="18"/>
  <c r="AH96" i="18"/>
  <c r="AJ96" i="18"/>
  <c r="G97" i="18"/>
  <c r="AD97" i="18"/>
  <c r="AF97" i="18"/>
  <c r="AH97" i="18"/>
  <c r="AJ97" i="18"/>
  <c r="G98" i="18"/>
  <c r="AD98" i="18"/>
  <c r="AF98" i="18"/>
  <c r="AH98" i="18"/>
  <c r="AJ98" i="18"/>
  <c r="G99" i="18"/>
  <c r="AD99" i="18"/>
  <c r="AF99" i="18"/>
  <c r="AH99" i="18"/>
  <c r="AJ99" i="18"/>
  <c r="G100" i="18"/>
  <c r="AD100" i="18"/>
  <c r="AF100" i="18"/>
  <c r="AH100" i="18"/>
  <c r="AJ100" i="18"/>
  <c r="G101" i="18"/>
  <c r="G102" i="18"/>
  <c r="G103" i="18"/>
  <c r="G104" i="18"/>
  <c r="AR105" i="2"/>
  <c r="AQ105" i="2"/>
  <c r="AP105" i="2"/>
  <c r="AO105" i="2"/>
  <c r="AN105" i="2"/>
  <c r="AM105" i="2"/>
  <c r="AL105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AJ105" i="17"/>
  <c r="AL105" i="17"/>
  <c r="AN105" i="17"/>
  <c r="AP105" i="17"/>
  <c r="AR105" i="17"/>
  <c r="AT105" i="17"/>
  <c r="AV105" i="17"/>
  <c r="AX105" i="17"/>
  <c r="AY105" i="17"/>
  <c r="BB105" i="17"/>
  <c r="BC105" i="17"/>
  <c r="BF105" i="17"/>
  <c r="BG105" i="17"/>
  <c r="BJ105" i="17"/>
  <c r="BK105" i="17"/>
  <c r="BN105" i="17"/>
  <c r="BP105" i="17"/>
  <c r="BR105" i="17"/>
  <c r="BT105" i="17"/>
  <c r="BV105" i="17"/>
  <c r="BX105" i="17"/>
  <c r="BZ105" i="17"/>
  <c r="CB105" i="17"/>
  <c r="AR104" i="17"/>
  <c r="AT104" i="17"/>
  <c r="AV104" i="17"/>
  <c r="AX104" i="17"/>
  <c r="AY104" i="17"/>
  <c r="BC104" i="17"/>
  <c r="BG104" i="17"/>
  <c r="BK104" i="17"/>
  <c r="BN104" i="17"/>
  <c r="BP104" i="17"/>
  <c r="BR104" i="17"/>
  <c r="BT104" i="17"/>
  <c r="BV104" i="17"/>
  <c r="BX104" i="17"/>
  <c r="BZ104" i="17"/>
  <c r="AJ104" i="17"/>
  <c r="AL104" i="17"/>
  <c r="AN104" i="17"/>
  <c r="AP104" i="17"/>
  <c r="AH104" i="17"/>
  <c r="AH105" i="17"/>
  <c r="CD110" i="17"/>
  <c r="CD111" i="17"/>
  <c r="G28" i="17"/>
  <c r="G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Z2" i="17"/>
  <c r="Z3" i="17"/>
  <c r="Z4" i="17"/>
  <c r="Z5" i="17"/>
  <c r="Z6" i="17"/>
  <c r="Z7" i="17"/>
  <c r="Z8" i="17"/>
  <c r="Z9" i="17"/>
  <c r="Z10" i="17"/>
  <c r="Z11" i="17"/>
  <c r="Z12" i="17"/>
  <c r="Z13" i="17"/>
  <c r="Z14" i="17"/>
  <c r="Z15" i="17"/>
  <c r="Z16" i="17"/>
  <c r="Z17" i="17"/>
  <c r="Z18" i="17"/>
  <c r="Z19" i="17"/>
  <c r="Z20" i="17"/>
  <c r="Z21" i="17"/>
  <c r="Z22" i="17"/>
  <c r="Z23" i="17"/>
  <c r="Z24" i="17"/>
  <c r="Z25" i="17"/>
  <c r="Z26" i="17"/>
  <c r="Z27" i="17"/>
  <c r="Z28" i="17"/>
  <c r="Z29" i="17"/>
  <c r="Z30" i="17"/>
  <c r="Z31" i="17"/>
  <c r="Z32" i="17"/>
  <c r="Z33" i="17"/>
  <c r="Z34" i="17"/>
  <c r="Z35" i="17"/>
  <c r="Z36" i="17"/>
  <c r="Z37" i="17"/>
  <c r="Z38" i="17"/>
  <c r="Z39" i="17"/>
  <c r="Z40" i="17"/>
  <c r="Z41" i="17"/>
  <c r="Z42" i="17"/>
  <c r="Z43" i="17"/>
  <c r="Z44" i="17"/>
  <c r="Z45" i="17"/>
  <c r="Z46" i="17"/>
  <c r="Z47" i="17"/>
  <c r="Z48" i="17"/>
  <c r="Z49" i="17"/>
  <c r="Z50" i="17"/>
  <c r="Z51" i="17"/>
  <c r="Z52" i="17"/>
  <c r="Z53" i="17"/>
  <c r="Z54" i="17"/>
  <c r="Z55" i="17"/>
  <c r="Z56" i="17"/>
  <c r="Z57" i="17"/>
  <c r="Z58" i="17"/>
  <c r="Z59" i="17"/>
  <c r="Z60" i="17"/>
  <c r="Z61" i="17"/>
  <c r="Z62" i="17"/>
  <c r="Z63" i="17"/>
  <c r="Z64" i="17"/>
  <c r="Z65" i="17"/>
  <c r="Z66" i="17"/>
  <c r="Z67" i="17"/>
  <c r="Z68" i="17"/>
  <c r="Z69" i="17"/>
  <c r="Z70" i="17"/>
  <c r="Z71" i="17"/>
  <c r="Z72" i="17"/>
  <c r="Z73" i="17"/>
  <c r="Z74" i="17"/>
  <c r="Z75" i="17"/>
  <c r="Z76" i="17"/>
  <c r="Z77" i="17"/>
  <c r="Z78" i="17"/>
  <c r="Z79" i="17"/>
  <c r="Z80" i="17"/>
  <c r="Z81" i="17"/>
  <c r="Z82" i="17"/>
  <c r="Z83" i="17"/>
  <c r="Z84" i="17"/>
  <c r="Z85" i="17"/>
  <c r="Z86" i="17"/>
  <c r="Z87" i="17"/>
  <c r="Z88" i="17"/>
  <c r="Z89" i="17"/>
  <c r="Z90" i="17"/>
  <c r="Z91" i="17"/>
  <c r="Z92" i="17"/>
  <c r="Z93" i="17"/>
  <c r="Z94" i="17"/>
  <c r="Z95" i="17"/>
  <c r="Z96" i="17"/>
  <c r="Z97" i="17"/>
  <c r="Z98" i="17"/>
  <c r="Z99" i="17"/>
  <c r="Z100" i="17"/>
  <c r="Z101" i="17"/>
  <c r="Z102" i="17"/>
  <c r="Z103" i="17"/>
  <c r="X2" i="17"/>
  <c r="X3" i="17"/>
  <c r="X4" i="17"/>
  <c r="X5" i="17"/>
  <c r="X6" i="17"/>
  <c r="X7" i="17"/>
  <c r="X8" i="17"/>
  <c r="X9" i="17"/>
  <c r="X10" i="17"/>
  <c r="X11" i="17"/>
  <c r="X12" i="17"/>
  <c r="X13" i="17"/>
  <c r="X14" i="17"/>
  <c r="X15" i="17"/>
  <c r="X16" i="17"/>
  <c r="X17" i="17"/>
  <c r="X18" i="17"/>
  <c r="X19" i="17"/>
  <c r="X20" i="17"/>
  <c r="X21" i="17"/>
  <c r="X22" i="17"/>
  <c r="X23" i="17"/>
  <c r="X24" i="17"/>
  <c r="X25" i="17"/>
  <c r="X26" i="17"/>
  <c r="X27" i="17"/>
  <c r="X28" i="17"/>
  <c r="X29" i="17"/>
  <c r="X30" i="17"/>
  <c r="X31" i="17"/>
  <c r="X32" i="17"/>
  <c r="X33" i="17"/>
  <c r="X34" i="17"/>
  <c r="X35" i="17"/>
  <c r="X36" i="17"/>
  <c r="X37" i="17"/>
  <c r="X38" i="17"/>
  <c r="X39" i="17"/>
  <c r="X40" i="17"/>
  <c r="X41" i="17"/>
  <c r="X42" i="17"/>
  <c r="X43" i="17"/>
  <c r="X44" i="17"/>
  <c r="X45" i="17"/>
  <c r="X46" i="17"/>
  <c r="X47" i="17"/>
  <c r="X48" i="17"/>
  <c r="X49" i="17"/>
  <c r="X50" i="17"/>
  <c r="X51" i="17"/>
  <c r="X52" i="17"/>
  <c r="X53" i="17"/>
  <c r="X54" i="17"/>
  <c r="X55" i="17"/>
  <c r="X56" i="17"/>
  <c r="X57" i="17"/>
  <c r="X58" i="17"/>
  <c r="X59" i="17"/>
  <c r="X60" i="17"/>
  <c r="X61" i="17"/>
  <c r="X62" i="17"/>
  <c r="X63" i="17"/>
  <c r="X64" i="17"/>
  <c r="X65" i="17"/>
  <c r="X66" i="17"/>
  <c r="X67" i="17"/>
  <c r="X68" i="17"/>
  <c r="X69" i="17"/>
  <c r="X70" i="17"/>
  <c r="X71" i="17"/>
  <c r="X72" i="17"/>
  <c r="X73" i="17"/>
  <c r="X74" i="17"/>
  <c r="X75" i="17"/>
  <c r="X76" i="17"/>
  <c r="X77" i="17"/>
  <c r="X78" i="17"/>
  <c r="X79" i="17"/>
  <c r="X80" i="17"/>
  <c r="X81" i="17"/>
  <c r="X82" i="17"/>
  <c r="X83" i="17"/>
  <c r="X84" i="17"/>
  <c r="X85" i="17"/>
  <c r="X86" i="17"/>
  <c r="X87" i="17"/>
  <c r="X88" i="17"/>
  <c r="X89" i="17"/>
  <c r="X90" i="17"/>
  <c r="X91" i="17"/>
  <c r="X92" i="17"/>
  <c r="X93" i="17"/>
  <c r="X94" i="17"/>
  <c r="X95" i="17"/>
  <c r="X96" i="17"/>
  <c r="X97" i="17"/>
  <c r="X98" i="17"/>
  <c r="X99" i="17"/>
  <c r="X100" i="17"/>
  <c r="X101" i="17"/>
  <c r="X102" i="17"/>
  <c r="X103" i="17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5" i="4"/>
  <c r="W2" i="17"/>
  <c r="W3" i="17"/>
  <c r="W4" i="17"/>
  <c r="W5" i="17"/>
  <c r="W6" i="17"/>
  <c r="W7" i="17"/>
  <c r="W8" i="17"/>
  <c r="W9" i="17"/>
  <c r="W10" i="17"/>
  <c r="W11" i="17"/>
  <c r="W12" i="17"/>
  <c r="W13" i="17"/>
  <c r="W14" i="17"/>
  <c r="W15" i="17"/>
  <c r="W16" i="17"/>
  <c r="W17" i="17"/>
  <c r="W18" i="17"/>
  <c r="W19" i="17"/>
  <c r="W20" i="17"/>
  <c r="W21" i="17"/>
  <c r="W22" i="17"/>
  <c r="W23" i="17"/>
  <c r="W24" i="17"/>
  <c r="W25" i="17"/>
  <c r="W26" i="17"/>
  <c r="W27" i="17"/>
  <c r="W28" i="17"/>
  <c r="W29" i="17"/>
  <c r="W30" i="17"/>
  <c r="W31" i="17"/>
  <c r="W32" i="17"/>
  <c r="W33" i="17"/>
  <c r="W34" i="17"/>
  <c r="W35" i="17"/>
  <c r="W36" i="17"/>
  <c r="W37" i="17"/>
  <c r="W38" i="17"/>
  <c r="W39" i="17"/>
  <c r="W40" i="17"/>
  <c r="W41" i="17"/>
  <c r="W42" i="17"/>
  <c r="W43" i="17"/>
  <c r="W44" i="17"/>
  <c r="W45" i="17"/>
  <c r="W46" i="17"/>
  <c r="W47" i="17"/>
  <c r="W48" i="17"/>
  <c r="W49" i="17"/>
  <c r="W50" i="17"/>
  <c r="W51" i="17"/>
  <c r="W52" i="17"/>
  <c r="W53" i="17"/>
  <c r="W54" i="17"/>
  <c r="W55" i="17"/>
  <c r="W56" i="17"/>
  <c r="W57" i="17"/>
  <c r="W58" i="17"/>
  <c r="W59" i="17"/>
  <c r="W60" i="17"/>
  <c r="W61" i="17"/>
  <c r="W62" i="17"/>
  <c r="W63" i="17"/>
  <c r="W64" i="17"/>
  <c r="W65" i="17"/>
  <c r="W66" i="17"/>
  <c r="W67" i="17"/>
  <c r="W68" i="17"/>
  <c r="W69" i="17"/>
  <c r="W70" i="17"/>
  <c r="W71" i="17"/>
  <c r="W72" i="17"/>
  <c r="W73" i="17"/>
  <c r="W74" i="17"/>
  <c r="W75" i="17"/>
  <c r="W76" i="17"/>
  <c r="W77" i="17"/>
  <c r="W78" i="17"/>
  <c r="W79" i="17"/>
  <c r="W80" i="17"/>
  <c r="W81" i="17"/>
  <c r="W82" i="17"/>
  <c r="W83" i="17"/>
  <c r="W84" i="17"/>
  <c r="W85" i="17"/>
  <c r="W86" i="17"/>
  <c r="W87" i="17"/>
  <c r="W88" i="17"/>
  <c r="W89" i="17"/>
  <c r="W90" i="17"/>
  <c r="W91" i="17"/>
  <c r="W92" i="17"/>
  <c r="W93" i="17"/>
  <c r="W94" i="17"/>
  <c r="W95" i="17"/>
  <c r="W96" i="17"/>
  <c r="W97" i="17"/>
  <c r="W98" i="17"/>
  <c r="W99" i="17"/>
  <c r="W100" i="17"/>
  <c r="W101" i="17"/>
  <c r="W102" i="17"/>
  <c r="W103" i="17"/>
  <c r="AE2" i="17"/>
  <c r="AG2" i="17" s="1"/>
  <c r="AE3" i="17"/>
  <c r="AG3" i="17" s="1"/>
  <c r="AE4" i="17"/>
  <c r="AG4" i="17" s="1"/>
  <c r="AE5" i="17"/>
  <c r="AG5" i="17" s="1"/>
  <c r="AE6" i="17"/>
  <c r="AG6" i="17" s="1"/>
  <c r="AE7" i="17"/>
  <c r="AG7" i="17" s="1"/>
  <c r="AE8" i="17"/>
  <c r="AG8" i="17" s="1"/>
  <c r="AE9" i="17"/>
  <c r="AG9" i="17" s="1"/>
  <c r="AE10" i="17"/>
  <c r="AG10" i="17" s="1"/>
  <c r="AE11" i="17"/>
  <c r="AG11" i="17" s="1"/>
  <c r="AE12" i="17"/>
  <c r="AG12" i="17" s="1"/>
  <c r="AE13" i="17"/>
  <c r="AG13" i="17" s="1"/>
  <c r="AE14" i="17"/>
  <c r="AG14" i="17" s="1"/>
  <c r="AE15" i="17"/>
  <c r="AG15" i="17" s="1"/>
  <c r="AE16" i="17"/>
  <c r="AG16" i="17" s="1"/>
  <c r="AE17" i="17"/>
  <c r="AG17" i="17" s="1"/>
  <c r="AE18" i="17"/>
  <c r="AG18" i="17" s="1"/>
  <c r="AE19" i="17"/>
  <c r="AG19" i="17" s="1"/>
  <c r="AE20" i="17"/>
  <c r="AG20" i="17" s="1"/>
  <c r="AE21" i="17"/>
  <c r="AG21" i="17" s="1"/>
  <c r="AE22" i="17"/>
  <c r="AG22" i="17" s="1"/>
  <c r="AE23" i="17"/>
  <c r="AG23" i="17" s="1"/>
  <c r="AE24" i="17"/>
  <c r="AG24" i="17" s="1"/>
  <c r="AE25" i="17"/>
  <c r="AG25" i="17" s="1"/>
  <c r="AE26" i="17"/>
  <c r="AG26" i="17" s="1"/>
  <c r="AE27" i="17"/>
  <c r="AG27" i="17" s="1"/>
  <c r="AE28" i="17"/>
  <c r="AG28" i="17" s="1"/>
  <c r="AE29" i="17"/>
  <c r="AG29" i="17" s="1"/>
  <c r="AE30" i="17"/>
  <c r="AG30" i="17" s="1"/>
  <c r="AE31" i="17"/>
  <c r="AG31" i="17" s="1"/>
  <c r="AE32" i="17"/>
  <c r="AG32" i="17" s="1"/>
  <c r="AE33" i="17"/>
  <c r="AG33" i="17" s="1"/>
  <c r="AE34" i="17"/>
  <c r="AG34" i="17" s="1"/>
  <c r="AE35" i="17"/>
  <c r="AG35" i="17" s="1"/>
  <c r="AE36" i="17"/>
  <c r="AG36" i="17" s="1"/>
  <c r="AE37" i="17"/>
  <c r="AG37" i="17" s="1"/>
  <c r="AE38" i="17"/>
  <c r="AG38" i="17" s="1"/>
  <c r="AE39" i="17"/>
  <c r="AG39" i="17" s="1"/>
  <c r="AE40" i="17"/>
  <c r="AG40" i="17" s="1"/>
  <c r="AE41" i="17"/>
  <c r="AG41" i="17" s="1"/>
  <c r="AE42" i="17"/>
  <c r="AG42" i="17" s="1"/>
  <c r="AE43" i="17"/>
  <c r="AG43" i="17" s="1"/>
  <c r="AE44" i="17"/>
  <c r="AG44" i="17" s="1"/>
  <c r="AE45" i="17"/>
  <c r="AG45" i="17" s="1"/>
  <c r="AE46" i="17"/>
  <c r="AG46" i="17" s="1"/>
  <c r="AE47" i="17"/>
  <c r="AG47" i="17" s="1"/>
  <c r="AE48" i="17"/>
  <c r="AG48" i="17" s="1"/>
  <c r="AE49" i="17"/>
  <c r="AG49" i="17" s="1"/>
  <c r="AE50" i="17"/>
  <c r="AG50" i="17" s="1"/>
  <c r="AE51" i="17"/>
  <c r="AG51" i="17" s="1"/>
  <c r="AE52" i="17"/>
  <c r="AG52" i="17" s="1"/>
  <c r="AE53" i="17"/>
  <c r="AG53" i="17" s="1"/>
  <c r="AE54" i="17"/>
  <c r="AG54" i="17" s="1"/>
  <c r="AE55" i="17"/>
  <c r="AG55" i="17" s="1"/>
  <c r="AE56" i="17"/>
  <c r="AG56" i="17" s="1"/>
  <c r="AE57" i="17"/>
  <c r="AG57" i="17" s="1"/>
  <c r="AE58" i="17"/>
  <c r="AG58" i="17" s="1"/>
  <c r="AE59" i="17"/>
  <c r="AG59" i="17" s="1"/>
  <c r="AE60" i="17"/>
  <c r="AG60" i="17" s="1"/>
  <c r="AE61" i="17"/>
  <c r="AG61" i="17" s="1"/>
  <c r="AE62" i="17"/>
  <c r="AG62" i="17" s="1"/>
  <c r="AE63" i="17"/>
  <c r="AG63" i="17" s="1"/>
  <c r="AE64" i="17"/>
  <c r="AG64" i="17" s="1"/>
  <c r="AE65" i="17"/>
  <c r="AG65" i="17" s="1"/>
  <c r="AE66" i="17"/>
  <c r="AG66" i="17" s="1"/>
  <c r="AE67" i="17"/>
  <c r="AG67" i="17" s="1"/>
  <c r="AE68" i="17"/>
  <c r="AG68" i="17" s="1"/>
  <c r="AE69" i="17"/>
  <c r="AG69" i="17" s="1"/>
  <c r="AE70" i="17"/>
  <c r="AG70" i="17" s="1"/>
  <c r="AE71" i="17"/>
  <c r="AG71" i="17" s="1"/>
  <c r="AE72" i="17"/>
  <c r="AG72" i="17" s="1"/>
  <c r="AE73" i="17"/>
  <c r="AG73" i="17" s="1"/>
  <c r="AE74" i="17"/>
  <c r="AG74" i="17" s="1"/>
  <c r="AE75" i="17"/>
  <c r="AG75" i="17" s="1"/>
  <c r="AE76" i="17"/>
  <c r="AG76" i="17" s="1"/>
  <c r="AE77" i="17"/>
  <c r="AG77" i="17" s="1"/>
  <c r="AE78" i="17"/>
  <c r="AG78" i="17" s="1"/>
  <c r="AE79" i="17"/>
  <c r="AG79" i="17" s="1"/>
  <c r="AE80" i="17"/>
  <c r="AG80" i="17" s="1"/>
  <c r="AE81" i="17"/>
  <c r="AG81" i="17" s="1"/>
  <c r="AE82" i="17"/>
  <c r="AG82" i="17" s="1"/>
  <c r="AE83" i="17"/>
  <c r="AG83" i="17" s="1"/>
  <c r="AE84" i="17"/>
  <c r="AG84" i="17" s="1"/>
  <c r="AE85" i="17"/>
  <c r="AG85" i="17" s="1"/>
  <c r="AE86" i="17"/>
  <c r="AG86" i="17" s="1"/>
  <c r="AE87" i="17"/>
  <c r="AG87" i="17" s="1"/>
  <c r="AE88" i="17"/>
  <c r="AG88" i="17" s="1"/>
  <c r="AE89" i="17"/>
  <c r="AG89" i="17" s="1"/>
  <c r="AE90" i="17"/>
  <c r="AG90" i="17" s="1"/>
  <c r="AE91" i="17"/>
  <c r="AG91" i="17" s="1"/>
  <c r="AE92" i="17"/>
  <c r="AG92" i="17" s="1"/>
  <c r="AE93" i="17"/>
  <c r="AG93" i="17" s="1"/>
  <c r="AE94" i="17"/>
  <c r="AG94" i="17" s="1"/>
  <c r="AE95" i="17"/>
  <c r="AG95" i="17" s="1"/>
  <c r="AE96" i="17"/>
  <c r="AG96" i="17" s="1"/>
  <c r="AE97" i="17"/>
  <c r="AG97" i="17" s="1"/>
  <c r="AE98" i="17"/>
  <c r="AG98" i="17" s="1"/>
  <c r="AE99" i="17"/>
  <c r="AG99" i="17" s="1"/>
  <c r="AE100" i="17"/>
  <c r="AG100" i="17" s="1"/>
  <c r="AE101" i="17"/>
  <c r="AG101" i="17" s="1"/>
  <c r="AE102" i="17"/>
  <c r="AG102" i="17" s="1"/>
  <c r="AE103" i="17"/>
  <c r="AG103" i="17" s="1"/>
  <c r="E2" i="17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5" i="4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20" i="17"/>
  <c r="E21" i="17"/>
  <c r="E22" i="17"/>
  <c r="E23" i="17"/>
  <c r="E24" i="17"/>
  <c r="E25" i="17"/>
  <c r="E26" i="17"/>
  <c r="E27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9" i="17"/>
  <c r="E28" i="17"/>
  <c r="E103" i="17"/>
  <c r="AL111" i="17"/>
  <c r="AH107" i="17" a="1"/>
  <c r="AH107" i="17" s="1"/>
  <c r="AC104" i="17"/>
  <c r="AB104" i="17"/>
  <c r="AA104" i="17"/>
  <c r="Y104" i="17"/>
  <c r="V104" i="17"/>
  <c r="U104" i="17"/>
  <c r="T104" i="17"/>
  <c r="S104" i="17"/>
  <c r="R104" i="17"/>
  <c r="Q104" i="17"/>
  <c r="N104" i="17"/>
  <c r="M104" i="17"/>
  <c r="L104" i="17"/>
  <c r="K103" i="17"/>
  <c r="K28" i="17"/>
  <c r="K19" i="17"/>
  <c r="K102" i="17"/>
  <c r="BK101" i="17"/>
  <c r="BG101" i="17"/>
  <c r="BC101" i="17"/>
  <c r="AY101" i="17"/>
  <c r="K101" i="17"/>
  <c r="BK100" i="17"/>
  <c r="BG100" i="17"/>
  <c r="BC100" i="17"/>
  <c r="AY100" i="17"/>
  <c r="K100" i="17"/>
  <c r="BK99" i="17"/>
  <c r="BG99" i="17"/>
  <c r="BC99" i="17"/>
  <c r="AY99" i="17"/>
  <c r="K99" i="17"/>
  <c r="BK98" i="17"/>
  <c r="BG98" i="17"/>
  <c r="BC98" i="17"/>
  <c r="AY98" i="17"/>
  <c r="K98" i="17"/>
  <c r="BK97" i="17"/>
  <c r="BG97" i="17"/>
  <c r="BC97" i="17"/>
  <c r="AY97" i="17"/>
  <c r="K97" i="17"/>
  <c r="BK96" i="17"/>
  <c r="BG96" i="17"/>
  <c r="BC96" i="17"/>
  <c r="AY96" i="17"/>
  <c r="K96" i="17"/>
  <c r="BK95" i="17"/>
  <c r="BG95" i="17"/>
  <c r="BC95" i="17"/>
  <c r="AY95" i="17"/>
  <c r="K95" i="17"/>
  <c r="BK94" i="17"/>
  <c r="BG94" i="17"/>
  <c r="BC94" i="17"/>
  <c r="AY94" i="17"/>
  <c r="K94" i="17"/>
  <c r="BK93" i="17"/>
  <c r="BG93" i="17"/>
  <c r="BC93" i="17"/>
  <c r="AY93" i="17"/>
  <c r="K93" i="17"/>
  <c r="BK92" i="17"/>
  <c r="BG92" i="17"/>
  <c r="BC92" i="17"/>
  <c r="AY92" i="17"/>
  <c r="K92" i="17"/>
  <c r="BK91" i="17"/>
  <c r="BG91" i="17"/>
  <c r="BC91" i="17"/>
  <c r="AY91" i="17"/>
  <c r="K91" i="17"/>
  <c r="BK90" i="17"/>
  <c r="BG90" i="17"/>
  <c r="BC90" i="17"/>
  <c r="AY90" i="17"/>
  <c r="K90" i="17"/>
  <c r="BK89" i="17"/>
  <c r="BG89" i="17"/>
  <c r="BC89" i="17"/>
  <c r="AY89" i="17"/>
  <c r="K89" i="17"/>
  <c r="BK88" i="17"/>
  <c r="BG88" i="17"/>
  <c r="BC88" i="17"/>
  <c r="AY88" i="17"/>
  <c r="K88" i="17"/>
  <c r="BK87" i="17"/>
  <c r="BG87" i="17"/>
  <c r="BC87" i="17"/>
  <c r="AY87" i="17"/>
  <c r="K87" i="17"/>
  <c r="BK86" i="17"/>
  <c r="BG86" i="17"/>
  <c r="BC86" i="17"/>
  <c r="AY86" i="17"/>
  <c r="K86" i="17"/>
  <c r="BK85" i="17"/>
  <c r="BG85" i="17"/>
  <c r="BC85" i="17"/>
  <c r="AY85" i="17"/>
  <c r="K85" i="17"/>
  <c r="BK84" i="17"/>
  <c r="BG84" i="17"/>
  <c r="BC84" i="17"/>
  <c r="AY84" i="17"/>
  <c r="K84" i="17"/>
  <c r="BK83" i="17"/>
  <c r="BG83" i="17"/>
  <c r="BC83" i="17"/>
  <c r="AY83" i="17"/>
  <c r="K83" i="17"/>
  <c r="BK82" i="17"/>
  <c r="BG82" i="17"/>
  <c r="BC82" i="17"/>
  <c r="AY82" i="17"/>
  <c r="K82" i="17"/>
  <c r="BK81" i="17"/>
  <c r="BG81" i="17"/>
  <c r="BC81" i="17"/>
  <c r="AY81" i="17"/>
  <c r="K81" i="17"/>
  <c r="BK80" i="17"/>
  <c r="BG80" i="17"/>
  <c r="BC80" i="17"/>
  <c r="AY80" i="17"/>
  <c r="K80" i="17"/>
  <c r="BK79" i="17"/>
  <c r="BG79" i="17"/>
  <c r="BC79" i="17"/>
  <c r="AY79" i="17"/>
  <c r="K79" i="17"/>
  <c r="BK78" i="17"/>
  <c r="BG78" i="17"/>
  <c r="BC78" i="17"/>
  <c r="AY78" i="17"/>
  <c r="K78" i="17"/>
  <c r="BK77" i="17"/>
  <c r="BG77" i="17"/>
  <c r="BC77" i="17"/>
  <c r="AY77" i="17"/>
  <c r="K77" i="17"/>
  <c r="BK76" i="17"/>
  <c r="BG76" i="17"/>
  <c r="BC76" i="17"/>
  <c r="AY76" i="17"/>
  <c r="K76" i="17"/>
  <c r="BK75" i="17"/>
  <c r="BG75" i="17"/>
  <c r="BC75" i="17"/>
  <c r="AY75" i="17"/>
  <c r="K75" i="17"/>
  <c r="BK74" i="17"/>
  <c r="BG74" i="17"/>
  <c r="BC74" i="17"/>
  <c r="AY74" i="17"/>
  <c r="K74" i="17"/>
  <c r="BK73" i="17"/>
  <c r="BG73" i="17"/>
  <c r="BC73" i="17"/>
  <c r="AY73" i="17"/>
  <c r="K73" i="17"/>
  <c r="BK72" i="17"/>
  <c r="BG72" i="17"/>
  <c r="BC72" i="17"/>
  <c r="AY72" i="17"/>
  <c r="K72" i="17"/>
  <c r="BK71" i="17"/>
  <c r="BG71" i="17"/>
  <c r="BC71" i="17"/>
  <c r="AY71" i="17"/>
  <c r="K71" i="17"/>
  <c r="BK70" i="17"/>
  <c r="BG70" i="17"/>
  <c r="BC70" i="17"/>
  <c r="AY70" i="17"/>
  <c r="K70" i="17"/>
  <c r="BK69" i="17"/>
  <c r="BG69" i="17"/>
  <c r="BC69" i="17"/>
  <c r="AY69" i="17"/>
  <c r="K69" i="17"/>
  <c r="BK68" i="17"/>
  <c r="BG68" i="17"/>
  <c r="BC68" i="17"/>
  <c r="AY68" i="17"/>
  <c r="K68" i="17"/>
  <c r="BK67" i="17"/>
  <c r="BG67" i="17"/>
  <c r="BC67" i="17"/>
  <c r="AY67" i="17"/>
  <c r="K67" i="17"/>
  <c r="BK66" i="17"/>
  <c r="BG66" i="17"/>
  <c r="BC66" i="17"/>
  <c r="AY66" i="17"/>
  <c r="K66" i="17"/>
  <c r="BK65" i="17"/>
  <c r="BG65" i="17"/>
  <c r="BC65" i="17"/>
  <c r="AY65" i="17"/>
  <c r="K65" i="17"/>
  <c r="BK64" i="17"/>
  <c r="BG64" i="17"/>
  <c r="BC64" i="17"/>
  <c r="AY64" i="17"/>
  <c r="K64" i="17"/>
  <c r="BK63" i="17"/>
  <c r="BG63" i="17"/>
  <c r="BC63" i="17"/>
  <c r="AY63" i="17"/>
  <c r="K63" i="17"/>
  <c r="BK62" i="17"/>
  <c r="BG62" i="17"/>
  <c r="BC62" i="17"/>
  <c r="AY62" i="17"/>
  <c r="K62" i="17"/>
  <c r="BK61" i="17"/>
  <c r="BG61" i="17"/>
  <c r="BC61" i="17"/>
  <c r="AY61" i="17"/>
  <c r="K61" i="17"/>
  <c r="BK60" i="17"/>
  <c r="BG60" i="17"/>
  <c r="BC60" i="17"/>
  <c r="AY60" i="17"/>
  <c r="K60" i="17"/>
  <c r="BK59" i="17"/>
  <c r="BG59" i="17"/>
  <c r="BC59" i="17"/>
  <c r="AY59" i="17"/>
  <c r="K59" i="17"/>
  <c r="BK58" i="17"/>
  <c r="BG58" i="17"/>
  <c r="BC58" i="17"/>
  <c r="AY58" i="17"/>
  <c r="K58" i="17"/>
  <c r="BK57" i="17"/>
  <c r="BG57" i="17"/>
  <c r="BC57" i="17"/>
  <c r="AY57" i="17"/>
  <c r="K57" i="17"/>
  <c r="BK56" i="17"/>
  <c r="BG56" i="17"/>
  <c r="BC56" i="17"/>
  <c r="AY56" i="17"/>
  <c r="K56" i="17"/>
  <c r="BK55" i="17"/>
  <c r="BG55" i="17"/>
  <c r="BC55" i="17"/>
  <c r="AY55" i="17"/>
  <c r="K55" i="17"/>
  <c r="BK54" i="17"/>
  <c r="BG54" i="17"/>
  <c r="BC54" i="17"/>
  <c r="AY54" i="17"/>
  <c r="K54" i="17"/>
  <c r="BK53" i="17"/>
  <c r="BG53" i="17"/>
  <c r="BC53" i="17"/>
  <c r="AY53" i="17"/>
  <c r="K53" i="17"/>
  <c r="BK52" i="17"/>
  <c r="BG52" i="17"/>
  <c r="BC52" i="17"/>
  <c r="AY52" i="17"/>
  <c r="K52" i="17"/>
  <c r="BK51" i="17"/>
  <c r="BG51" i="17"/>
  <c r="BC51" i="17"/>
  <c r="AY51" i="17"/>
  <c r="K51" i="17"/>
  <c r="BK50" i="17"/>
  <c r="BG50" i="17"/>
  <c r="BC50" i="17"/>
  <c r="AY50" i="17"/>
  <c r="K50" i="17"/>
  <c r="BK49" i="17"/>
  <c r="BG49" i="17"/>
  <c r="BC49" i="17"/>
  <c r="AY49" i="17"/>
  <c r="K49" i="17"/>
  <c r="BK48" i="17"/>
  <c r="BG48" i="17"/>
  <c r="BC48" i="17"/>
  <c r="AY48" i="17"/>
  <c r="K48" i="17"/>
  <c r="BK47" i="17"/>
  <c r="BG47" i="17"/>
  <c r="BC47" i="17"/>
  <c r="AY47" i="17"/>
  <c r="K47" i="17"/>
  <c r="BK46" i="17"/>
  <c r="BG46" i="17"/>
  <c r="BC46" i="17"/>
  <c r="AY46" i="17"/>
  <c r="K46" i="17"/>
  <c r="BK45" i="17"/>
  <c r="BG45" i="17"/>
  <c r="BC45" i="17"/>
  <c r="AY45" i="17"/>
  <c r="K45" i="17"/>
  <c r="BK44" i="17"/>
  <c r="BG44" i="17"/>
  <c r="BC44" i="17"/>
  <c r="AY44" i="17"/>
  <c r="K44" i="17"/>
  <c r="BK43" i="17"/>
  <c r="BG43" i="17"/>
  <c r="BC43" i="17"/>
  <c r="AY43" i="17"/>
  <c r="K43" i="17"/>
  <c r="BK42" i="17"/>
  <c r="BG42" i="17"/>
  <c r="BC42" i="17"/>
  <c r="AY42" i="17"/>
  <c r="K42" i="17"/>
  <c r="BK41" i="17"/>
  <c r="BG41" i="17"/>
  <c r="BC41" i="17"/>
  <c r="AY41" i="17"/>
  <c r="K41" i="17"/>
  <c r="BK40" i="17"/>
  <c r="BG40" i="17"/>
  <c r="BC40" i="17"/>
  <c r="AY40" i="17"/>
  <c r="K40" i="17"/>
  <c r="BK39" i="17"/>
  <c r="BG39" i="17"/>
  <c r="BC39" i="17"/>
  <c r="AY39" i="17"/>
  <c r="K39" i="17"/>
  <c r="BK38" i="17"/>
  <c r="BG38" i="17"/>
  <c r="BC38" i="17"/>
  <c r="AY38" i="17"/>
  <c r="K38" i="17"/>
  <c r="BK37" i="17"/>
  <c r="BG37" i="17"/>
  <c r="BC37" i="17"/>
  <c r="AY37" i="17"/>
  <c r="K37" i="17"/>
  <c r="BK36" i="17"/>
  <c r="BG36" i="17"/>
  <c r="BC36" i="17"/>
  <c r="AY36" i="17"/>
  <c r="K36" i="17"/>
  <c r="BK35" i="17"/>
  <c r="BG35" i="17"/>
  <c r="BC35" i="17"/>
  <c r="AY35" i="17"/>
  <c r="K35" i="17"/>
  <c r="BK34" i="17"/>
  <c r="BG34" i="17"/>
  <c r="BC34" i="17"/>
  <c r="AY34" i="17"/>
  <c r="K34" i="17"/>
  <c r="BK33" i="17"/>
  <c r="BG33" i="17"/>
  <c r="BC33" i="17"/>
  <c r="AY33" i="17"/>
  <c r="K33" i="17"/>
  <c r="BK32" i="17"/>
  <c r="BG32" i="17"/>
  <c r="BC32" i="17"/>
  <c r="AY32" i="17"/>
  <c r="K32" i="17"/>
  <c r="BK31" i="17"/>
  <c r="BG31" i="17"/>
  <c r="BC31" i="17"/>
  <c r="AY31" i="17"/>
  <c r="K31" i="17"/>
  <c r="BK30" i="17"/>
  <c r="BG30" i="17"/>
  <c r="BC30" i="17"/>
  <c r="AY30" i="17"/>
  <c r="K30" i="17"/>
  <c r="BK29" i="17"/>
  <c r="BG29" i="17"/>
  <c r="BC29" i="17"/>
  <c r="AY29" i="17"/>
  <c r="K29" i="17"/>
  <c r="BK27" i="17"/>
  <c r="BG27" i="17"/>
  <c r="BC27" i="17"/>
  <c r="AY27" i="17"/>
  <c r="K27" i="17"/>
  <c r="BK26" i="17"/>
  <c r="BG26" i="17"/>
  <c r="BC26" i="17"/>
  <c r="AY26" i="17"/>
  <c r="K26" i="17"/>
  <c r="BK25" i="17"/>
  <c r="BG25" i="17"/>
  <c r="BC25" i="17"/>
  <c r="AY25" i="17"/>
  <c r="K25" i="17"/>
  <c r="BK24" i="17"/>
  <c r="BG24" i="17"/>
  <c r="BC24" i="17"/>
  <c r="AY24" i="17"/>
  <c r="K24" i="17"/>
  <c r="BK23" i="17"/>
  <c r="BG23" i="17"/>
  <c r="BC23" i="17"/>
  <c r="AY23" i="17"/>
  <c r="K23" i="17"/>
  <c r="BK22" i="17"/>
  <c r="BG22" i="17"/>
  <c r="BC22" i="17"/>
  <c r="AY22" i="17"/>
  <c r="K22" i="17"/>
  <c r="BK21" i="17"/>
  <c r="BG21" i="17"/>
  <c r="BC21" i="17"/>
  <c r="AY21" i="17"/>
  <c r="K21" i="17"/>
  <c r="BK20" i="17"/>
  <c r="BG20" i="17"/>
  <c r="BC20" i="17"/>
  <c r="AY20" i="17"/>
  <c r="K20" i="17"/>
  <c r="BK18" i="17"/>
  <c r="BG18" i="17"/>
  <c r="BC18" i="17"/>
  <c r="AY18" i="17"/>
  <c r="K18" i="17"/>
  <c r="BK17" i="17"/>
  <c r="BG17" i="17"/>
  <c r="BC17" i="17"/>
  <c r="AY17" i="17"/>
  <c r="K17" i="17"/>
  <c r="BK16" i="17"/>
  <c r="BG16" i="17"/>
  <c r="BC16" i="17"/>
  <c r="AY16" i="17"/>
  <c r="K16" i="17"/>
  <c r="BK15" i="17"/>
  <c r="BG15" i="17"/>
  <c r="BC15" i="17"/>
  <c r="AY15" i="17"/>
  <c r="K15" i="17"/>
  <c r="BK14" i="17"/>
  <c r="BG14" i="17"/>
  <c r="BC14" i="17"/>
  <c r="AY14" i="17"/>
  <c r="K14" i="17"/>
  <c r="BK13" i="17"/>
  <c r="BG13" i="17"/>
  <c r="BC13" i="17"/>
  <c r="AY13" i="17"/>
  <c r="K13" i="17"/>
  <c r="BK12" i="17"/>
  <c r="BG12" i="17"/>
  <c r="BC12" i="17"/>
  <c r="AY12" i="17"/>
  <c r="K12" i="17"/>
  <c r="BK11" i="17"/>
  <c r="BG11" i="17"/>
  <c r="BC11" i="17"/>
  <c r="AY11" i="17"/>
  <c r="K11" i="17"/>
  <c r="BK10" i="17"/>
  <c r="BG10" i="17"/>
  <c r="BC10" i="17"/>
  <c r="AY10" i="17"/>
  <c r="K10" i="17"/>
  <c r="BK9" i="17"/>
  <c r="BG9" i="17"/>
  <c r="BC9" i="17"/>
  <c r="AY9" i="17"/>
  <c r="K9" i="17"/>
  <c r="BK8" i="17"/>
  <c r="BG8" i="17"/>
  <c r="BC8" i="17"/>
  <c r="AY8" i="17"/>
  <c r="K8" i="17"/>
  <c r="BK7" i="17"/>
  <c r="BG7" i="17"/>
  <c r="BC7" i="17"/>
  <c r="AY7" i="17"/>
  <c r="K7" i="17"/>
  <c r="BK6" i="17"/>
  <c r="BG6" i="17"/>
  <c r="BC6" i="17"/>
  <c r="AY6" i="17"/>
  <c r="K6" i="17"/>
  <c r="BK5" i="17"/>
  <c r="BG5" i="17"/>
  <c r="BC5" i="17"/>
  <c r="AY5" i="17"/>
  <c r="K5" i="17"/>
  <c r="BK4" i="17"/>
  <c r="BG4" i="17"/>
  <c r="BC4" i="17"/>
  <c r="AY4" i="17"/>
  <c r="K4" i="17"/>
  <c r="BK3" i="17"/>
  <c r="BG3" i="17"/>
  <c r="BC3" i="17"/>
  <c r="AY3" i="17"/>
  <c r="K3" i="17"/>
  <c r="BK2" i="17"/>
  <c r="BG2" i="17"/>
  <c r="BC2" i="17"/>
  <c r="AY2" i="17"/>
  <c r="K2" i="17"/>
  <c r="AJ9" i="16"/>
  <c r="AH9" i="16"/>
  <c r="AF9" i="16"/>
  <c r="AD9" i="16"/>
  <c r="H9" i="16"/>
  <c r="AJ8" i="16"/>
  <c r="AH8" i="16"/>
  <c r="AF8" i="16"/>
  <c r="AD8" i="16"/>
  <c r="H8" i="16"/>
  <c r="AJ7" i="16"/>
  <c r="AH7" i="16"/>
  <c r="AF7" i="16"/>
  <c r="AD7" i="16"/>
  <c r="H7" i="16"/>
  <c r="AJ6" i="16"/>
  <c r="AH6" i="16"/>
  <c r="AF6" i="16"/>
  <c r="AD6" i="16"/>
  <c r="H6" i="16"/>
  <c r="AJ5" i="16"/>
  <c r="AH5" i="16"/>
  <c r="AF5" i="16"/>
  <c r="AD5" i="16"/>
  <c r="H5" i="16"/>
  <c r="AJ4" i="16"/>
  <c r="AH4" i="16"/>
  <c r="AF4" i="16"/>
  <c r="AD4" i="16"/>
  <c r="H4" i="16"/>
  <c r="AJ3" i="16"/>
  <c r="AH3" i="16"/>
  <c r="AF3" i="16"/>
  <c r="AD3" i="16"/>
  <c r="H3" i="16"/>
  <c r="AJ2" i="16"/>
  <c r="AH2" i="16"/>
  <c r="AF2" i="16"/>
  <c r="AD2" i="16"/>
  <c r="H2" i="16"/>
  <c r="H74" i="4"/>
  <c r="H73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L52" i="4"/>
  <c r="AL53" i="4"/>
  <c r="AL54" i="4"/>
  <c r="AL55" i="4"/>
  <c r="AL56" i="4"/>
  <c r="AL57" i="4"/>
  <c r="AL58" i="4"/>
  <c r="AL59" i="4"/>
  <c r="AL60" i="4"/>
  <c r="AL61" i="4"/>
  <c r="AL62" i="4"/>
  <c r="AL63" i="4"/>
  <c r="AL64" i="4"/>
  <c r="AL65" i="4"/>
  <c r="AL66" i="4"/>
  <c r="AL67" i="4"/>
  <c r="AL68" i="4"/>
  <c r="AL69" i="4"/>
  <c r="AL70" i="4"/>
  <c r="AL71" i="4"/>
  <c r="AL5" i="4"/>
  <c r="AJ6" i="4"/>
  <c r="AJ7" i="4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0" i="4"/>
  <c r="AJ41" i="4"/>
  <c r="AJ42" i="4"/>
  <c r="AJ43" i="4"/>
  <c r="AJ44" i="4"/>
  <c r="AJ45" i="4"/>
  <c r="AJ46" i="4"/>
  <c r="AJ47" i="4"/>
  <c r="AJ48" i="4"/>
  <c r="AJ49" i="4"/>
  <c r="AJ50" i="4"/>
  <c r="AJ51" i="4"/>
  <c r="AJ52" i="4"/>
  <c r="AJ53" i="4"/>
  <c r="AJ54" i="4"/>
  <c r="AJ55" i="4"/>
  <c r="AJ56" i="4"/>
  <c r="AJ57" i="4"/>
  <c r="AJ58" i="4"/>
  <c r="AJ59" i="4"/>
  <c r="AJ60" i="4"/>
  <c r="AJ61" i="4"/>
  <c r="AJ62" i="4"/>
  <c r="AJ63" i="4"/>
  <c r="AJ64" i="4"/>
  <c r="AJ65" i="4"/>
  <c r="AJ66" i="4"/>
  <c r="AJ67" i="4"/>
  <c r="AJ68" i="4"/>
  <c r="AJ69" i="4"/>
  <c r="AJ70" i="4"/>
  <c r="AJ71" i="4"/>
  <c r="AJ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5" i="4"/>
  <c r="AE74" i="4"/>
  <c r="AD74" i="4"/>
  <c r="AC74" i="4"/>
  <c r="AB74" i="4"/>
  <c r="AA74" i="4"/>
  <c r="Z74" i="4"/>
  <c r="Y74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5" i="4"/>
  <c r="AE73" i="4"/>
  <c r="AD73" i="4"/>
  <c r="AC73" i="4"/>
  <c r="AB73" i="4"/>
  <c r="AA73" i="4"/>
  <c r="Z73" i="4"/>
  <c r="Y73" i="4"/>
  <c r="X73" i="4"/>
  <c r="W73" i="4"/>
  <c r="X74" i="4"/>
  <c r="W74" i="4"/>
  <c r="I72" i="4"/>
  <c r="T30" i="6"/>
  <c r="AM29" i="8"/>
  <c r="AM30" i="8"/>
  <c r="AM31" i="8"/>
  <c r="AM32" i="8"/>
  <c r="AM33" i="8"/>
  <c r="AM34" i="8"/>
  <c r="AM35" i="8"/>
  <c r="AM36" i="8"/>
  <c r="AM37" i="8"/>
  <c r="AM38" i="8"/>
  <c r="AM39" i="8"/>
  <c r="AM40" i="8"/>
  <c r="AM41" i="8"/>
  <c r="AM42" i="8"/>
  <c r="AM43" i="8"/>
  <c r="AM44" i="8"/>
  <c r="AM45" i="8"/>
  <c r="AM46" i="8"/>
  <c r="AM47" i="8"/>
  <c r="AM48" i="8"/>
  <c r="AM49" i="8"/>
  <c r="AM50" i="8"/>
  <c r="AM51" i="8"/>
  <c r="AM52" i="8"/>
  <c r="AM53" i="8"/>
  <c r="AL29" i="8"/>
  <c r="AL30" i="8"/>
  <c r="AL31" i="8"/>
  <c r="AL32" i="8"/>
  <c r="AL33" i="8"/>
  <c r="AL34" i="8"/>
  <c r="AL35" i="8"/>
  <c r="AL36" i="8"/>
  <c r="AL37" i="8"/>
  <c r="AL38" i="8"/>
  <c r="AL39" i="8"/>
  <c r="AL40" i="8"/>
  <c r="AL41" i="8"/>
  <c r="AL42" i="8"/>
  <c r="AL43" i="8"/>
  <c r="AL44" i="8"/>
  <c r="AL45" i="8"/>
  <c r="AL46" i="8"/>
  <c r="AL47" i="8"/>
  <c r="AL48" i="8"/>
  <c r="AL49" i="8"/>
  <c r="AL50" i="8"/>
  <c r="AL51" i="8"/>
  <c r="AL52" i="8"/>
  <c r="AL53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J29" i="8"/>
  <c r="AJ30" i="8"/>
  <c r="AJ31" i="8"/>
  <c r="AJ32" i="8"/>
  <c r="AJ33" i="8"/>
  <c r="AJ34" i="8"/>
  <c r="AJ35" i="8"/>
  <c r="AJ36" i="8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3" i="8"/>
  <c r="AI29" i="8"/>
  <c r="AI30" i="8"/>
  <c r="AI31" i="8"/>
  <c r="AI32" i="8"/>
  <c r="AI33" i="8"/>
  <c r="AI34" i="8"/>
  <c r="AI35" i="8"/>
  <c r="AI36" i="8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3" i="8"/>
  <c r="AH29" i="8"/>
  <c r="AH30" i="8"/>
  <c r="AH31" i="8"/>
  <c r="AH32" i="8"/>
  <c r="AH33" i="8"/>
  <c r="AH34" i="8"/>
  <c r="AH35" i="8"/>
  <c r="AH36" i="8"/>
  <c r="AH37" i="8"/>
  <c r="AH38" i="8"/>
  <c r="AH39" i="8"/>
  <c r="AH40" i="8"/>
  <c r="AH41" i="8"/>
  <c r="AH42" i="8"/>
  <c r="AH43" i="8"/>
  <c r="AH44" i="8"/>
  <c r="AH45" i="8"/>
  <c r="AH46" i="8"/>
  <c r="AH47" i="8"/>
  <c r="AH48" i="8"/>
  <c r="AH49" i="8"/>
  <c r="AH50" i="8"/>
  <c r="AH51" i="8"/>
  <c r="AH52" i="8"/>
  <c r="AH53" i="8"/>
  <c r="AG29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3" i="8"/>
  <c r="AF29" i="8"/>
  <c r="AF30" i="8"/>
  <c r="AF31" i="8"/>
  <c r="AF32" i="8"/>
  <c r="AF33" i="8"/>
  <c r="AF34" i="8"/>
  <c r="AF35" i="8"/>
  <c r="AF36" i="8"/>
  <c r="AF41" i="8"/>
  <c r="AF49" i="8"/>
  <c r="AE29" i="8"/>
  <c r="AE30" i="8"/>
  <c r="AE31" i="8"/>
  <c r="AE32" i="8"/>
  <c r="AE33" i="8"/>
  <c r="AE34" i="8"/>
  <c r="AE35" i="8"/>
  <c r="AE36" i="8"/>
  <c r="AE40" i="8"/>
  <c r="AE48" i="8"/>
  <c r="AD29" i="8"/>
  <c r="AD30" i="8"/>
  <c r="AD31" i="8"/>
  <c r="AD32" i="8"/>
  <c r="AD33" i="8"/>
  <c r="AD34" i="8"/>
  <c r="AD35" i="8"/>
  <c r="AD36" i="8"/>
  <c r="AD39" i="8"/>
  <c r="AD47" i="8"/>
  <c r="AC29" i="8"/>
  <c r="AC30" i="8"/>
  <c r="AC31" i="8"/>
  <c r="AC32" i="8"/>
  <c r="AC33" i="8"/>
  <c r="AC34" i="8"/>
  <c r="AC35" i="8"/>
  <c r="AC36" i="8"/>
  <c r="AC37" i="8"/>
  <c r="AC38" i="8"/>
  <c r="AC39" i="8"/>
  <c r="AC40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3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44" i="8"/>
  <c r="AB45" i="8"/>
  <c r="AB46" i="8"/>
  <c r="AB47" i="8"/>
  <c r="AB48" i="8"/>
  <c r="AB49" i="8"/>
  <c r="AB50" i="8"/>
  <c r="AB51" i="8"/>
  <c r="AB52" i="8"/>
  <c r="AB53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A47" i="8"/>
  <c r="AA48" i="8"/>
  <c r="AA49" i="8"/>
  <c r="AA50" i="8"/>
  <c r="AA51" i="8"/>
  <c r="AA52" i="8"/>
  <c r="AA53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44" i="8"/>
  <c r="Z45" i="8"/>
  <c r="Z46" i="8"/>
  <c r="Z47" i="8"/>
  <c r="Z48" i="8"/>
  <c r="Z49" i="8"/>
  <c r="Z50" i="8"/>
  <c r="Z51" i="8"/>
  <c r="Z52" i="8"/>
  <c r="Z53" i="8"/>
  <c r="Y29" i="8"/>
  <c r="Y30" i="8"/>
  <c r="Y31" i="8"/>
  <c r="Y32" i="8"/>
  <c r="Y33" i="8"/>
  <c r="Y34" i="8"/>
  <c r="Y35" i="8"/>
  <c r="Y36" i="8"/>
  <c r="Y37" i="8"/>
  <c r="Y38" i="8"/>
  <c r="Y39" i="8"/>
  <c r="Y40" i="8"/>
  <c r="Y41" i="8"/>
  <c r="Y42" i="8"/>
  <c r="Y43" i="8"/>
  <c r="Y44" i="8"/>
  <c r="Y45" i="8"/>
  <c r="Y46" i="8"/>
  <c r="Y47" i="8"/>
  <c r="Y48" i="8"/>
  <c r="Y49" i="8"/>
  <c r="Y50" i="8"/>
  <c r="Y51" i="8"/>
  <c r="Y52" i="8"/>
  <c r="Y53" i="8"/>
  <c r="X29" i="8"/>
  <c r="X30" i="8"/>
  <c r="X31" i="8"/>
  <c r="X32" i="8"/>
  <c r="X33" i="8"/>
  <c r="X34" i="8"/>
  <c r="X35" i="8"/>
  <c r="X36" i="8"/>
  <c r="X37" i="8"/>
  <c r="X38" i="8"/>
  <c r="X39" i="8"/>
  <c r="X40" i="8"/>
  <c r="X41" i="8"/>
  <c r="X42" i="8"/>
  <c r="X43" i="8"/>
  <c r="X44" i="8"/>
  <c r="X45" i="8"/>
  <c r="X46" i="8"/>
  <c r="X47" i="8"/>
  <c r="X48" i="8"/>
  <c r="X49" i="8"/>
  <c r="X50" i="8"/>
  <c r="X51" i="8"/>
  <c r="X52" i="8"/>
  <c r="X53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29" i="8"/>
  <c r="T53" i="8"/>
  <c r="F53" i="8"/>
  <c r="F29" i="8"/>
  <c r="G104" i="2"/>
  <c r="G103" i="2"/>
  <c r="G102" i="2"/>
  <c r="G101" i="2"/>
  <c r="G100" i="2"/>
  <c r="AR112" i="2"/>
  <c r="AR111" i="2"/>
  <c r="Y76" i="4"/>
  <c r="AA76" i="4" s="1"/>
  <c r="H78" i="4"/>
  <c r="C21" i="1"/>
  <c r="C20" i="1"/>
  <c r="C19" i="1"/>
  <c r="C18" i="1"/>
  <c r="W112" i="2"/>
  <c r="H76" i="4"/>
  <c r="U108" i="2" a="1"/>
  <c r="U108" i="2" s="1"/>
  <c r="AJ3" i="2"/>
  <c r="AL3" i="4"/>
  <c r="AL4" i="4"/>
  <c r="AJ96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7" i="2"/>
  <c r="AJ98" i="2"/>
  <c r="AJ99" i="2"/>
  <c r="AJ100" i="2"/>
  <c r="D3" i="5"/>
  <c r="AD2" i="7"/>
  <c r="AD3" i="7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2" i="6"/>
  <c r="AD3" i="6"/>
  <c r="AD4" i="6"/>
  <c r="AD5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D66" i="6"/>
  <c r="AF3" i="4"/>
  <c r="AF4" i="4"/>
  <c r="AD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J3" i="7"/>
  <c r="AJ4" i="7"/>
  <c r="AJ5" i="7"/>
  <c r="AJ6" i="7"/>
  <c r="AJ7" i="7"/>
  <c r="AF7" i="8" s="1"/>
  <c r="AJ8" i="7"/>
  <c r="AJ9" i="7"/>
  <c r="AJ10" i="7"/>
  <c r="AJ11" i="7"/>
  <c r="AJ12" i="7"/>
  <c r="AJ13" i="7"/>
  <c r="AJ14" i="7"/>
  <c r="AJ15" i="7"/>
  <c r="AF15" i="8" s="1"/>
  <c r="AJ16" i="7"/>
  <c r="AJ17" i="7"/>
  <c r="AJ18" i="7"/>
  <c r="AJ19" i="7"/>
  <c r="AJ20" i="7"/>
  <c r="AJ21" i="7"/>
  <c r="AJ22" i="7"/>
  <c r="AJ23" i="7"/>
  <c r="AF23" i="8" s="1"/>
  <c r="AJ24" i="7"/>
  <c r="AJ25" i="7"/>
  <c r="AJ26" i="7"/>
  <c r="AJ27" i="7"/>
  <c r="AJ28" i="7"/>
  <c r="AJ29" i="7"/>
  <c r="AJ30" i="7"/>
  <c r="AJ31" i="7"/>
  <c r="AJ32" i="7"/>
  <c r="AJ33" i="7"/>
  <c r="AJ34" i="7"/>
  <c r="AJ35" i="7"/>
  <c r="AJ36" i="7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2" i="7"/>
  <c r="AJ3" i="6"/>
  <c r="AF3" i="8" s="1"/>
  <c r="AJ4" i="6"/>
  <c r="AF4" i="8" s="1"/>
  <c r="AJ5" i="6"/>
  <c r="AF5" i="8" s="1"/>
  <c r="AJ6" i="6"/>
  <c r="AF6" i="8" s="1"/>
  <c r="AJ7" i="6"/>
  <c r="AJ8" i="6"/>
  <c r="AF8" i="8" s="1"/>
  <c r="AJ9" i="6"/>
  <c r="AJ10" i="6"/>
  <c r="AF10" i="8" s="1"/>
  <c r="AJ11" i="6"/>
  <c r="AF11" i="8" s="1"/>
  <c r="AJ12" i="6"/>
  <c r="AF12" i="8" s="1"/>
  <c r="AJ13" i="6"/>
  <c r="AF13" i="8" s="1"/>
  <c r="AJ14" i="6"/>
  <c r="AF14" i="8" s="1"/>
  <c r="AJ15" i="6"/>
  <c r="AJ16" i="6"/>
  <c r="AF16" i="8" s="1"/>
  <c r="AJ17" i="6"/>
  <c r="AJ18" i="6"/>
  <c r="AF18" i="8" s="1"/>
  <c r="AJ19" i="6"/>
  <c r="AF19" i="8" s="1"/>
  <c r="AJ20" i="6"/>
  <c r="AF20" i="8" s="1"/>
  <c r="AJ21" i="6"/>
  <c r="AF21" i="8" s="1"/>
  <c r="AJ22" i="6"/>
  <c r="AF22" i="8" s="1"/>
  <c r="AJ23" i="6"/>
  <c r="AJ24" i="6"/>
  <c r="AF24" i="8" s="1"/>
  <c r="AJ25" i="6"/>
  <c r="AJ26" i="6"/>
  <c r="AF26" i="8" s="1"/>
  <c r="AJ27" i="6"/>
  <c r="AF27" i="8" s="1"/>
  <c r="AJ28" i="6"/>
  <c r="AF28" i="8" s="1"/>
  <c r="AJ29" i="6"/>
  <c r="AJ30" i="6"/>
  <c r="AJ31" i="6"/>
  <c r="AJ32" i="6"/>
  <c r="AJ33" i="6"/>
  <c r="AJ34" i="6"/>
  <c r="AJ35" i="6"/>
  <c r="AJ36" i="6"/>
  <c r="AJ37" i="6"/>
  <c r="AF37" i="8" s="1"/>
  <c r="AJ38" i="6"/>
  <c r="AF38" i="8" s="1"/>
  <c r="AJ39" i="6"/>
  <c r="AF39" i="8" s="1"/>
  <c r="AJ40" i="6"/>
  <c r="AF40" i="8" s="1"/>
  <c r="AJ41" i="6"/>
  <c r="AJ42" i="6"/>
  <c r="AF42" i="8" s="1"/>
  <c r="AJ43" i="6"/>
  <c r="AF43" i="8" s="1"/>
  <c r="AJ44" i="6"/>
  <c r="AF44" i="8" s="1"/>
  <c r="AJ45" i="6"/>
  <c r="AF45" i="8" s="1"/>
  <c r="AJ46" i="6"/>
  <c r="AF46" i="8" s="1"/>
  <c r="AJ47" i="6"/>
  <c r="AF47" i="8" s="1"/>
  <c r="AJ48" i="6"/>
  <c r="AF48" i="8" s="1"/>
  <c r="AJ49" i="6"/>
  <c r="AJ50" i="6"/>
  <c r="AF50" i="8" s="1"/>
  <c r="AJ51" i="6"/>
  <c r="AF51" i="8" s="1"/>
  <c r="AJ52" i="6"/>
  <c r="AF52" i="8" s="1"/>
  <c r="AJ53" i="6"/>
  <c r="AF53" i="8" s="1"/>
  <c r="AJ54" i="6"/>
  <c r="AJ55" i="6"/>
  <c r="AJ56" i="6"/>
  <c r="AJ57" i="6"/>
  <c r="AJ58" i="6"/>
  <c r="AJ59" i="6"/>
  <c r="AJ60" i="6"/>
  <c r="AJ61" i="6"/>
  <c r="AJ62" i="6"/>
  <c r="AJ63" i="6"/>
  <c r="AJ64" i="6"/>
  <c r="AJ65" i="6"/>
  <c r="AJ66" i="6"/>
  <c r="AJ2" i="6"/>
  <c r="AJ2" i="2"/>
  <c r="T3" i="7"/>
  <c r="AH2" i="7"/>
  <c r="AH3" i="7"/>
  <c r="AE3" i="8" s="1"/>
  <c r="AH4" i="7"/>
  <c r="AH5" i="7"/>
  <c r="AH6" i="7"/>
  <c r="AH7" i="7"/>
  <c r="AH8" i="7"/>
  <c r="AH9" i="7"/>
  <c r="AH10" i="7"/>
  <c r="AE10" i="8" s="1"/>
  <c r="AH11" i="7"/>
  <c r="AE11" i="8" s="1"/>
  <c r="AH12" i="7"/>
  <c r="AH13" i="7"/>
  <c r="AH14" i="7"/>
  <c r="AH15" i="7"/>
  <c r="AH16" i="7"/>
  <c r="AH17" i="7"/>
  <c r="AH18" i="7"/>
  <c r="AE18" i="8" s="1"/>
  <c r="AH19" i="7"/>
  <c r="AE19" i="8" s="1"/>
  <c r="AH20" i="7"/>
  <c r="AH21" i="7"/>
  <c r="AH22" i="7"/>
  <c r="AH23" i="7"/>
  <c r="AH24" i="7"/>
  <c r="AH25" i="7"/>
  <c r="AH26" i="7"/>
  <c r="AE26" i="8" s="1"/>
  <c r="AH27" i="7"/>
  <c r="AE27" i="8" s="1"/>
  <c r="AH28" i="7"/>
  <c r="AH29" i="7"/>
  <c r="AH30" i="7"/>
  <c r="AH31" i="7"/>
  <c r="AH32" i="7"/>
  <c r="AH33" i="7"/>
  <c r="AH34" i="7"/>
  <c r="AH35" i="7"/>
  <c r="AH36" i="7"/>
  <c r="AH37" i="7"/>
  <c r="AH38" i="7"/>
  <c r="AH39" i="7"/>
  <c r="AH40" i="7"/>
  <c r="AH41" i="7"/>
  <c r="AH42" i="7"/>
  <c r="AH43" i="7"/>
  <c r="AH44" i="7"/>
  <c r="AH45" i="7"/>
  <c r="AH46" i="7"/>
  <c r="AH47" i="7"/>
  <c r="AH48" i="7"/>
  <c r="AH49" i="7"/>
  <c r="AH50" i="7"/>
  <c r="AH51" i="7"/>
  <c r="AH2" i="6"/>
  <c r="AH3" i="6"/>
  <c r="AH4" i="6"/>
  <c r="AE4" i="8" s="1"/>
  <c r="AH5" i="6"/>
  <c r="AE5" i="8" s="1"/>
  <c r="AH6" i="6"/>
  <c r="AE6" i="8" s="1"/>
  <c r="AH7" i="6"/>
  <c r="AE7" i="8" s="1"/>
  <c r="AH8" i="6"/>
  <c r="AH9" i="6"/>
  <c r="AH10" i="6"/>
  <c r="AH11" i="6"/>
  <c r="AH12" i="6"/>
  <c r="AE12" i="8" s="1"/>
  <c r="AH13" i="6"/>
  <c r="AE13" i="8" s="1"/>
  <c r="AH14" i="6"/>
  <c r="AE14" i="8" s="1"/>
  <c r="AH15" i="6"/>
  <c r="AE15" i="8" s="1"/>
  <c r="AH16" i="6"/>
  <c r="AH17" i="6"/>
  <c r="AH18" i="6"/>
  <c r="AH19" i="6"/>
  <c r="AH20" i="6"/>
  <c r="AE20" i="8" s="1"/>
  <c r="AH21" i="6"/>
  <c r="AE21" i="8" s="1"/>
  <c r="AH22" i="6"/>
  <c r="AE22" i="8" s="1"/>
  <c r="AH23" i="6"/>
  <c r="AE23" i="8" s="1"/>
  <c r="AH24" i="6"/>
  <c r="AH25" i="6"/>
  <c r="AH26" i="6"/>
  <c r="AH27" i="6"/>
  <c r="AH28" i="6"/>
  <c r="AE28" i="8" s="1"/>
  <c r="AH29" i="6"/>
  <c r="AH30" i="6"/>
  <c r="AH31" i="6"/>
  <c r="AH32" i="6"/>
  <c r="AH33" i="6"/>
  <c r="AH34" i="6"/>
  <c r="AH35" i="6"/>
  <c r="AH36" i="6"/>
  <c r="AH37" i="6"/>
  <c r="AE37" i="8" s="1"/>
  <c r="AH38" i="6"/>
  <c r="AE38" i="8" s="1"/>
  <c r="AH39" i="6"/>
  <c r="AE39" i="8" s="1"/>
  <c r="AH40" i="6"/>
  <c r="AH41" i="6"/>
  <c r="AE41" i="8" s="1"/>
  <c r="AH42" i="6"/>
  <c r="AE42" i="8" s="1"/>
  <c r="AH43" i="6"/>
  <c r="AE43" i="8" s="1"/>
  <c r="AH44" i="6"/>
  <c r="AE44" i="8" s="1"/>
  <c r="AH45" i="6"/>
  <c r="AE45" i="8" s="1"/>
  <c r="AH46" i="6"/>
  <c r="AE46" i="8" s="1"/>
  <c r="AH47" i="6"/>
  <c r="AE47" i="8" s="1"/>
  <c r="AH48" i="6"/>
  <c r="AH49" i="6"/>
  <c r="AE49" i="8" s="1"/>
  <c r="AH50" i="6"/>
  <c r="AE50" i="8" s="1"/>
  <c r="AH51" i="6"/>
  <c r="AE51" i="8" s="1"/>
  <c r="AH52" i="6"/>
  <c r="AE52" i="8" s="1"/>
  <c r="AH53" i="6"/>
  <c r="AE53" i="8" s="1"/>
  <c r="AH54" i="6"/>
  <c r="AH55" i="6"/>
  <c r="AH56" i="6"/>
  <c r="AH57" i="6"/>
  <c r="AH58" i="6"/>
  <c r="AH59" i="6"/>
  <c r="AH60" i="6"/>
  <c r="AH61" i="6"/>
  <c r="AH62" i="6"/>
  <c r="AH63" i="6"/>
  <c r="AH64" i="6"/>
  <c r="AH65" i="6"/>
  <c r="AH66" i="6"/>
  <c r="AH3" i="2"/>
  <c r="AF2" i="6"/>
  <c r="AF3" i="6"/>
  <c r="AF4" i="6"/>
  <c r="AF5" i="6"/>
  <c r="AF6" i="6"/>
  <c r="AF7" i="6"/>
  <c r="AF8" i="6"/>
  <c r="AF9" i="6"/>
  <c r="AF10" i="6"/>
  <c r="AF11" i="6"/>
  <c r="AF12" i="6"/>
  <c r="AF13" i="6"/>
  <c r="AF14" i="6"/>
  <c r="AF15" i="6"/>
  <c r="AF16" i="6"/>
  <c r="AD16" i="8" s="1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D37" i="8" s="1"/>
  <c r="AF38" i="6"/>
  <c r="AD38" i="8" s="1"/>
  <c r="AF39" i="6"/>
  <c r="AF40" i="6"/>
  <c r="AD40" i="8" s="1"/>
  <c r="AF41" i="6"/>
  <c r="AD41" i="8" s="1"/>
  <c r="AF42" i="6"/>
  <c r="AD42" i="8" s="1"/>
  <c r="AF43" i="6"/>
  <c r="AD43" i="8" s="1"/>
  <c r="AF44" i="6"/>
  <c r="AD44" i="8" s="1"/>
  <c r="AF45" i="6"/>
  <c r="AD45" i="8" s="1"/>
  <c r="AF46" i="6"/>
  <c r="AD46" i="8" s="1"/>
  <c r="AF47" i="6"/>
  <c r="AF48" i="6"/>
  <c r="AD48" i="8" s="1"/>
  <c r="AF49" i="6"/>
  <c r="AD49" i="8" s="1"/>
  <c r="AF50" i="6"/>
  <c r="AD50" i="8" s="1"/>
  <c r="AF51" i="6"/>
  <c r="AD51" i="8" s="1"/>
  <c r="AF52" i="6"/>
  <c r="AD52" i="8" s="1"/>
  <c r="AF53" i="6"/>
  <c r="AD53" i="8" s="1"/>
  <c r="AF54" i="6"/>
  <c r="AF55" i="6"/>
  <c r="AF56" i="6"/>
  <c r="AF57" i="6"/>
  <c r="AF58" i="6"/>
  <c r="AF59" i="6"/>
  <c r="AF60" i="6"/>
  <c r="AF61" i="6"/>
  <c r="AF62" i="6"/>
  <c r="AF63" i="6"/>
  <c r="AF64" i="6"/>
  <c r="AF65" i="6"/>
  <c r="AF66" i="6"/>
  <c r="AF2" i="7"/>
  <c r="AF3" i="7"/>
  <c r="AF4" i="7"/>
  <c r="AF5" i="7"/>
  <c r="AF6" i="7"/>
  <c r="AF7" i="7"/>
  <c r="AF8" i="7"/>
  <c r="AD8" i="8" s="1"/>
  <c r="AF9" i="7"/>
  <c r="AD9" i="8" s="1"/>
  <c r="AF10" i="7"/>
  <c r="AF11" i="7"/>
  <c r="AF12" i="7"/>
  <c r="AF13" i="7"/>
  <c r="AF14" i="7"/>
  <c r="AF15" i="7"/>
  <c r="AF16" i="7"/>
  <c r="AF17" i="7"/>
  <c r="AD17" i="8" s="1"/>
  <c r="AF18" i="7"/>
  <c r="AF19" i="7"/>
  <c r="AF20" i="7"/>
  <c r="AF21" i="7"/>
  <c r="AF22" i="7"/>
  <c r="AD22" i="8" s="1"/>
  <c r="AF23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36" i="7"/>
  <c r="AF37" i="7"/>
  <c r="AF38" i="7"/>
  <c r="AF39" i="7"/>
  <c r="AF40" i="7"/>
  <c r="AF41" i="7"/>
  <c r="AF42" i="7"/>
  <c r="AF43" i="7"/>
  <c r="AF44" i="7"/>
  <c r="AF45" i="7"/>
  <c r="AF46" i="7"/>
  <c r="AF47" i="7"/>
  <c r="AF48" i="7"/>
  <c r="AF49" i="7"/>
  <c r="AF50" i="7"/>
  <c r="AF51" i="7"/>
  <c r="AF73" i="17" l="1"/>
  <c r="CC73" i="17" s="1"/>
  <c r="AF65" i="17"/>
  <c r="CC65" i="17" s="1"/>
  <c r="AF49" i="17"/>
  <c r="CC49" i="17" s="1"/>
  <c r="AF25" i="17"/>
  <c r="CC25" i="17" s="1"/>
  <c r="AF9" i="17"/>
  <c r="CC9" i="17" s="1"/>
  <c r="AF57" i="17"/>
  <c r="CC57" i="17" s="1"/>
  <c r="AF41" i="17"/>
  <c r="CC41" i="17" s="1"/>
  <c r="AF97" i="17"/>
  <c r="CC97" i="17" s="1"/>
  <c r="AF33" i="17"/>
  <c r="CC33" i="17" s="1"/>
  <c r="AF89" i="17"/>
  <c r="CC89" i="17" s="1"/>
  <c r="AF81" i="17"/>
  <c r="CC81" i="17" s="1"/>
  <c r="AF17" i="17"/>
  <c r="CC17" i="17" s="1"/>
  <c r="AF96" i="17"/>
  <c r="CC96" i="17" s="1"/>
  <c r="AF88" i="17"/>
  <c r="CC88" i="17" s="1"/>
  <c r="AF80" i="17"/>
  <c r="CC80" i="17" s="1"/>
  <c r="AF72" i="17"/>
  <c r="CC72" i="17" s="1"/>
  <c r="AF64" i="17"/>
  <c r="CC64" i="17" s="1"/>
  <c r="AF56" i="17"/>
  <c r="CC56" i="17" s="1"/>
  <c r="AF48" i="17"/>
  <c r="CC48" i="17" s="1"/>
  <c r="AF40" i="17"/>
  <c r="CC40" i="17" s="1"/>
  <c r="AF32" i="17"/>
  <c r="CC32" i="17" s="1"/>
  <c r="AF24" i="17"/>
  <c r="CC24" i="17" s="1"/>
  <c r="AF16" i="17"/>
  <c r="CC16" i="17" s="1"/>
  <c r="AF8" i="17"/>
  <c r="CC8" i="17" s="1"/>
  <c r="AF95" i="17"/>
  <c r="CC95" i="17" s="1"/>
  <c r="AF55" i="17"/>
  <c r="CC55" i="17" s="1"/>
  <c r="AF7" i="17"/>
  <c r="CC7" i="17" s="1"/>
  <c r="AF102" i="17"/>
  <c r="CC102" i="17" s="1"/>
  <c r="AF94" i="17"/>
  <c r="CC94" i="17" s="1"/>
  <c r="AF86" i="17"/>
  <c r="CC86" i="17" s="1"/>
  <c r="AF78" i="17"/>
  <c r="CC78" i="17" s="1"/>
  <c r="AF70" i="17"/>
  <c r="CC70" i="17" s="1"/>
  <c r="AF62" i="17"/>
  <c r="CC62" i="17" s="1"/>
  <c r="AF54" i="17"/>
  <c r="CC54" i="17" s="1"/>
  <c r="AF46" i="17"/>
  <c r="CC46" i="17" s="1"/>
  <c r="AF38" i="17"/>
  <c r="CC38" i="17" s="1"/>
  <c r="AF30" i="17"/>
  <c r="CC30" i="17" s="1"/>
  <c r="AF22" i="17"/>
  <c r="CC22" i="17" s="1"/>
  <c r="AF14" i="17"/>
  <c r="CC14" i="17" s="1"/>
  <c r="AF6" i="17"/>
  <c r="CC6" i="17" s="1"/>
  <c r="AF103" i="17"/>
  <c r="CC103" i="17" s="1"/>
  <c r="AF71" i="17"/>
  <c r="CC71" i="17" s="1"/>
  <c r="AF15" i="17"/>
  <c r="CC15" i="17" s="1"/>
  <c r="AF101" i="17"/>
  <c r="CC101" i="17" s="1"/>
  <c r="AF93" i="17"/>
  <c r="CC93" i="17" s="1"/>
  <c r="AF85" i="17"/>
  <c r="CC85" i="17" s="1"/>
  <c r="AF77" i="17"/>
  <c r="CC77" i="17" s="1"/>
  <c r="AF69" i="17"/>
  <c r="CC69" i="17" s="1"/>
  <c r="AF61" i="17"/>
  <c r="CC61" i="17" s="1"/>
  <c r="AF53" i="17"/>
  <c r="CC53" i="17" s="1"/>
  <c r="AF45" i="17"/>
  <c r="CC45" i="17" s="1"/>
  <c r="AF37" i="17"/>
  <c r="CC37" i="17" s="1"/>
  <c r="AF29" i="17"/>
  <c r="CC29" i="17" s="1"/>
  <c r="AF21" i="17"/>
  <c r="CC21" i="17" s="1"/>
  <c r="AF13" i="17"/>
  <c r="CC13" i="17" s="1"/>
  <c r="AF5" i="17"/>
  <c r="CC5" i="17" s="1"/>
  <c r="AF63" i="17"/>
  <c r="CC63" i="17" s="1"/>
  <c r="AF23" i="17"/>
  <c r="CC23" i="17" s="1"/>
  <c r="AF100" i="17"/>
  <c r="CC100" i="17" s="1"/>
  <c r="AF92" i="17"/>
  <c r="CC92" i="17" s="1"/>
  <c r="AF84" i="17"/>
  <c r="CC84" i="17" s="1"/>
  <c r="AF76" i="17"/>
  <c r="CC76" i="17" s="1"/>
  <c r="AF68" i="17"/>
  <c r="CC68" i="17" s="1"/>
  <c r="AF60" i="17"/>
  <c r="CC60" i="17" s="1"/>
  <c r="AF52" i="17"/>
  <c r="CC52" i="17" s="1"/>
  <c r="AF44" i="17"/>
  <c r="CC44" i="17" s="1"/>
  <c r="AF36" i="17"/>
  <c r="CC36" i="17" s="1"/>
  <c r="AF28" i="17"/>
  <c r="CC28" i="17" s="1"/>
  <c r="AF20" i="17"/>
  <c r="CC20" i="17" s="1"/>
  <c r="AF12" i="17"/>
  <c r="CC12" i="17" s="1"/>
  <c r="AF4" i="17"/>
  <c r="CC4" i="17" s="1"/>
  <c r="AF79" i="17"/>
  <c r="CC79" i="17" s="1"/>
  <c r="AF31" i="17"/>
  <c r="CC31" i="17" s="1"/>
  <c r="AF99" i="17"/>
  <c r="CC99" i="17" s="1"/>
  <c r="AF91" i="17"/>
  <c r="CC91" i="17" s="1"/>
  <c r="AF83" i="17"/>
  <c r="CC83" i="17" s="1"/>
  <c r="AF75" i="17"/>
  <c r="CC75" i="17" s="1"/>
  <c r="AF67" i="17"/>
  <c r="CC67" i="17" s="1"/>
  <c r="AF59" i="17"/>
  <c r="CC59" i="17" s="1"/>
  <c r="AF51" i="17"/>
  <c r="CC51" i="17" s="1"/>
  <c r="AF43" i="17"/>
  <c r="CC43" i="17" s="1"/>
  <c r="AF35" i="17"/>
  <c r="CC35" i="17" s="1"/>
  <c r="AF27" i="17"/>
  <c r="CC27" i="17" s="1"/>
  <c r="AF19" i="17"/>
  <c r="CC19" i="17" s="1"/>
  <c r="AF11" i="17"/>
  <c r="CC11" i="17" s="1"/>
  <c r="AF3" i="17"/>
  <c r="CC3" i="17" s="1"/>
  <c r="AF87" i="17"/>
  <c r="CC87" i="17" s="1"/>
  <c r="AF47" i="17"/>
  <c r="CC47" i="17" s="1"/>
  <c r="AF39" i="17"/>
  <c r="CC39" i="17" s="1"/>
  <c r="AF98" i="17"/>
  <c r="CC98" i="17" s="1"/>
  <c r="AF90" i="17"/>
  <c r="CC90" i="17" s="1"/>
  <c r="AF82" i="17"/>
  <c r="CC82" i="17" s="1"/>
  <c r="AF74" i="17"/>
  <c r="CC74" i="17" s="1"/>
  <c r="AF66" i="17"/>
  <c r="CC66" i="17" s="1"/>
  <c r="AF58" i="17"/>
  <c r="CC58" i="17" s="1"/>
  <c r="AF50" i="17"/>
  <c r="CC50" i="17" s="1"/>
  <c r="AF42" i="17"/>
  <c r="CC42" i="17" s="1"/>
  <c r="AF34" i="17"/>
  <c r="CC34" i="17" s="1"/>
  <c r="AF26" i="17"/>
  <c r="CC26" i="17" s="1"/>
  <c r="AF18" i="17"/>
  <c r="CC18" i="17" s="1"/>
  <c r="AF10" i="17"/>
  <c r="CC10" i="17" s="1"/>
  <c r="AF2" i="17"/>
  <c r="CC2" i="17" s="1"/>
  <c r="CD105" i="17" s="1"/>
  <c r="F10" i="17"/>
  <c r="K104" i="17"/>
  <c r="K111" i="17"/>
  <c r="K109" i="17"/>
  <c r="K105" i="17"/>
  <c r="K107" i="17"/>
  <c r="AJ73" i="4"/>
  <c r="AF73" i="4"/>
  <c r="AL73" i="4"/>
  <c r="AH73" i="4"/>
  <c r="F55" i="8"/>
  <c r="AD106" i="2"/>
  <c r="AF74" i="4"/>
  <c r="H77" i="4"/>
  <c r="AJ106" i="2"/>
  <c r="AD27" i="8"/>
  <c r="AD19" i="8"/>
  <c r="AD11" i="8"/>
  <c r="AD3" i="8"/>
  <c r="AE2" i="8"/>
  <c r="AF2" i="8"/>
  <c r="AE24" i="8"/>
  <c r="AE16" i="8"/>
  <c r="AF25" i="8"/>
  <c r="AF17" i="8"/>
  <c r="AF9" i="8"/>
  <c r="AE8" i="8"/>
  <c r="AD21" i="8"/>
  <c r="AD13" i="8"/>
  <c r="AD5" i="8"/>
  <c r="AD26" i="8"/>
  <c r="AD18" i="8"/>
  <c r="AD10" i="8"/>
  <c r="AD2" i="8"/>
  <c r="AD25" i="8"/>
  <c r="AD24" i="8"/>
  <c r="AD23" i="8"/>
  <c r="AD15" i="8"/>
  <c r="AD7" i="8"/>
  <c r="AE25" i="8"/>
  <c r="AE17" i="8"/>
  <c r="AE9" i="8"/>
  <c r="AD14" i="8"/>
  <c r="AD6" i="8"/>
  <c r="AD28" i="8"/>
  <c r="AD20" i="8"/>
  <c r="AD12" i="8"/>
  <c r="AD4" i="8"/>
  <c r="AJ3" i="4"/>
  <c r="AJ4" i="4"/>
  <c r="AH3" i="4"/>
  <c r="AH4" i="4"/>
  <c r="AH2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2" i="2"/>
  <c r="AF3" i="2"/>
  <c r="U3" i="8"/>
  <c r="V3" i="8"/>
  <c r="W3" i="8"/>
  <c r="X3" i="8"/>
  <c r="Y3" i="8"/>
  <c r="Z3" i="8"/>
  <c r="AA3" i="8"/>
  <c r="AB3" i="8"/>
  <c r="AC3" i="8"/>
  <c r="AG3" i="8"/>
  <c r="AH3" i="8"/>
  <c r="AI3" i="8"/>
  <c r="AJ3" i="8"/>
  <c r="AK3" i="8"/>
  <c r="AL3" i="8"/>
  <c r="AM3" i="8"/>
  <c r="U4" i="8"/>
  <c r="V4" i="8"/>
  <c r="W4" i="8"/>
  <c r="X4" i="8"/>
  <c r="Y4" i="8"/>
  <c r="Z4" i="8"/>
  <c r="AA4" i="8"/>
  <c r="AB4" i="8"/>
  <c r="AC4" i="8"/>
  <c r="AG4" i="8"/>
  <c r="AH4" i="8"/>
  <c r="AI4" i="8"/>
  <c r="AJ4" i="8"/>
  <c r="AK4" i="8"/>
  <c r="AL4" i="8"/>
  <c r="AM4" i="8"/>
  <c r="U5" i="8"/>
  <c r="V5" i="8"/>
  <c r="W5" i="8"/>
  <c r="X5" i="8"/>
  <c r="Y5" i="8"/>
  <c r="Z5" i="8"/>
  <c r="AA5" i="8"/>
  <c r="AB5" i="8"/>
  <c r="AC5" i="8"/>
  <c r="AG5" i="8"/>
  <c r="AH5" i="8"/>
  <c r="AI5" i="8"/>
  <c r="AJ5" i="8"/>
  <c r="AK5" i="8"/>
  <c r="AL5" i="8"/>
  <c r="AM5" i="8"/>
  <c r="U6" i="8"/>
  <c r="V6" i="8"/>
  <c r="W6" i="8"/>
  <c r="X6" i="8"/>
  <c r="Y6" i="8"/>
  <c r="Z6" i="8"/>
  <c r="AA6" i="8"/>
  <c r="AB6" i="8"/>
  <c r="AC6" i="8"/>
  <c r="AG6" i="8"/>
  <c r="AH6" i="8"/>
  <c r="AI6" i="8"/>
  <c r="AJ6" i="8"/>
  <c r="AK6" i="8"/>
  <c r="AL6" i="8"/>
  <c r="AM6" i="8"/>
  <c r="U7" i="8"/>
  <c r="V7" i="8"/>
  <c r="W7" i="8"/>
  <c r="X7" i="8"/>
  <c r="Y7" i="8"/>
  <c r="Z7" i="8"/>
  <c r="AA7" i="8"/>
  <c r="AB7" i="8"/>
  <c r="AC7" i="8"/>
  <c r="AG7" i="8"/>
  <c r="AH7" i="8"/>
  <c r="AI7" i="8"/>
  <c r="AJ7" i="8"/>
  <c r="AK7" i="8"/>
  <c r="AL7" i="8"/>
  <c r="AM7" i="8"/>
  <c r="U8" i="8"/>
  <c r="V8" i="8"/>
  <c r="W8" i="8"/>
  <c r="X8" i="8"/>
  <c r="Y8" i="8"/>
  <c r="Z8" i="8"/>
  <c r="AA8" i="8"/>
  <c r="AB8" i="8"/>
  <c r="AC8" i="8"/>
  <c r="AG8" i="8"/>
  <c r="AH8" i="8"/>
  <c r="AI8" i="8"/>
  <c r="AJ8" i="8"/>
  <c r="AK8" i="8"/>
  <c r="AL8" i="8"/>
  <c r="AM8" i="8"/>
  <c r="U9" i="8"/>
  <c r="V9" i="8"/>
  <c r="W9" i="8"/>
  <c r="X9" i="8"/>
  <c r="Y9" i="8"/>
  <c r="Z9" i="8"/>
  <c r="AA9" i="8"/>
  <c r="AB9" i="8"/>
  <c r="AC9" i="8"/>
  <c r="AG9" i="8"/>
  <c r="AH9" i="8"/>
  <c r="AI9" i="8"/>
  <c r="AJ9" i="8"/>
  <c r="AK9" i="8"/>
  <c r="AL9" i="8"/>
  <c r="AM9" i="8"/>
  <c r="U10" i="8"/>
  <c r="V10" i="8"/>
  <c r="W10" i="8"/>
  <c r="X10" i="8"/>
  <c r="Y10" i="8"/>
  <c r="Z10" i="8"/>
  <c r="AA10" i="8"/>
  <c r="AB10" i="8"/>
  <c r="AC10" i="8"/>
  <c r="AG10" i="8"/>
  <c r="AH10" i="8"/>
  <c r="AI10" i="8"/>
  <c r="AJ10" i="8"/>
  <c r="AK10" i="8"/>
  <c r="AL10" i="8"/>
  <c r="AM10" i="8"/>
  <c r="U11" i="8"/>
  <c r="V11" i="8"/>
  <c r="W11" i="8"/>
  <c r="X11" i="8"/>
  <c r="Y11" i="8"/>
  <c r="Z11" i="8"/>
  <c r="AA11" i="8"/>
  <c r="AB11" i="8"/>
  <c r="AC11" i="8"/>
  <c r="AG11" i="8"/>
  <c r="AH11" i="8"/>
  <c r="AI11" i="8"/>
  <c r="AJ11" i="8"/>
  <c r="AK11" i="8"/>
  <c r="AL11" i="8"/>
  <c r="AM11" i="8"/>
  <c r="U12" i="8"/>
  <c r="V12" i="8"/>
  <c r="W12" i="8"/>
  <c r="X12" i="8"/>
  <c r="Y12" i="8"/>
  <c r="Z12" i="8"/>
  <c r="AA12" i="8"/>
  <c r="AB12" i="8"/>
  <c r="AC12" i="8"/>
  <c r="AG12" i="8"/>
  <c r="AH12" i="8"/>
  <c r="AI12" i="8"/>
  <c r="AJ12" i="8"/>
  <c r="AK12" i="8"/>
  <c r="AL12" i="8"/>
  <c r="AM12" i="8"/>
  <c r="U13" i="8"/>
  <c r="V13" i="8"/>
  <c r="W13" i="8"/>
  <c r="X13" i="8"/>
  <c r="Y13" i="8"/>
  <c r="Z13" i="8"/>
  <c r="AA13" i="8"/>
  <c r="AB13" i="8"/>
  <c r="AC13" i="8"/>
  <c r="AG13" i="8"/>
  <c r="AH13" i="8"/>
  <c r="AI13" i="8"/>
  <c r="AJ13" i="8"/>
  <c r="AK13" i="8"/>
  <c r="AL13" i="8"/>
  <c r="AM13" i="8"/>
  <c r="U14" i="8"/>
  <c r="V14" i="8"/>
  <c r="W14" i="8"/>
  <c r="X14" i="8"/>
  <c r="Y14" i="8"/>
  <c r="Z14" i="8"/>
  <c r="AA14" i="8"/>
  <c r="AB14" i="8"/>
  <c r="AC14" i="8"/>
  <c r="AG14" i="8"/>
  <c r="AH14" i="8"/>
  <c r="AI14" i="8"/>
  <c r="AJ14" i="8"/>
  <c r="AK14" i="8"/>
  <c r="AL14" i="8"/>
  <c r="AM14" i="8"/>
  <c r="U15" i="8"/>
  <c r="V15" i="8"/>
  <c r="W15" i="8"/>
  <c r="X15" i="8"/>
  <c r="Y15" i="8"/>
  <c r="Z15" i="8"/>
  <c r="AA15" i="8"/>
  <c r="AB15" i="8"/>
  <c r="AC15" i="8"/>
  <c r="AG15" i="8"/>
  <c r="AH15" i="8"/>
  <c r="AI15" i="8"/>
  <c r="AJ15" i="8"/>
  <c r="AK15" i="8"/>
  <c r="AL15" i="8"/>
  <c r="AM15" i="8"/>
  <c r="U16" i="8"/>
  <c r="V16" i="8"/>
  <c r="W16" i="8"/>
  <c r="X16" i="8"/>
  <c r="Y16" i="8"/>
  <c r="Z16" i="8"/>
  <c r="AA16" i="8"/>
  <c r="AB16" i="8"/>
  <c r="AC16" i="8"/>
  <c r="AG16" i="8"/>
  <c r="AH16" i="8"/>
  <c r="AI16" i="8"/>
  <c r="AJ16" i="8"/>
  <c r="AK16" i="8"/>
  <c r="AL16" i="8"/>
  <c r="AM16" i="8"/>
  <c r="U17" i="8"/>
  <c r="V17" i="8"/>
  <c r="W17" i="8"/>
  <c r="X17" i="8"/>
  <c r="Y17" i="8"/>
  <c r="Z17" i="8"/>
  <c r="AA17" i="8"/>
  <c r="AB17" i="8"/>
  <c r="AC17" i="8"/>
  <c r="AG17" i="8"/>
  <c r="AH17" i="8"/>
  <c r="AI17" i="8"/>
  <c r="AJ17" i="8"/>
  <c r="AK17" i="8"/>
  <c r="AL17" i="8"/>
  <c r="AM17" i="8"/>
  <c r="U18" i="8"/>
  <c r="V18" i="8"/>
  <c r="W18" i="8"/>
  <c r="X18" i="8"/>
  <c r="Y18" i="8"/>
  <c r="Z18" i="8"/>
  <c r="AA18" i="8"/>
  <c r="AB18" i="8"/>
  <c r="AC18" i="8"/>
  <c r="AG18" i="8"/>
  <c r="AH18" i="8"/>
  <c r="AI18" i="8"/>
  <c r="AJ18" i="8"/>
  <c r="AK18" i="8"/>
  <c r="AL18" i="8"/>
  <c r="AM18" i="8"/>
  <c r="U19" i="8"/>
  <c r="V19" i="8"/>
  <c r="W19" i="8"/>
  <c r="X19" i="8"/>
  <c r="Y19" i="8"/>
  <c r="Z19" i="8"/>
  <c r="AA19" i="8"/>
  <c r="AB19" i="8"/>
  <c r="AC19" i="8"/>
  <c r="AG19" i="8"/>
  <c r="AH19" i="8"/>
  <c r="AI19" i="8"/>
  <c r="AJ19" i="8"/>
  <c r="AK19" i="8"/>
  <c r="AL19" i="8"/>
  <c r="AM19" i="8"/>
  <c r="U20" i="8"/>
  <c r="V20" i="8"/>
  <c r="W20" i="8"/>
  <c r="X20" i="8"/>
  <c r="Y20" i="8"/>
  <c r="Z20" i="8"/>
  <c r="AA20" i="8"/>
  <c r="AB20" i="8"/>
  <c r="AC20" i="8"/>
  <c r="AG20" i="8"/>
  <c r="AH20" i="8"/>
  <c r="AI20" i="8"/>
  <c r="AJ20" i="8"/>
  <c r="AK20" i="8"/>
  <c r="AL20" i="8"/>
  <c r="AM20" i="8"/>
  <c r="U21" i="8"/>
  <c r="V21" i="8"/>
  <c r="W21" i="8"/>
  <c r="X21" i="8"/>
  <c r="Y21" i="8"/>
  <c r="Z21" i="8"/>
  <c r="AA21" i="8"/>
  <c r="AB21" i="8"/>
  <c r="AC21" i="8"/>
  <c r="AG21" i="8"/>
  <c r="AH21" i="8"/>
  <c r="AI21" i="8"/>
  <c r="AJ21" i="8"/>
  <c r="AK21" i="8"/>
  <c r="AL21" i="8"/>
  <c r="AM21" i="8"/>
  <c r="U22" i="8"/>
  <c r="V22" i="8"/>
  <c r="W22" i="8"/>
  <c r="X22" i="8"/>
  <c r="Y22" i="8"/>
  <c r="Z22" i="8"/>
  <c r="AA22" i="8"/>
  <c r="AB22" i="8"/>
  <c r="AC22" i="8"/>
  <c r="AG22" i="8"/>
  <c r="AH22" i="8"/>
  <c r="AI22" i="8"/>
  <c r="AJ22" i="8"/>
  <c r="AK22" i="8"/>
  <c r="AL22" i="8"/>
  <c r="AM22" i="8"/>
  <c r="U23" i="8"/>
  <c r="V23" i="8"/>
  <c r="W23" i="8"/>
  <c r="X23" i="8"/>
  <c r="Y23" i="8"/>
  <c r="Z23" i="8"/>
  <c r="AA23" i="8"/>
  <c r="AB23" i="8"/>
  <c r="AC23" i="8"/>
  <c r="AG23" i="8"/>
  <c r="AH23" i="8"/>
  <c r="AI23" i="8"/>
  <c r="AJ23" i="8"/>
  <c r="AK23" i="8"/>
  <c r="AL23" i="8"/>
  <c r="AM23" i="8"/>
  <c r="U24" i="8"/>
  <c r="V24" i="8"/>
  <c r="W24" i="8"/>
  <c r="X24" i="8"/>
  <c r="Y24" i="8"/>
  <c r="Z24" i="8"/>
  <c r="AA24" i="8"/>
  <c r="AB24" i="8"/>
  <c r="AC24" i="8"/>
  <c r="AG24" i="8"/>
  <c r="AH24" i="8"/>
  <c r="AI24" i="8"/>
  <c r="AJ24" i="8"/>
  <c r="AK24" i="8"/>
  <c r="AL24" i="8"/>
  <c r="AM24" i="8"/>
  <c r="U25" i="8"/>
  <c r="V25" i="8"/>
  <c r="W25" i="8"/>
  <c r="X25" i="8"/>
  <c r="Y25" i="8"/>
  <c r="Z25" i="8"/>
  <c r="AA25" i="8"/>
  <c r="AB25" i="8"/>
  <c r="AC25" i="8"/>
  <c r="AG25" i="8"/>
  <c r="AH25" i="8"/>
  <c r="AI25" i="8"/>
  <c r="AJ25" i="8"/>
  <c r="AK25" i="8"/>
  <c r="AL25" i="8"/>
  <c r="AM25" i="8"/>
  <c r="U26" i="8"/>
  <c r="V26" i="8"/>
  <c r="W26" i="8"/>
  <c r="X26" i="8"/>
  <c r="Y26" i="8"/>
  <c r="Z26" i="8"/>
  <c r="AA26" i="8"/>
  <c r="AB26" i="8"/>
  <c r="AC26" i="8"/>
  <c r="AG26" i="8"/>
  <c r="AH26" i="8"/>
  <c r="AI26" i="8"/>
  <c r="AJ26" i="8"/>
  <c r="AK26" i="8"/>
  <c r="AL26" i="8"/>
  <c r="AM26" i="8"/>
  <c r="U27" i="8"/>
  <c r="V27" i="8"/>
  <c r="W27" i="8"/>
  <c r="X27" i="8"/>
  <c r="Y27" i="8"/>
  <c r="Z27" i="8"/>
  <c r="AA27" i="8"/>
  <c r="AB27" i="8"/>
  <c r="AC27" i="8"/>
  <c r="AG27" i="8"/>
  <c r="AH27" i="8"/>
  <c r="AI27" i="8"/>
  <c r="AJ27" i="8"/>
  <c r="AK27" i="8"/>
  <c r="AL27" i="8"/>
  <c r="AM27" i="8"/>
  <c r="U28" i="8"/>
  <c r="V28" i="8"/>
  <c r="W28" i="8"/>
  <c r="X28" i="8"/>
  <c r="Y28" i="8"/>
  <c r="Z28" i="8"/>
  <c r="AA28" i="8"/>
  <c r="AB28" i="8"/>
  <c r="AC28" i="8"/>
  <c r="AG28" i="8"/>
  <c r="AH28" i="8"/>
  <c r="AI28" i="8"/>
  <c r="AJ28" i="8"/>
  <c r="AK28" i="8"/>
  <c r="AL28" i="8"/>
  <c r="AM28" i="8"/>
  <c r="V2" i="8"/>
  <c r="W2" i="8"/>
  <c r="X2" i="8"/>
  <c r="Y2" i="8"/>
  <c r="Z2" i="8"/>
  <c r="AA2" i="8"/>
  <c r="AB2" i="8"/>
  <c r="AC2" i="8"/>
  <c r="AG2" i="8"/>
  <c r="AH2" i="8"/>
  <c r="AI2" i="8"/>
  <c r="AJ2" i="8"/>
  <c r="AK2" i="8"/>
  <c r="AL2" i="8"/>
  <c r="AM2" i="8"/>
  <c r="U2" i="8"/>
  <c r="F54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T37" i="8"/>
  <c r="G37" i="8"/>
  <c r="T36" i="8"/>
  <c r="G36" i="8"/>
  <c r="T35" i="8"/>
  <c r="G35" i="8"/>
  <c r="T34" i="8"/>
  <c r="G34" i="8"/>
  <c r="T33" i="8"/>
  <c r="G33" i="8"/>
  <c r="T32" i="8"/>
  <c r="G32" i="8"/>
  <c r="T31" i="8"/>
  <c r="G31" i="8"/>
  <c r="T30" i="8"/>
  <c r="G30" i="8"/>
  <c r="T28" i="8"/>
  <c r="G28" i="8"/>
  <c r="T27" i="8"/>
  <c r="G27" i="8"/>
  <c r="T26" i="8"/>
  <c r="G26" i="8"/>
  <c r="T25" i="8"/>
  <c r="G25" i="8"/>
  <c r="T24" i="8"/>
  <c r="G24" i="8"/>
  <c r="T23" i="8"/>
  <c r="G23" i="8"/>
  <c r="T22" i="8"/>
  <c r="G22" i="8"/>
  <c r="T21" i="8"/>
  <c r="G21" i="8"/>
  <c r="T20" i="8"/>
  <c r="G20" i="8"/>
  <c r="T19" i="8"/>
  <c r="G19" i="8"/>
  <c r="T18" i="8"/>
  <c r="G18" i="8"/>
  <c r="T17" i="8"/>
  <c r="G17" i="8"/>
  <c r="T16" i="8"/>
  <c r="G16" i="8"/>
  <c r="T15" i="8"/>
  <c r="G15" i="8"/>
  <c r="T14" i="8"/>
  <c r="G14" i="8"/>
  <c r="T13" i="8"/>
  <c r="G13" i="8"/>
  <c r="T12" i="8"/>
  <c r="G12" i="8"/>
  <c r="T11" i="8"/>
  <c r="G11" i="8"/>
  <c r="T10" i="8"/>
  <c r="G10" i="8"/>
  <c r="T9" i="8"/>
  <c r="G9" i="8"/>
  <c r="T8" i="8"/>
  <c r="G8" i="8"/>
  <c r="T7" i="8"/>
  <c r="G7" i="8"/>
  <c r="T6" i="8"/>
  <c r="G6" i="8"/>
  <c r="T5" i="8"/>
  <c r="G5" i="8"/>
  <c r="T4" i="8"/>
  <c r="G4" i="8"/>
  <c r="T3" i="8"/>
  <c r="G3" i="8"/>
  <c r="T2" i="8"/>
  <c r="G2" i="8"/>
  <c r="F38" i="6"/>
  <c r="T38" i="6"/>
  <c r="F39" i="6"/>
  <c r="T39" i="6"/>
  <c r="F40" i="6"/>
  <c r="T40" i="6"/>
  <c r="F41" i="6"/>
  <c r="T41" i="6"/>
  <c r="F42" i="6"/>
  <c r="T42" i="6"/>
  <c r="F43" i="6"/>
  <c r="T43" i="6"/>
  <c r="F44" i="6"/>
  <c r="T44" i="6"/>
  <c r="F45" i="6"/>
  <c r="T45" i="6"/>
  <c r="F46" i="6"/>
  <c r="T46" i="6"/>
  <c r="F47" i="6"/>
  <c r="T47" i="6"/>
  <c r="F48" i="6"/>
  <c r="T48" i="6"/>
  <c r="F49" i="6"/>
  <c r="T49" i="6"/>
  <c r="F50" i="6"/>
  <c r="T50" i="6"/>
  <c r="F51" i="6"/>
  <c r="T51" i="6"/>
  <c r="F52" i="6"/>
  <c r="T52" i="6"/>
  <c r="F53" i="6"/>
  <c r="T53" i="6"/>
  <c r="F54" i="6"/>
  <c r="T54" i="6"/>
  <c r="F55" i="6"/>
  <c r="T55" i="6"/>
  <c r="F56" i="6"/>
  <c r="T56" i="6"/>
  <c r="F57" i="6"/>
  <c r="T57" i="6"/>
  <c r="F58" i="6"/>
  <c r="T58" i="6"/>
  <c r="F59" i="6"/>
  <c r="T59" i="6"/>
  <c r="F60" i="6"/>
  <c r="T60" i="6"/>
  <c r="F61" i="6"/>
  <c r="T61" i="6"/>
  <c r="F62" i="6"/>
  <c r="T62" i="6"/>
  <c r="F63" i="6"/>
  <c r="T63" i="6"/>
  <c r="F64" i="6"/>
  <c r="T64" i="6"/>
  <c r="F65" i="6"/>
  <c r="T65" i="6"/>
  <c r="F66" i="6"/>
  <c r="T66" i="6"/>
  <c r="T37" i="7"/>
  <c r="T36" i="7"/>
  <c r="T35" i="7"/>
  <c r="T34" i="7"/>
  <c r="T33" i="7"/>
  <c r="T32" i="7"/>
  <c r="T38" i="7"/>
  <c r="T31" i="7"/>
  <c r="T30" i="7"/>
  <c r="T29" i="7"/>
  <c r="T39" i="7"/>
  <c r="T28" i="7"/>
  <c r="T27" i="7"/>
  <c r="T26" i="7"/>
  <c r="T25" i="7"/>
  <c r="T24" i="7"/>
  <c r="T23" i="7"/>
  <c r="T22" i="7"/>
  <c r="T40" i="7"/>
  <c r="T41" i="7"/>
  <c r="T42" i="7"/>
  <c r="T21" i="7"/>
  <c r="T43" i="7"/>
  <c r="T44" i="7"/>
  <c r="T20" i="7"/>
  <c r="T19" i="7"/>
  <c r="T18" i="7"/>
  <c r="T45" i="7"/>
  <c r="T17" i="7"/>
  <c r="T16" i="7"/>
  <c r="T15" i="7"/>
  <c r="T14" i="7"/>
  <c r="T13" i="7"/>
  <c r="T12" i="7"/>
  <c r="T11" i="7"/>
  <c r="T10" i="7"/>
  <c r="T9" i="7"/>
  <c r="T8" i="7"/>
  <c r="T46" i="7"/>
  <c r="T7" i="7"/>
  <c r="T6" i="7"/>
  <c r="T47" i="7"/>
  <c r="T5" i="7"/>
  <c r="T48" i="7"/>
  <c r="T4" i="7"/>
  <c r="T49" i="7"/>
  <c r="T50" i="7"/>
  <c r="T2" i="7"/>
  <c r="T51" i="7"/>
  <c r="T37" i="6"/>
  <c r="T36" i="6"/>
  <c r="T35" i="6"/>
  <c r="T34" i="6"/>
  <c r="T33" i="6"/>
  <c r="T32" i="6"/>
  <c r="T31" i="6"/>
  <c r="T29" i="6"/>
  <c r="T28" i="6"/>
  <c r="T27" i="6"/>
  <c r="T26" i="6"/>
  <c r="T25" i="6"/>
  <c r="T24" i="6"/>
  <c r="T23" i="6"/>
  <c r="T22" i="6"/>
  <c r="T21" i="6"/>
  <c r="T20" i="6"/>
  <c r="T19" i="6"/>
  <c r="T18" i="6"/>
  <c r="T17" i="6"/>
  <c r="T16" i="6"/>
  <c r="T15" i="6"/>
  <c r="T14" i="6"/>
  <c r="T13" i="6"/>
  <c r="T12" i="6"/>
  <c r="T11" i="6"/>
  <c r="T10" i="6"/>
  <c r="T9" i="6"/>
  <c r="T8" i="6"/>
  <c r="T7" i="6"/>
  <c r="T6" i="6"/>
  <c r="T5" i="6"/>
  <c r="T4" i="6"/>
  <c r="T3" i="6"/>
  <c r="T2" i="6"/>
  <c r="AR53" i="7"/>
  <c r="AQ53" i="7"/>
  <c r="AP53" i="7"/>
  <c r="AO53" i="7"/>
  <c r="AN53" i="7"/>
  <c r="AM53" i="7"/>
  <c r="AL53" i="7"/>
  <c r="AK53" i="7"/>
  <c r="AI53" i="7"/>
  <c r="AG53" i="7"/>
  <c r="AE53" i="7"/>
  <c r="AC53" i="7"/>
  <c r="AB53" i="7"/>
  <c r="AA53" i="7"/>
  <c r="Z53" i="7"/>
  <c r="Y53" i="7"/>
  <c r="X53" i="7"/>
  <c r="W53" i="7"/>
  <c r="V53" i="7"/>
  <c r="U53" i="7"/>
  <c r="F53" i="7"/>
  <c r="AR52" i="7"/>
  <c r="AQ52" i="7"/>
  <c r="AP52" i="7"/>
  <c r="AO52" i="7"/>
  <c r="AN52" i="7"/>
  <c r="AM52" i="7"/>
  <c r="AL52" i="7"/>
  <c r="AK52" i="7"/>
  <c r="AI52" i="7"/>
  <c r="AG52" i="7"/>
  <c r="AE52" i="7"/>
  <c r="AC52" i="7"/>
  <c r="AB52" i="7"/>
  <c r="AA52" i="7"/>
  <c r="Z52" i="7"/>
  <c r="Y52" i="7"/>
  <c r="X52" i="7"/>
  <c r="W52" i="7"/>
  <c r="V52" i="7"/>
  <c r="U52" i="7"/>
  <c r="F52" i="7"/>
  <c r="G11" i="7"/>
  <c r="G27" i="7"/>
  <c r="G13" i="7"/>
  <c r="G10" i="7"/>
  <c r="G44" i="7"/>
  <c r="G8" i="7"/>
  <c r="G32" i="7"/>
  <c r="G38" i="7"/>
  <c r="G9" i="7"/>
  <c r="G48" i="7"/>
  <c r="G14" i="7"/>
  <c r="G33" i="7"/>
  <c r="G50" i="7"/>
  <c r="G43" i="7"/>
  <c r="G34" i="7"/>
  <c r="G3" i="7"/>
  <c r="G41" i="7"/>
  <c r="G30" i="7"/>
  <c r="G29" i="7"/>
  <c r="G35" i="7"/>
  <c r="G45" i="7"/>
  <c r="G21" i="7"/>
  <c r="G23" i="7"/>
  <c r="G25" i="7"/>
  <c r="G4" i="7"/>
  <c r="G36" i="7"/>
  <c r="G12" i="7"/>
  <c r="G49" i="7"/>
  <c r="G42" i="7"/>
  <c r="G47" i="7"/>
  <c r="G22" i="7"/>
  <c r="G7" i="7"/>
  <c r="G51" i="7"/>
  <c r="G20" i="7"/>
  <c r="G15" i="7"/>
  <c r="G26" i="7"/>
  <c r="G28" i="7"/>
  <c r="G46" i="7"/>
  <c r="G37" i="7"/>
  <c r="G16" i="7"/>
  <c r="G2" i="7"/>
  <c r="G39" i="7"/>
  <c r="G24" i="7"/>
  <c r="G19" i="7"/>
  <c r="G31" i="7"/>
  <c r="G5" i="7"/>
  <c r="G18" i="7"/>
  <c r="G6" i="7"/>
  <c r="G40" i="7"/>
  <c r="G17" i="7"/>
  <c r="AR68" i="6"/>
  <c r="AQ68" i="6"/>
  <c r="AP68" i="6"/>
  <c r="AO68" i="6"/>
  <c r="AN68" i="6"/>
  <c r="AM68" i="6"/>
  <c r="AL68" i="6"/>
  <c r="AK68" i="6"/>
  <c r="AI68" i="6"/>
  <c r="AG68" i="6"/>
  <c r="AE68" i="6"/>
  <c r="AC68" i="6"/>
  <c r="AB68" i="6"/>
  <c r="AA68" i="6"/>
  <c r="Z68" i="6"/>
  <c r="Y68" i="6"/>
  <c r="X68" i="6"/>
  <c r="W68" i="6"/>
  <c r="V68" i="6"/>
  <c r="U68" i="6"/>
  <c r="AR67" i="6"/>
  <c r="AQ67" i="6"/>
  <c r="AP67" i="6"/>
  <c r="AO67" i="6"/>
  <c r="AN67" i="6"/>
  <c r="AM67" i="6"/>
  <c r="AL67" i="6"/>
  <c r="AK67" i="6"/>
  <c r="AI67" i="6"/>
  <c r="AG67" i="6"/>
  <c r="AE67" i="6"/>
  <c r="AC67" i="6"/>
  <c r="AB67" i="6"/>
  <c r="AA67" i="6"/>
  <c r="Z67" i="6"/>
  <c r="Y67" i="6"/>
  <c r="X67" i="6"/>
  <c r="W67" i="6"/>
  <c r="V67" i="6"/>
  <c r="U67" i="6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G2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N2" i="5"/>
  <c r="O2" i="5" s="1"/>
  <c r="N3" i="5"/>
  <c r="P3" i="5" s="1"/>
  <c r="N4" i="5"/>
  <c r="P4" i="5" s="1"/>
  <c r="N5" i="5"/>
  <c r="P5" i="5" s="1"/>
  <c r="N6" i="5"/>
  <c r="P6" i="5" s="1"/>
  <c r="N7" i="5"/>
  <c r="P7" i="5" s="1"/>
  <c r="N8" i="5"/>
  <c r="O8" i="5" s="1"/>
  <c r="E3" i="5"/>
  <c r="D4" i="5"/>
  <c r="E4" i="5" s="1"/>
  <c r="D5" i="5"/>
  <c r="E5" i="5" s="1"/>
  <c r="D6" i="5"/>
  <c r="E6" i="5" s="1"/>
  <c r="D10" i="5"/>
  <c r="E10" i="5" s="1"/>
  <c r="D11" i="5"/>
  <c r="F11" i="5" s="1"/>
  <c r="D12" i="5"/>
  <c r="F12" i="5" s="1"/>
  <c r="D13" i="5"/>
  <c r="E13" i="5" s="1"/>
  <c r="D14" i="5"/>
  <c r="E14" i="5" s="1"/>
  <c r="D15" i="5"/>
  <c r="E15" i="5" s="1"/>
  <c r="D7" i="5"/>
  <c r="F7" i="5" s="1"/>
  <c r="D2" i="5"/>
  <c r="E2" i="5" s="1"/>
  <c r="AS74" i="4"/>
  <c r="AR74" i="4"/>
  <c r="AQ74" i="4"/>
  <c r="AP74" i="4"/>
  <c r="AO74" i="4"/>
  <c r="AN74" i="4"/>
  <c r="AM74" i="4"/>
  <c r="AK74" i="4"/>
  <c r="AI74" i="4"/>
  <c r="AG74" i="4"/>
  <c r="AS73" i="4"/>
  <c r="AR73" i="4"/>
  <c r="AQ73" i="4"/>
  <c r="AP73" i="4"/>
  <c r="AO73" i="4"/>
  <c r="AN73" i="4"/>
  <c r="AM73" i="4"/>
  <c r="AG106" i="2"/>
  <c r="AI106" i="2"/>
  <c r="AK106" i="2"/>
  <c r="AL106" i="2"/>
  <c r="AM106" i="2"/>
  <c r="AN106" i="2"/>
  <c r="AO106" i="2"/>
  <c r="AP106" i="2"/>
  <c r="AQ106" i="2"/>
  <c r="AR106" i="2"/>
  <c r="AC106" i="2"/>
  <c r="AE106" i="2"/>
  <c r="Z106" i="2"/>
  <c r="AA106" i="2"/>
  <c r="AB106" i="2"/>
  <c r="X106" i="2"/>
  <c r="Y106" i="2"/>
  <c r="V106" i="2"/>
  <c r="W106" i="2"/>
  <c r="U106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B2" i="4"/>
  <c r="C2" i="4"/>
  <c r="D2" i="4"/>
  <c r="F4" i="17" s="1"/>
  <c r="G2" i="4"/>
  <c r="H2" i="4"/>
  <c r="J2" i="4"/>
  <c r="K2" i="4"/>
  <c r="L2" i="4"/>
  <c r="M2" i="4"/>
  <c r="N2" i="4"/>
  <c r="O2" i="4"/>
  <c r="P2" i="4"/>
  <c r="Q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 s="1"/>
  <c r="AG2" i="4"/>
  <c r="AH2" i="4" s="1"/>
  <c r="AI2" i="4"/>
  <c r="AJ2" i="4" s="1"/>
  <c r="AK2" i="4"/>
  <c r="AL2" i="4" s="1"/>
  <c r="AM2" i="4"/>
  <c r="AN2" i="4"/>
  <c r="AO2" i="4"/>
  <c r="AP2" i="4"/>
  <c r="AQ2" i="4"/>
  <c r="AR2" i="4"/>
  <c r="AS2" i="4"/>
  <c r="AT2" i="4"/>
  <c r="A2" i="4"/>
  <c r="I14" i="4"/>
  <c r="I36" i="4"/>
  <c r="I37" i="4"/>
  <c r="I65" i="4"/>
  <c r="I39" i="4"/>
  <c r="I63" i="4"/>
  <c r="I18" i="4"/>
  <c r="I41" i="4"/>
  <c r="I5" i="4"/>
  <c r="I25" i="4"/>
  <c r="I24" i="4"/>
  <c r="I13" i="4"/>
  <c r="I43" i="4"/>
  <c r="I70" i="4"/>
  <c r="I33" i="4"/>
  <c r="I56" i="4"/>
  <c r="I26" i="4"/>
  <c r="I52" i="4"/>
  <c r="I19" i="4"/>
  <c r="I68" i="4"/>
  <c r="I58" i="4"/>
  <c r="I67" i="4"/>
  <c r="I49" i="4"/>
  <c r="I61" i="4"/>
  <c r="I10" i="4"/>
  <c r="I69" i="4"/>
  <c r="I12" i="4"/>
  <c r="I27" i="4"/>
  <c r="I9" i="4"/>
  <c r="I34" i="4"/>
  <c r="I11" i="4"/>
  <c r="I31" i="4"/>
  <c r="I66" i="4"/>
  <c r="I59" i="4"/>
  <c r="I15" i="4"/>
  <c r="I71" i="4"/>
  <c r="I44" i="4"/>
  <c r="I57" i="4"/>
  <c r="I47" i="4"/>
  <c r="I46" i="4"/>
  <c r="I7" i="4"/>
  <c r="I30" i="4"/>
  <c r="I23" i="4"/>
  <c r="I16" i="4"/>
  <c r="I55" i="4"/>
  <c r="I48" i="4"/>
  <c r="I38" i="4"/>
  <c r="I60" i="4"/>
  <c r="I29" i="4"/>
  <c r="I51" i="4"/>
  <c r="I64" i="4"/>
  <c r="I53" i="4"/>
  <c r="I50" i="4"/>
  <c r="I8" i="4"/>
  <c r="I28" i="4"/>
  <c r="I32" i="4"/>
  <c r="I54" i="4"/>
  <c r="I35" i="4"/>
  <c r="I17" i="4"/>
  <c r="I6" i="4"/>
  <c r="I21" i="4"/>
  <c r="I40" i="4"/>
  <c r="I62" i="4"/>
  <c r="I45" i="4"/>
  <c r="I42" i="4"/>
  <c r="I20" i="4"/>
  <c r="I22" i="4"/>
  <c r="CC105" i="17" l="1"/>
  <c r="CC104" i="17"/>
  <c r="BW50" i="17"/>
  <c r="BO50" i="17"/>
  <c r="BY50" i="17"/>
  <c r="BQ50" i="17"/>
  <c r="CA50" i="17"/>
  <c r="BH50" i="17"/>
  <c r="BI50" i="17"/>
  <c r="BU50" i="17"/>
  <c r="BL50" i="17"/>
  <c r="BS50" i="17"/>
  <c r="BM50" i="17"/>
  <c r="BY47" i="17"/>
  <c r="BQ47" i="17"/>
  <c r="CA47" i="17"/>
  <c r="BS47" i="17"/>
  <c r="BU47" i="17"/>
  <c r="BW47" i="17"/>
  <c r="BI47" i="17"/>
  <c r="BL47" i="17"/>
  <c r="BM47" i="17"/>
  <c r="BH47" i="17"/>
  <c r="BO47" i="17"/>
  <c r="BU51" i="17"/>
  <c r="BW51" i="17"/>
  <c r="BO51" i="17"/>
  <c r="BY51" i="17"/>
  <c r="BQ51" i="17"/>
  <c r="CA51" i="17"/>
  <c r="BS51" i="17"/>
  <c r="BM51" i="17"/>
  <c r="BH51" i="17"/>
  <c r="BI51" i="17"/>
  <c r="BL51" i="17"/>
  <c r="BY79" i="17"/>
  <c r="BQ79" i="17"/>
  <c r="CA79" i="17"/>
  <c r="BS79" i="17"/>
  <c r="BU79" i="17"/>
  <c r="BW79" i="17"/>
  <c r="BI79" i="17"/>
  <c r="BL79" i="17"/>
  <c r="BM79" i="17"/>
  <c r="BO79" i="17"/>
  <c r="BH79" i="17"/>
  <c r="BU60" i="17"/>
  <c r="BW60" i="17"/>
  <c r="BS60" i="17"/>
  <c r="BM60" i="17"/>
  <c r="BQ60" i="17"/>
  <c r="CA60" i="17"/>
  <c r="BH60" i="17"/>
  <c r="BY60" i="17"/>
  <c r="BO60" i="17"/>
  <c r="BI60" i="17"/>
  <c r="BL60" i="17"/>
  <c r="CA5" i="17"/>
  <c r="BS5" i="17"/>
  <c r="BU5" i="17"/>
  <c r="BW5" i="17"/>
  <c r="BO5" i="17"/>
  <c r="BY5" i="17"/>
  <c r="BQ5" i="17"/>
  <c r="BL5" i="17"/>
  <c r="BM5" i="17"/>
  <c r="BH5" i="17"/>
  <c r="BI5" i="17"/>
  <c r="CA69" i="17"/>
  <c r="BS69" i="17"/>
  <c r="BU69" i="17"/>
  <c r="BW69" i="17"/>
  <c r="BY69" i="17"/>
  <c r="BQ69" i="17"/>
  <c r="BL69" i="17"/>
  <c r="BM69" i="17"/>
  <c r="BO69" i="17"/>
  <c r="BH69" i="17"/>
  <c r="BI69" i="17"/>
  <c r="CA6" i="17"/>
  <c r="BS6" i="17"/>
  <c r="BU6" i="17"/>
  <c r="BW6" i="17"/>
  <c r="BL6" i="17"/>
  <c r="BM6" i="17"/>
  <c r="BQ6" i="17"/>
  <c r="BH6" i="17"/>
  <c r="BO6" i="17"/>
  <c r="BY6" i="17"/>
  <c r="BI6" i="17"/>
  <c r="CA70" i="17"/>
  <c r="BS70" i="17"/>
  <c r="BU70" i="17"/>
  <c r="BW70" i="17"/>
  <c r="BL70" i="17"/>
  <c r="BM70" i="17"/>
  <c r="BQ70" i="17"/>
  <c r="BO70" i="17"/>
  <c r="BH70" i="17"/>
  <c r="BY70" i="17"/>
  <c r="BI70" i="17"/>
  <c r="BY8" i="17"/>
  <c r="BQ8" i="17"/>
  <c r="CA8" i="17"/>
  <c r="BS8" i="17"/>
  <c r="BW8" i="17"/>
  <c r="BI8" i="17"/>
  <c r="BU8" i="17"/>
  <c r="BL8" i="17"/>
  <c r="BM8" i="17"/>
  <c r="BO8" i="17"/>
  <c r="BH8" i="17"/>
  <c r="BY72" i="17"/>
  <c r="BQ72" i="17"/>
  <c r="CA72" i="17"/>
  <c r="BS72" i="17"/>
  <c r="BW72" i="17"/>
  <c r="BI72" i="17"/>
  <c r="BU72" i="17"/>
  <c r="BL72" i="17"/>
  <c r="BM72" i="17"/>
  <c r="BO72" i="17"/>
  <c r="BH72" i="17"/>
  <c r="BW97" i="17"/>
  <c r="BY97" i="17"/>
  <c r="BQ97" i="17"/>
  <c r="CA97" i="17"/>
  <c r="BS97" i="17"/>
  <c r="BU97" i="17"/>
  <c r="BO97" i="17"/>
  <c r="BH97" i="17"/>
  <c r="BI97" i="17"/>
  <c r="BL97" i="17"/>
  <c r="BM97" i="17"/>
  <c r="BW58" i="17"/>
  <c r="BO58" i="17"/>
  <c r="BY58" i="17"/>
  <c r="BQ58" i="17"/>
  <c r="BS58" i="17"/>
  <c r="BH58" i="17"/>
  <c r="CA58" i="17"/>
  <c r="BI58" i="17"/>
  <c r="BL58" i="17"/>
  <c r="BU58" i="17"/>
  <c r="BM58" i="17"/>
  <c r="BY87" i="17"/>
  <c r="BQ87" i="17"/>
  <c r="CA87" i="17"/>
  <c r="BS87" i="17"/>
  <c r="BU87" i="17"/>
  <c r="BW87" i="17"/>
  <c r="BI87" i="17"/>
  <c r="BL87" i="17"/>
  <c r="BM87" i="17"/>
  <c r="BO87" i="17"/>
  <c r="BH87" i="17"/>
  <c r="BU59" i="17"/>
  <c r="BW59" i="17"/>
  <c r="BO59" i="17"/>
  <c r="BY59" i="17"/>
  <c r="BQ59" i="17"/>
  <c r="CA59" i="17"/>
  <c r="BS59" i="17"/>
  <c r="BM59" i="17"/>
  <c r="BH59" i="17"/>
  <c r="BI59" i="17"/>
  <c r="BL59" i="17"/>
  <c r="BU4" i="17"/>
  <c r="BW4" i="17"/>
  <c r="BO4" i="17"/>
  <c r="BM4" i="17"/>
  <c r="BS4" i="17"/>
  <c r="BH4" i="17"/>
  <c r="BQ4" i="17"/>
  <c r="CA4" i="17"/>
  <c r="BI4" i="17"/>
  <c r="BY4" i="17"/>
  <c r="BL4" i="17"/>
  <c r="BU68" i="17"/>
  <c r="BW68" i="17"/>
  <c r="BM68" i="17"/>
  <c r="BS68" i="17"/>
  <c r="BO68" i="17"/>
  <c r="BH68" i="17"/>
  <c r="BQ68" i="17"/>
  <c r="CA68" i="17"/>
  <c r="BI68" i="17"/>
  <c r="BY68" i="17"/>
  <c r="BL68" i="17"/>
  <c r="CA13" i="17"/>
  <c r="BS13" i="17"/>
  <c r="BU13" i="17"/>
  <c r="BW13" i="17"/>
  <c r="BO13" i="17"/>
  <c r="BY13" i="17"/>
  <c r="BQ13" i="17"/>
  <c r="BL13" i="17"/>
  <c r="BM13" i="17"/>
  <c r="BH13" i="17"/>
  <c r="BI13" i="17"/>
  <c r="CA77" i="17"/>
  <c r="BS77" i="17"/>
  <c r="BU77" i="17"/>
  <c r="BW77" i="17"/>
  <c r="BY77" i="17"/>
  <c r="BQ77" i="17"/>
  <c r="BL77" i="17"/>
  <c r="BM77" i="17"/>
  <c r="BO77" i="17"/>
  <c r="BH77" i="17"/>
  <c r="BI77" i="17"/>
  <c r="CA14" i="17"/>
  <c r="BS14" i="17"/>
  <c r="BU14" i="17"/>
  <c r="BO14" i="17"/>
  <c r="BY14" i="17"/>
  <c r="BL14" i="17"/>
  <c r="BW14" i="17"/>
  <c r="BM14" i="17"/>
  <c r="BH14" i="17"/>
  <c r="BQ14" i="17"/>
  <c r="BI14" i="17"/>
  <c r="CA78" i="17"/>
  <c r="BS78" i="17"/>
  <c r="BU78" i="17"/>
  <c r="BY78" i="17"/>
  <c r="BL78" i="17"/>
  <c r="BW78" i="17"/>
  <c r="BM78" i="17"/>
  <c r="BO78" i="17"/>
  <c r="BH78" i="17"/>
  <c r="BQ78" i="17"/>
  <c r="BI78" i="17"/>
  <c r="BY16" i="17"/>
  <c r="BQ16" i="17"/>
  <c r="CA16" i="17"/>
  <c r="BS16" i="17"/>
  <c r="BO16" i="17"/>
  <c r="BI16" i="17"/>
  <c r="BW16" i="17"/>
  <c r="BL16" i="17"/>
  <c r="BU16" i="17"/>
  <c r="BM16" i="17"/>
  <c r="BH16" i="17"/>
  <c r="BY80" i="17"/>
  <c r="BQ80" i="17"/>
  <c r="CA80" i="17"/>
  <c r="BS80" i="17"/>
  <c r="BI80" i="17"/>
  <c r="BW80" i="17"/>
  <c r="BL80" i="17"/>
  <c r="BU80" i="17"/>
  <c r="BM80" i="17"/>
  <c r="BO80" i="17"/>
  <c r="BH80" i="17"/>
  <c r="BW41" i="17"/>
  <c r="BO41" i="17"/>
  <c r="BY41" i="17"/>
  <c r="BQ41" i="17"/>
  <c r="CA41" i="17"/>
  <c r="BS41" i="17"/>
  <c r="BU41" i="17"/>
  <c r="BH41" i="17"/>
  <c r="BI41" i="17"/>
  <c r="BL41" i="17"/>
  <c r="BM41" i="17"/>
  <c r="BW66" i="17"/>
  <c r="BO66" i="17"/>
  <c r="BY66" i="17"/>
  <c r="BQ66" i="17"/>
  <c r="BU66" i="17"/>
  <c r="BH66" i="17"/>
  <c r="BS66" i="17"/>
  <c r="BI66" i="17"/>
  <c r="CA66" i="17"/>
  <c r="BL66" i="17"/>
  <c r="BM66" i="17"/>
  <c r="BU12" i="17"/>
  <c r="BW12" i="17"/>
  <c r="BO12" i="17"/>
  <c r="BY12" i="17"/>
  <c r="BM12" i="17"/>
  <c r="BH12" i="17"/>
  <c r="BS12" i="17"/>
  <c r="BI12" i="17"/>
  <c r="BQ12" i="17"/>
  <c r="CA12" i="17"/>
  <c r="BL12" i="17"/>
  <c r="BY24" i="17"/>
  <c r="BQ24" i="17"/>
  <c r="CA24" i="17"/>
  <c r="BS24" i="17"/>
  <c r="BI24" i="17"/>
  <c r="BL24" i="17"/>
  <c r="BO24" i="17"/>
  <c r="BW24" i="17"/>
  <c r="BM24" i="17"/>
  <c r="BU24" i="17"/>
  <c r="BH24" i="17"/>
  <c r="BW10" i="17"/>
  <c r="BO10" i="17"/>
  <c r="BY10" i="17"/>
  <c r="BQ10" i="17"/>
  <c r="BH10" i="17"/>
  <c r="BU10" i="17"/>
  <c r="BI10" i="17"/>
  <c r="BS10" i="17"/>
  <c r="BL10" i="17"/>
  <c r="CA10" i="17"/>
  <c r="BM10" i="17"/>
  <c r="BW74" i="17"/>
  <c r="BY74" i="17"/>
  <c r="BQ74" i="17"/>
  <c r="BO74" i="17"/>
  <c r="BH74" i="17"/>
  <c r="BU74" i="17"/>
  <c r="BI74" i="17"/>
  <c r="BS74" i="17"/>
  <c r="BL74" i="17"/>
  <c r="CA74" i="17"/>
  <c r="BM74" i="17"/>
  <c r="BU11" i="17"/>
  <c r="BW11" i="17"/>
  <c r="BO11" i="17"/>
  <c r="BY11" i="17"/>
  <c r="BQ11" i="17"/>
  <c r="CA11" i="17"/>
  <c r="BS11" i="17"/>
  <c r="BM11" i="17"/>
  <c r="BH11" i="17"/>
  <c r="BI11" i="17"/>
  <c r="BL11" i="17"/>
  <c r="BU75" i="17"/>
  <c r="BW75" i="17"/>
  <c r="BY75" i="17"/>
  <c r="BQ75" i="17"/>
  <c r="CA75" i="17"/>
  <c r="BS75" i="17"/>
  <c r="BM75" i="17"/>
  <c r="BH75" i="17"/>
  <c r="BO75" i="17"/>
  <c r="BI75" i="17"/>
  <c r="BL75" i="17"/>
  <c r="BU20" i="17"/>
  <c r="BW20" i="17"/>
  <c r="BQ20" i="17"/>
  <c r="CA20" i="17"/>
  <c r="BM20" i="17"/>
  <c r="BY20" i="17"/>
  <c r="BO20" i="17"/>
  <c r="BH20" i="17"/>
  <c r="BI20" i="17"/>
  <c r="BS20" i="17"/>
  <c r="BL20" i="17"/>
  <c r="BU84" i="17"/>
  <c r="BW84" i="17"/>
  <c r="BQ84" i="17"/>
  <c r="CA84" i="17"/>
  <c r="BM84" i="17"/>
  <c r="BY84" i="17"/>
  <c r="BO84" i="17"/>
  <c r="BH84" i="17"/>
  <c r="BI84" i="17"/>
  <c r="BS84" i="17"/>
  <c r="BL84" i="17"/>
  <c r="CA29" i="17"/>
  <c r="BS29" i="17"/>
  <c r="BU29" i="17"/>
  <c r="BW29" i="17"/>
  <c r="BO29" i="17"/>
  <c r="BY29" i="17"/>
  <c r="BQ29" i="17"/>
  <c r="BL29" i="17"/>
  <c r="BM29" i="17"/>
  <c r="BH29" i="17"/>
  <c r="BI29" i="17"/>
  <c r="CA93" i="17"/>
  <c r="BS93" i="17"/>
  <c r="BU93" i="17"/>
  <c r="BW93" i="17"/>
  <c r="BY93" i="17"/>
  <c r="BQ93" i="17"/>
  <c r="BL93" i="17"/>
  <c r="BM93" i="17"/>
  <c r="BO93" i="17"/>
  <c r="BH93" i="17"/>
  <c r="BI93" i="17"/>
  <c r="CA30" i="17"/>
  <c r="BS30" i="17"/>
  <c r="BU30" i="17"/>
  <c r="BL30" i="17"/>
  <c r="BQ30" i="17"/>
  <c r="BM30" i="17"/>
  <c r="BY30" i="17"/>
  <c r="BH30" i="17"/>
  <c r="BW30" i="17"/>
  <c r="BO30" i="17"/>
  <c r="BI30" i="17"/>
  <c r="CA94" i="17"/>
  <c r="BS94" i="17"/>
  <c r="BU94" i="17"/>
  <c r="BL94" i="17"/>
  <c r="BQ94" i="17"/>
  <c r="BM94" i="17"/>
  <c r="BY94" i="17"/>
  <c r="BO94" i="17"/>
  <c r="BH94" i="17"/>
  <c r="BW94" i="17"/>
  <c r="BI94" i="17"/>
  <c r="BY32" i="17"/>
  <c r="BQ32" i="17"/>
  <c r="CA32" i="17"/>
  <c r="BS32" i="17"/>
  <c r="BU32" i="17"/>
  <c r="BO32" i="17"/>
  <c r="BI32" i="17"/>
  <c r="BL32" i="17"/>
  <c r="BM32" i="17"/>
  <c r="BW32" i="17"/>
  <c r="BH32" i="17"/>
  <c r="BY96" i="17"/>
  <c r="BQ96" i="17"/>
  <c r="CA96" i="17"/>
  <c r="BS96" i="17"/>
  <c r="BU96" i="17"/>
  <c r="BI96" i="17"/>
  <c r="BL96" i="17"/>
  <c r="BM96" i="17"/>
  <c r="BW96" i="17"/>
  <c r="BO96" i="17"/>
  <c r="BH96" i="17"/>
  <c r="BW9" i="17"/>
  <c r="BO9" i="17"/>
  <c r="BY9" i="17"/>
  <c r="BQ9" i="17"/>
  <c r="CA9" i="17"/>
  <c r="BS9" i="17"/>
  <c r="BU9" i="17"/>
  <c r="BH9" i="17"/>
  <c r="BI9" i="17"/>
  <c r="BL9" i="17"/>
  <c r="BM9" i="17"/>
  <c r="BW2" i="17"/>
  <c r="BO2" i="17"/>
  <c r="BY2" i="17"/>
  <c r="BQ2" i="17"/>
  <c r="BU2" i="17"/>
  <c r="BH2" i="17"/>
  <c r="BS2" i="17"/>
  <c r="BI2" i="17"/>
  <c r="CA2" i="17"/>
  <c r="BL2" i="17"/>
  <c r="BM2" i="17"/>
  <c r="BU67" i="17"/>
  <c r="BW67" i="17"/>
  <c r="BY67" i="17"/>
  <c r="BQ67" i="17"/>
  <c r="CA67" i="17"/>
  <c r="BS67" i="17"/>
  <c r="BM67" i="17"/>
  <c r="BH67" i="17"/>
  <c r="BO67" i="17"/>
  <c r="BI67" i="17"/>
  <c r="BL67" i="17"/>
  <c r="CA21" i="17"/>
  <c r="BS21" i="17"/>
  <c r="BU21" i="17"/>
  <c r="BW21" i="17"/>
  <c r="BO21" i="17"/>
  <c r="BY21" i="17"/>
  <c r="BQ21" i="17"/>
  <c r="BL21" i="17"/>
  <c r="BM21" i="17"/>
  <c r="BH21" i="17"/>
  <c r="BI21" i="17"/>
  <c r="CA85" i="17"/>
  <c r="BS85" i="17"/>
  <c r="BU85" i="17"/>
  <c r="BW85" i="17"/>
  <c r="BY85" i="17"/>
  <c r="BQ85" i="17"/>
  <c r="BL85" i="17"/>
  <c r="BM85" i="17"/>
  <c r="BO85" i="17"/>
  <c r="BH85" i="17"/>
  <c r="BI85" i="17"/>
  <c r="CA86" i="17"/>
  <c r="BS86" i="17"/>
  <c r="BU86" i="17"/>
  <c r="BQ86" i="17"/>
  <c r="BL86" i="17"/>
  <c r="BY86" i="17"/>
  <c r="BM86" i="17"/>
  <c r="BW86" i="17"/>
  <c r="BO86" i="17"/>
  <c r="BH86" i="17"/>
  <c r="BI86" i="17"/>
  <c r="BW57" i="17"/>
  <c r="BO57" i="17"/>
  <c r="BY57" i="17"/>
  <c r="BQ57" i="17"/>
  <c r="CA57" i="17"/>
  <c r="BS57" i="17"/>
  <c r="BU57" i="17"/>
  <c r="BH57" i="17"/>
  <c r="BI57" i="17"/>
  <c r="BL57" i="17"/>
  <c r="BM57" i="17"/>
  <c r="BW18" i="17"/>
  <c r="BO18" i="17"/>
  <c r="BY18" i="17"/>
  <c r="BQ18" i="17"/>
  <c r="CA18" i="17"/>
  <c r="BH18" i="17"/>
  <c r="BI18" i="17"/>
  <c r="BU18" i="17"/>
  <c r="BL18" i="17"/>
  <c r="BS18" i="17"/>
  <c r="BM18" i="17"/>
  <c r="BW82" i="17"/>
  <c r="BY82" i="17"/>
  <c r="BQ82" i="17"/>
  <c r="CA82" i="17"/>
  <c r="BO82" i="17"/>
  <c r="BH82" i="17"/>
  <c r="BI82" i="17"/>
  <c r="BU82" i="17"/>
  <c r="BL82" i="17"/>
  <c r="BS82" i="17"/>
  <c r="BM82" i="17"/>
  <c r="BU19" i="17"/>
  <c r="BW19" i="17"/>
  <c r="BO19" i="17"/>
  <c r="BY19" i="17"/>
  <c r="BQ19" i="17"/>
  <c r="CA19" i="17"/>
  <c r="BS19" i="17"/>
  <c r="BM19" i="17"/>
  <c r="BH19" i="17"/>
  <c r="BI19" i="17"/>
  <c r="BL19" i="17"/>
  <c r="BU83" i="17"/>
  <c r="BW83" i="17"/>
  <c r="BY83" i="17"/>
  <c r="BQ83" i="17"/>
  <c r="CA83" i="17"/>
  <c r="BS83" i="17"/>
  <c r="BM83" i="17"/>
  <c r="BH83" i="17"/>
  <c r="BO83" i="17"/>
  <c r="BI83" i="17"/>
  <c r="BL83" i="17"/>
  <c r="BU28" i="17"/>
  <c r="BW28" i="17"/>
  <c r="BS28" i="17"/>
  <c r="BM28" i="17"/>
  <c r="BQ28" i="17"/>
  <c r="CA28" i="17"/>
  <c r="BH28" i="17"/>
  <c r="BY28" i="17"/>
  <c r="BO28" i="17"/>
  <c r="BI28" i="17"/>
  <c r="BL28" i="17"/>
  <c r="BU92" i="17"/>
  <c r="BW92" i="17"/>
  <c r="BS92" i="17"/>
  <c r="BM92" i="17"/>
  <c r="BQ92" i="17"/>
  <c r="CA92" i="17"/>
  <c r="BO92" i="17"/>
  <c r="BH92" i="17"/>
  <c r="BY92" i="17"/>
  <c r="BI92" i="17"/>
  <c r="BL92" i="17"/>
  <c r="CA37" i="17"/>
  <c r="BS37" i="17"/>
  <c r="BU37" i="17"/>
  <c r="BW37" i="17"/>
  <c r="BO37" i="17"/>
  <c r="BY37" i="17"/>
  <c r="BQ37" i="17"/>
  <c r="BL37" i="17"/>
  <c r="BM37" i="17"/>
  <c r="BH37" i="17"/>
  <c r="BI37" i="17"/>
  <c r="CA101" i="17"/>
  <c r="BS101" i="17"/>
  <c r="BU101" i="17"/>
  <c r="BW101" i="17"/>
  <c r="BY101" i="17"/>
  <c r="BQ101" i="17"/>
  <c r="BL101" i="17"/>
  <c r="BM101" i="17"/>
  <c r="BO101" i="17"/>
  <c r="BH101" i="17"/>
  <c r="BI101" i="17"/>
  <c r="CA38" i="17"/>
  <c r="BS38" i="17"/>
  <c r="BU38" i="17"/>
  <c r="BW38" i="17"/>
  <c r="BL38" i="17"/>
  <c r="BO38" i="17"/>
  <c r="BM38" i="17"/>
  <c r="BQ38" i="17"/>
  <c r="BH38" i="17"/>
  <c r="BY38" i="17"/>
  <c r="BI38" i="17"/>
  <c r="CA102" i="17"/>
  <c r="BS102" i="17"/>
  <c r="BU102" i="17"/>
  <c r="BW102" i="17"/>
  <c r="BL102" i="17"/>
  <c r="BM102" i="17"/>
  <c r="BQ102" i="17"/>
  <c r="BO102" i="17"/>
  <c r="BH102" i="17"/>
  <c r="BY102" i="17"/>
  <c r="BI102" i="17"/>
  <c r="BY40" i="17"/>
  <c r="BQ40" i="17"/>
  <c r="CA40" i="17"/>
  <c r="BS40" i="17"/>
  <c r="BW40" i="17"/>
  <c r="BI40" i="17"/>
  <c r="BU40" i="17"/>
  <c r="BL40" i="17"/>
  <c r="BO40" i="17"/>
  <c r="BM40" i="17"/>
  <c r="BH40" i="17"/>
  <c r="BW17" i="17"/>
  <c r="BO17" i="17"/>
  <c r="BY17" i="17"/>
  <c r="BQ17" i="17"/>
  <c r="CA17" i="17"/>
  <c r="BS17" i="17"/>
  <c r="BU17" i="17"/>
  <c r="BH17" i="17"/>
  <c r="BI17" i="17"/>
  <c r="BL17" i="17"/>
  <c r="BM17" i="17"/>
  <c r="BW25" i="17"/>
  <c r="BO25" i="17"/>
  <c r="BY25" i="17"/>
  <c r="BQ25" i="17"/>
  <c r="CA25" i="17"/>
  <c r="BS25" i="17"/>
  <c r="BU25" i="17"/>
  <c r="BH25" i="17"/>
  <c r="BI25" i="17"/>
  <c r="BL25" i="17"/>
  <c r="BM25" i="17"/>
  <c r="BU3" i="17"/>
  <c r="BW3" i="17"/>
  <c r="BO3" i="17"/>
  <c r="BY3" i="17"/>
  <c r="BQ3" i="17"/>
  <c r="CA3" i="17"/>
  <c r="BS3" i="17"/>
  <c r="BM3" i="17"/>
  <c r="BH3" i="17"/>
  <c r="BI3" i="17"/>
  <c r="BL3" i="17"/>
  <c r="BU76" i="17"/>
  <c r="BW76" i="17"/>
  <c r="BY76" i="17"/>
  <c r="BM76" i="17"/>
  <c r="BO76" i="17"/>
  <c r="BH76" i="17"/>
  <c r="BS76" i="17"/>
  <c r="BI76" i="17"/>
  <c r="BQ76" i="17"/>
  <c r="CA76" i="17"/>
  <c r="BL76" i="17"/>
  <c r="CA22" i="17"/>
  <c r="BS22" i="17"/>
  <c r="BU22" i="17"/>
  <c r="BQ22" i="17"/>
  <c r="BL22" i="17"/>
  <c r="BY22" i="17"/>
  <c r="BO22" i="17"/>
  <c r="BM22" i="17"/>
  <c r="BW22" i="17"/>
  <c r="BH22" i="17"/>
  <c r="BI22" i="17"/>
  <c r="BY88" i="17"/>
  <c r="BQ88" i="17"/>
  <c r="CA88" i="17"/>
  <c r="BS88" i="17"/>
  <c r="BI88" i="17"/>
  <c r="BL88" i="17"/>
  <c r="BW88" i="17"/>
  <c r="BM88" i="17"/>
  <c r="BU88" i="17"/>
  <c r="BO88" i="17"/>
  <c r="BH88" i="17"/>
  <c r="BW26" i="17"/>
  <c r="BO26" i="17"/>
  <c r="BY26" i="17"/>
  <c r="BQ26" i="17"/>
  <c r="BS26" i="17"/>
  <c r="BH26" i="17"/>
  <c r="CA26" i="17"/>
  <c r="BI26" i="17"/>
  <c r="BL26" i="17"/>
  <c r="BU26" i="17"/>
  <c r="BM26" i="17"/>
  <c r="BW90" i="17"/>
  <c r="BY90" i="17"/>
  <c r="BQ90" i="17"/>
  <c r="BS90" i="17"/>
  <c r="BO90" i="17"/>
  <c r="BH90" i="17"/>
  <c r="CA90" i="17"/>
  <c r="BI90" i="17"/>
  <c r="BL90" i="17"/>
  <c r="BU90" i="17"/>
  <c r="BM90" i="17"/>
  <c r="BU27" i="17"/>
  <c r="BW27" i="17"/>
  <c r="BO27" i="17"/>
  <c r="BY27" i="17"/>
  <c r="BQ27" i="17"/>
  <c r="CA27" i="17"/>
  <c r="BS27" i="17"/>
  <c r="BM27" i="17"/>
  <c r="BH27" i="17"/>
  <c r="BI27" i="17"/>
  <c r="BL27" i="17"/>
  <c r="BU91" i="17"/>
  <c r="BW91" i="17"/>
  <c r="BY91" i="17"/>
  <c r="BQ91" i="17"/>
  <c r="CA91" i="17"/>
  <c r="BS91" i="17"/>
  <c r="BM91" i="17"/>
  <c r="BH91" i="17"/>
  <c r="BO91" i="17"/>
  <c r="BI91" i="17"/>
  <c r="BL91" i="17"/>
  <c r="BU36" i="17"/>
  <c r="BW36" i="17"/>
  <c r="BO36" i="17"/>
  <c r="BM36" i="17"/>
  <c r="BS36" i="17"/>
  <c r="BH36" i="17"/>
  <c r="BQ36" i="17"/>
  <c r="CA36" i="17"/>
  <c r="BI36" i="17"/>
  <c r="BY36" i="17"/>
  <c r="BL36" i="17"/>
  <c r="BU100" i="17"/>
  <c r="BW100" i="17"/>
  <c r="BM100" i="17"/>
  <c r="BS100" i="17"/>
  <c r="BO100" i="17"/>
  <c r="BH100" i="17"/>
  <c r="BQ100" i="17"/>
  <c r="CA100" i="17"/>
  <c r="BI100" i="17"/>
  <c r="BY100" i="17"/>
  <c r="BL100" i="17"/>
  <c r="CA45" i="17"/>
  <c r="BS45" i="17"/>
  <c r="BU45" i="17"/>
  <c r="BW45" i="17"/>
  <c r="BO45" i="17"/>
  <c r="BY45" i="17"/>
  <c r="BQ45" i="17"/>
  <c r="BL45" i="17"/>
  <c r="BM45" i="17"/>
  <c r="BH45" i="17"/>
  <c r="BI45" i="17"/>
  <c r="BY15" i="17"/>
  <c r="BQ15" i="17"/>
  <c r="CA15" i="17"/>
  <c r="BS15" i="17"/>
  <c r="BU15" i="17"/>
  <c r="BW15" i="17"/>
  <c r="BO15" i="17"/>
  <c r="BI15" i="17"/>
  <c r="BL15" i="17"/>
  <c r="BM15" i="17"/>
  <c r="BH15" i="17"/>
  <c r="CA46" i="17"/>
  <c r="BS46" i="17"/>
  <c r="BU46" i="17"/>
  <c r="BY46" i="17"/>
  <c r="BL46" i="17"/>
  <c r="BW46" i="17"/>
  <c r="BM46" i="17"/>
  <c r="BH46" i="17"/>
  <c r="BO46" i="17"/>
  <c r="BQ46" i="17"/>
  <c r="BI46" i="17"/>
  <c r="BY7" i="17"/>
  <c r="BQ7" i="17"/>
  <c r="CA7" i="17"/>
  <c r="BS7" i="17"/>
  <c r="BU7" i="17"/>
  <c r="BW7" i="17"/>
  <c r="BO7" i="17"/>
  <c r="BI7" i="17"/>
  <c r="BL7" i="17"/>
  <c r="BM7" i="17"/>
  <c r="BH7" i="17"/>
  <c r="BY48" i="17"/>
  <c r="BQ48" i="17"/>
  <c r="CA48" i="17"/>
  <c r="BS48" i="17"/>
  <c r="BO48" i="17"/>
  <c r="BI48" i="17"/>
  <c r="BW48" i="17"/>
  <c r="BL48" i="17"/>
  <c r="BU48" i="17"/>
  <c r="BM48" i="17"/>
  <c r="BH48" i="17"/>
  <c r="BW81" i="17"/>
  <c r="BY81" i="17"/>
  <c r="BQ81" i="17"/>
  <c r="CA81" i="17"/>
  <c r="BS81" i="17"/>
  <c r="BU81" i="17"/>
  <c r="BO81" i="17"/>
  <c r="BH81" i="17"/>
  <c r="BI81" i="17"/>
  <c r="BL81" i="17"/>
  <c r="BM81" i="17"/>
  <c r="BW49" i="17"/>
  <c r="BO49" i="17"/>
  <c r="BY49" i="17"/>
  <c r="BQ49" i="17"/>
  <c r="CA49" i="17"/>
  <c r="BS49" i="17"/>
  <c r="BU49" i="17"/>
  <c r="BH49" i="17"/>
  <c r="BI49" i="17"/>
  <c r="BL49" i="17"/>
  <c r="BM49" i="17"/>
  <c r="BW34" i="17"/>
  <c r="BO34" i="17"/>
  <c r="BY34" i="17"/>
  <c r="BQ34" i="17"/>
  <c r="BU34" i="17"/>
  <c r="BH34" i="17"/>
  <c r="BS34" i="17"/>
  <c r="BI34" i="17"/>
  <c r="CA34" i="17"/>
  <c r="BL34" i="17"/>
  <c r="BM34" i="17"/>
  <c r="BW98" i="17"/>
  <c r="BY98" i="17"/>
  <c r="BQ98" i="17"/>
  <c r="BU98" i="17"/>
  <c r="BO98" i="17"/>
  <c r="BH98" i="17"/>
  <c r="BS98" i="17"/>
  <c r="BI98" i="17"/>
  <c r="CA98" i="17"/>
  <c r="BL98" i="17"/>
  <c r="BM98" i="17"/>
  <c r="BU35" i="17"/>
  <c r="BW35" i="17"/>
  <c r="BO35" i="17"/>
  <c r="BY35" i="17"/>
  <c r="BQ35" i="17"/>
  <c r="CA35" i="17"/>
  <c r="BS35" i="17"/>
  <c r="BM35" i="17"/>
  <c r="BH35" i="17"/>
  <c r="BI35" i="17"/>
  <c r="BL35" i="17"/>
  <c r="BU99" i="17"/>
  <c r="BW99" i="17"/>
  <c r="BY99" i="17"/>
  <c r="BQ99" i="17"/>
  <c r="CA99" i="17"/>
  <c r="BS99" i="17"/>
  <c r="BM99" i="17"/>
  <c r="BH99" i="17"/>
  <c r="BO99" i="17"/>
  <c r="BI99" i="17"/>
  <c r="BL99" i="17"/>
  <c r="BU44" i="17"/>
  <c r="BW44" i="17"/>
  <c r="BY44" i="17"/>
  <c r="BM44" i="17"/>
  <c r="BH44" i="17"/>
  <c r="BS44" i="17"/>
  <c r="BO44" i="17"/>
  <c r="BI44" i="17"/>
  <c r="BQ44" i="17"/>
  <c r="CA44" i="17"/>
  <c r="BL44" i="17"/>
  <c r="BY23" i="17"/>
  <c r="BQ23" i="17"/>
  <c r="CA23" i="17"/>
  <c r="BS23" i="17"/>
  <c r="BU23" i="17"/>
  <c r="BW23" i="17"/>
  <c r="BO23" i="17"/>
  <c r="BI23" i="17"/>
  <c r="BL23" i="17"/>
  <c r="BM23" i="17"/>
  <c r="BH23" i="17"/>
  <c r="CA53" i="17"/>
  <c r="BS53" i="17"/>
  <c r="BU53" i="17"/>
  <c r="BW53" i="17"/>
  <c r="BO53" i="17"/>
  <c r="BY53" i="17"/>
  <c r="BQ53" i="17"/>
  <c r="BL53" i="17"/>
  <c r="BM53" i="17"/>
  <c r="BH53" i="17"/>
  <c r="BI53" i="17"/>
  <c r="BY71" i="17"/>
  <c r="BQ71" i="17"/>
  <c r="CA71" i="17"/>
  <c r="BS71" i="17"/>
  <c r="BU71" i="17"/>
  <c r="BW71" i="17"/>
  <c r="BI71" i="17"/>
  <c r="BL71" i="17"/>
  <c r="BM71" i="17"/>
  <c r="BO71" i="17"/>
  <c r="BH71" i="17"/>
  <c r="CA54" i="17"/>
  <c r="BS54" i="17"/>
  <c r="BU54" i="17"/>
  <c r="BQ54" i="17"/>
  <c r="BL54" i="17"/>
  <c r="BO54" i="17"/>
  <c r="BY54" i="17"/>
  <c r="BM54" i="17"/>
  <c r="BW54" i="17"/>
  <c r="BH54" i="17"/>
  <c r="BI54" i="17"/>
  <c r="BY55" i="17"/>
  <c r="BQ55" i="17"/>
  <c r="CA55" i="17"/>
  <c r="BS55" i="17"/>
  <c r="BU55" i="17"/>
  <c r="BW55" i="17"/>
  <c r="BI55" i="17"/>
  <c r="BL55" i="17"/>
  <c r="BO55" i="17"/>
  <c r="BM55" i="17"/>
  <c r="BH55" i="17"/>
  <c r="BY56" i="17"/>
  <c r="BQ56" i="17"/>
  <c r="CA56" i="17"/>
  <c r="BS56" i="17"/>
  <c r="BI56" i="17"/>
  <c r="BL56" i="17"/>
  <c r="BO56" i="17"/>
  <c r="BW56" i="17"/>
  <c r="BM56" i="17"/>
  <c r="BU56" i="17"/>
  <c r="BH56" i="17"/>
  <c r="BW89" i="17"/>
  <c r="BY89" i="17"/>
  <c r="BQ89" i="17"/>
  <c r="CA89" i="17"/>
  <c r="BS89" i="17"/>
  <c r="BU89" i="17"/>
  <c r="BO89" i="17"/>
  <c r="BH89" i="17"/>
  <c r="BI89" i="17"/>
  <c r="BL89" i="17"/>
  <c r="BM89" i="17"/>
  <c r="BW65" i="17"/>
  <c r="BY65" i="17"/>
  <c r="BQ65" i="17"/>
  <c r="CA65" i="17"/>
  <c r="BS65" i="17"/>
  <c r="BU65" i="17"/>
  <c r="BH65" i="17"/>
  <c r="BO65" i="17"/>
  <c r="BI65" i="17"/>
  <c r="BL65" i="17"/>
  <c r="BM65" i="17"/>
  <c r="BW42" i="17"/>
  <c r="BO42" i="17"/>
  <c r="BY42" i="17"/>
  <c r="BQ42" i="17"/>
  <c r="BH42" i="17"/>
  <c r="BU42" i="17"/>
  <c r="BI42" i="17"/>
  <c r="BS42" i="17"/>
  <c r="BL42" i="17"/>
  <c r="CA42" i="17"/>
  <c r="BM42" i="17"/>
  <c r="BY39" i="17"/>
  <c r="BQ39" i="17"/>
  <c r="CA39" i="17"/>
  <c r="BS39" i="17"/>
  <c r="BU39" i="17"/>
  <c r="BW39" i="17"/>
  <c r="BI39" i="17"/>
  <c r="BL39" i="17"/>
  <c r="BO39" i="17"/>
  <c r="BM39" i="17"/>
  <c r="BH39" i="17"/>
  <c r="BU43" i="17"/>
  <c r="BW43" i="17"/>
  <c r="BO43" i="17"/>
  <c r="BY43" i="17"/>
  <c r="BQ43" i="17"/>
  <c r="CA43" i="17"/>
  <c r="BS43" i="17"/>
  <c r="BM43" i="17"/>
  <c r="BH43" i="17"/>
  <c r="BI43" i="17"/>
  <c r="BL43" i="17"/>
  <c r="BY31" i="17"/>
  <c r="BQ31" i="17"/>
  <c r="CA31" i="17"/>
  <c r="BS31" i="17"/>
  <c r="BU31" i="17"/>
  <c r="BW31" i="17"/>
  <c r="BI31" i="17"/>
  <c r="BL31" i="17"/>
  <c r="BM31" i="17"/>
  <c r="BH31" i="17"/>
  <c r="BO31" i="17"/>
  <c r="BU52" i="17"/>
  <c r="BW52" i="17"/>
  <c r="BQ52" i="17"/>
  <c r="CA52" i="17"/>
  <c r="BO52" i="17"/>
  <c r="BM52" i="17"/>
  <c r="BY52" i="17"/>
  <c r="BH52" i="17"/>
  <c r="BI52" i="17"/>
  <c r="BS52" i="17"/>
  <c r="BL52" i="17"/>
  <c r="BY63" i="17"/>
  <c r="BQ63" i="17"/>
  <c r="CA63" i="17"/>
  <c r="BS63" i="17"/>
  <c r="BU63" i="17"/>
  <c r="BW63" i="17"/>
  <c r="BI63" i="17"/>
  <c r="BL63" i="17"/>
  <c r="BM63" i="17"/>
  <c r="BH63" i="17"/>
  <c r="BO63" i="17"/>
  <c r="CA61" i="17"/>
  <c r="BS61" i="17"/>
  <c r="BU61" i="17"/>
  <c r="BW61" i="17"/>
  <c r="BO61" i="17"/>
  <c r="BY61" i="17"/>
  <c r="BQ61" i="17"/>
  <c r="BL61" i="17"/>
  <c r="BM61" i="17"/>
  <c r="BH61" i="17"/>
  <c r="BI61" i="17"/>
  <c r="BY103" i="17"/>
  <c r="BQ103" i="17"/>
  <c r="CA103" i="17"/>
  <c r="BS103" i="17"/>
  <c r="BU103" i="17"/>
  <c r="BW103" i="17"/>
  <c r="BI103" i="17"/>
  <c r="BL103" i="17"/>
  <c r="BM103" i="17"/>
  <c r="BO103" i="17"/>
  <c r="BH103" i="17"/>
  <c r="CA62" i="17"/>
  <c r="BS62" i="17"/>
  <c r="BU62" i="17"/>
  <c r="BL62" i="17"/>
  <c r="BQ62" i="17"/>
  <c r="BM62" i="17"/>
  <c r="BY62" i="17"/>
  <c r="BH62" i="17"/>
  <c r="BW62" i="17"/>
  <c r="BO62" i="17"/>
  <c r="BI62" i="17"/>
  <c r="BY95" i="17"/>
  <c r="BQ95" i="17"/>
  <c r="CA95" i="17"/>
  <c r="BS95" i="17"/>
  <c r="BU95" i="17"/>
  <c r="BW95" i="17"/>
  <c r="BI95" i="17"/>
  <c r="BL95" i="17"/>
  <c r="BM95" i="17"/>
  <c r="BO95" i="17"/>
  <c r="BH95" i="17"/>
  <c r="BY64" i="17"/>
  <c r="BQ64" i="17"/>
  <c r="CA64" i="17"/>
  <c r="BS64" i="17"/>
  <c r="BU64" i="17"/>
  <c r="BO64" i="17"/>
  <c r="BI64" i="17"/>
  <c r="BL64" i="17"/>
  <c r="BM64" i="17"/>
  <c r="BW64" i="17"/>
  <c r="BH64" i="17"/>
  <c r="BW33" i="17"/>
  <c r="BO33" i="17"/>
  <c r="BY33" i="17"/>
  <c r="BQ33" i="17"/>
  <c r="CA33" i="17"/>
  <c r="BS33" i="17"/>
  <c r="BU33" i="17"/>
  <c r="BH33" i="17"/>
  <c r="BI33" i="17"/>
  <c r="BL33" i="17"/>
  <c r="BM33" i="17"/>
  <c r="BW73" i="17"/>
  <c r="BY73" i="17"/>
  <c r="BQ73" i="17"/>
  <c r="CA73" i="17"/>
  <c r="BS73" i="17"/>
  <c r="BU73" i="17"/>
  <c r="BO73" i="17"/>
  <c r="BH73" i="17"/>
  <c r="BI73" i="17"/>
  <c r="BL73" i="17"/>
  <c r="BM73" i="17"/>
  <c r="BA8" i="17"/>
  <c r="BD8" i="17"/>
  <c r="BE8" i="17"/>
  <c r="BE10" i="17"/>
  <c r="BA10" i="17"/>
  <c r="BD10" i="17"/>
  <c r="BE74" i="17"/>
  <c r="BA74" i="17"/>
  <c r="BD74" i="17"/>
  <c r="BE11" i="17"/>
  <c r="BA11" i="17"/>
  <c r="BD11" i="17"/>
  <c r="BE75" i="17"/>
  <c r="BA75" i="17"/>
  <c r="BD75" i="17"/>
  <c r="BD20" i="17"/>
  <c r="BE20" i="17"/>
  <c r="BA20" i="17"/>
  <c r="BD84" i="17"/>
  <c r="BE84" i="17"/>
  <c r="BA84" i="17"/>
  <c r="BD29" i="17"/>
  <c r="BE29" i="17"/>
  <c r="BA29" i="17"/>
  <c r="BD93" i="17"/>
  <c r="BE93" i="17"/>
  <c r="BA93" i="17"/>
  <c r="BA30" i="17"/>
  <c r="BD30" i="17"/>
  <c r="BE30" i="17"/>
  <c r="BA94" i="17"/>
  <c r="BD94" i="17"/>
  <c r="BE94" i="17"/>
  <c r="BA32" i="17"/>
  <c r="BD32" i="17"/>
  <c r="BE32" i="17"/>
  <c r="BA96" i="17"/>
  <c r="BD96" i="17"/>
  <c r="BE96" i="17"/>
  <c r="BA9" i="17"/>
  <c r="BD9" i="17"/>
  <c r="BE9" i="17"/>
  <c r="BE18" i="17"/>
  <c r="BA18" i="17"/>
  <c r="BD18" i="17"/>
  <c r="BE82" i="17"/>
  <c r="BA82" i="17"/>
  <c r="BD82" i="17"/>
  <c r="BE19" i="17"/>
  <c r="BA19" i="17"/>
  <c r="BD19" i="17"/>
  <c r="BE83" i="17"/>
  <c r="BA83" i="17"/>
  <c r="BD83" i="17"/>
  <c r="BD28" i="17"/>
  <c r="BE28" i="17"/>
  <c r="BA28" i="17"/>
  <c r="BD92" i="17"/>
  <c r="BE92" i="17"/>
  <c r="BA92" i="17"/>
  <c r="BD37" i="17"/>
  <c r="BE37" i="17"/>
  <c r="BA37" i="17"/>
  <c r="BD101" i="17"/>
  <c r="BE101" i="17"/>
  <c r="BA101" i="17"/>
  <c r="BA38" i="17"/>
  <c r="BD38" i="17"/>
  <c r="BE38" i="17"/>
  <c r="BA102" i="17"/>
  <c r="BD102" i="17"/>
  <c r="BE102" i="17"/>
  <c r="BA40" i="17"/>
  <c r="BD40" i="17"/>
  <c r="BE40" i="17"/>
  <c r="BA17" i="17"/>
  <c r="BD17" i="17"/>
  <c r="BE17" i="17"/>
  <c r="BA25" i="17"/>
  <c r="BD25" i="17"/>
  <c r="BE25" i="17"/>
  <c r="BA47" i="17"/>
  <c r="BD47" i="17"/>
  <c r="BE47" i="17"/>
  <c r="BD60" i="17"/>
  <c r="BE60" i="17"/>
  <c r="BA60" i="17"/>
  <c r="BD69" i="17"/>
  <c r="BE69" i="17"/>
  <c r="BA69" i="17"/>
  <c r="BA72" i="17"/>
  <c r="BD72" i="17"/>
  <c r="BE72" i="17"/>
  <c r="BE50" i="17"/>
  <c r="BA50" i="17"/>
  <c r="BD50" i="17"/>
  <c r="BE51" i="17"/>
  <c r="BA51" i="17"/>
  <c r="BD51" i="17"/>
  <c r="BA79" i="17"/>
  <c r="BD79" i="17"/>
  <c r="BE79" i="17"/>
  <c r="BD5" i="17"/>
  <c r="BE5" i="17"/>
  <c r="BA5" i="17"/>
  <c r="BA6" i="17"/>
  <c r="BD6" i="17"/>
  <c r="BE6" i="17"/>
  <c r="BA70" i="17"/>
  <c r="BD70" i="17"/>
  <c r="BE70" i="17"/>
  <c r="BA97" i="17"/>
  <c r="BD97" i="17"/>
  <c r="BE97" i="17"/>
  <c r="BE58" i="17"/>
  <c r="BA58" i="17"/>
  <c r="BD58" i="17"/>
  <c r="BA87" i="17"/>
  <c r="BD87" i="17"/>
  <c r="BE87" i="17"/>
  <c r="BE59" i="17"/>
  <c r="BA59" i="17"/>
  <c r="BD59" i="17"/>
  <c r="BD4" i="17"/>
  <c r="BE4" i="17"/>
  <c r="BA4" i="17"/>
  <c r="BD68" i="17"/>
  <c r="BE68" i="17"/>
  <c r="BA68" i="17"/>
  <c r="BD13" i="17"/>
  <c r="BE13" i="17"/>
  <c r="BA13" i="17"/>
  <c r="BD77" i="17"/>
  <c r="BE77" i="17"/>
  <c r="BA77" i="17"/>
  <c r="BA14" i="17"/>
  <c r="BD14" i="17"/>
  <c r="BE14" i="17"/>
  <c r="BA78" i="17"/>
  <c r="BD78" i="17"/>
  <c r="BE78" i="17"/>
  <c r="BA16" i="17"/>
  <c r="BD16" i="17"/>
  <c r="BE16" i="17"/>
  <c r="BA80" i="17"/>
  <c r="BD80" i="17"/>
  <c r="BE80" i="17"/>
  <c r="BA41" i="17"/>
  <c r="BD41" i="17"/>
  <c r="BE41" i="17"/>
  <c r="BE2" i="17"/>
  <c r="BA2" i="17"/>
  <c r="BD2" i="17"/>
  <c r="BE66" i="17"/>
  <c r="BA66" i="17"/>
  <c r="BD66" i="17"/>
  <c r="BE3" i="17"/>
  <c r="BA3" i="17"/>
  <c r="BD3" i="17"/>
  <c r="BE67" i="17"/>
  <c r="BA67" i="17"/>
  <c r="BD67" i="17"/>
  <c r="BD12" i="17"/>
  <c r="BE12" i="17"/>
  <c r="BA12" i="17"/>
  <c r="BD76" i="17"/>
  <c r="BE76" i="17"/>
  <c r="BA76" i="17"/>
  <c r="BD21" i="17"/>
  <c r="BE21" i="17"/>
  <c r="BA21" i="17"/>
  <c r="BD85" i="17"/>
  <c r="BE85" i="17"/>
  <c r="BA85" i="17"/>
  <c r="BA22" i="17"/>
  <c r="BD22" i="17"/>
  <c r="BE22" i="17"/>
  <c r="BA86" i="17"/>
  <c r="BD86" i="17"/>
  <c r="BE86" i="17"/>
  <c r="BA24" i="17"/>
  <c r="BD24" i="17"/>
  <c r="BE24" i="17"/>
  <c r="BA88" i="17"/>
  <c r="BD88" i="17"/>
  <c r="BE88" i="17"/>
  <c r="BA57" i="17"/>
  <c r="BD57" i="17"/>
  <c r="BE57" i="17"/>
  <c r="BE26" i="17"/>
  <c r="BA26" i="17"/>
  <c r="BD26" i="17"/>
  <c r="BE90" i="17"/>
  <c r="BA90" i="17"/>
  <c r="BD90" i="17"/>
  <c r="BE27" i="17"/>
  <c r="BA27" i="17"/>
  <c r="BD27" i="17"/>
  <c r="BE91" i="17"/>
  <c r="BA91" i="17"/>
  <c r="BD91" i="17"/>
  <c r="BD36" i="17"/>
  <c r="BE36" i="17"/>
  <c r="BA36" i="17"/>
  <c r="BD100" i="17"/>
  <c r="BE100" i="17"/>
  <c r="BA100" i="17"/>
  <c r="BD45" i="17"/>
  <c r="BE45" i="17"/>
  <c r="BA45" i="17"/>
  <c r="BA15" i="17"/>
  <c r="BD15" i="17"/>
  <c r="BE15" i="17"/>
  <c r="BA46" i="17"/>
  <c r="BD46" i="17"/>
  <c r="BE46" i="17"/>
  <c r="BA7" i="17"/>
  <c r="BD7" i="17"/>
  <c r="BE7" i="17"/>
  <c r="BA48" i="17"/>
  <c r="BD48" i="17"/>
  <c r="BE48" i="17"/>
  <c r="BA81" i="17"/>
  <c r="BD81" i="17"/>
  <c r="BE81" i="17"/>
  <c r="BA49" i="17"/>
  <c r="BD49" i="17"/>
  <c r="BE49" i="17"/>
  <c r="BE34" i="17"/>
  <c r="BA34" i="17"/>
  <c r="BD34" i="17"/>
  <c r="BE98" i="17"/>
  <c r="BA98" i="17"/>
  <c r="BD98" i="17"/>
  <c r="BE35" i="17"/>
  <c r="BA35" i="17"/>
  <c r="BD35" i="17"/>
  <c r="BE99" i="17"/>
  <c r="BA99" i="17"/>
  <c r="BD99" i="17"/>
  <c r="BD44" i="17"/>
  <c r="BE44" i="17"/>
  <c r="BA44" i="17"/>
  <c r="BA23" i="17"/>
  <c r="BD23" i="17"/>
  <c r="BE23" i="17"/>
  <c r="BD53" i="17"/>
  <c r="BE53" i="17"/>
  <c r="BA53" i="17"/>
  <c r="BA71" i="17"/>
  <c r="BD71" i="17"/>
  <c r="BE71" i="17"/>
  <c r="BA54" i="17"/>
  <c r="BD54" i="17"/>
  <c r="BE54" i="17"/>
  <c r="BA55" i="17"/>
  <c r="BD55" i="17"/>
  <c r="BE55" i="17"/>
  <c r="BA56" i="17"/>
  <c r="BD56" i="17"/>
  <c r="BE56" i="17"/>
  <c r="BA89" i="17"/>
  <c r="BD89" i="17"/>
  <c r="BE89" i="17"/>
  <c r="BA65" i="17"/>
  <c r="BD65" i="17"/>
  <c r="BE65" i="17"/>
  <c r="BE42" i="17"/>
  <c r="BA42" i="17"/>
  <c r="BD42" i="17"/>
  <c r="BA39" i="17"/>
  <c r="BD39" i="17"/>
  <c r="BE39" i="17"/>
  <c r="BE43" i="17"/>
  <c r="BA43" i="17"/>
  <c r="BD43" i="17"/>
  <c r="BA31" i="17"/>
  <c r="BD31" i="17"/>
  <c r="BE31" i="17"/>
  <c r="BD52" i="17"/>
  <c r="BE52" i="17"/>
  <c r="BA52" i="17"/>
  <c r="BA63" i="17"/>
  <c r="BD63" i="17"/>
  <c r="BE63" i="17"/>
  <c r="BD61" i="17"/>
  <c r="BE61" i="17"/>
  <c r="BA61" i="17"/>
  <c r="BA103" i="17"/>
  <c r="BD103" i="17"/>
  <c r="BE103" i="17"/>
  <c r="BA62" i="17"/>
  <c r="BD62" i="17"/>
  <c r="BE62" i="17"/>
  <c r="BA95" i="17"/>
  <c r="BD95" i="17"/>
  <c r="BE95" i="17"/>
  <c r="BA64" i="17"/>
  <c r="BD64" i="17"/>
  <c r="BE64" i="17"/>
  <c r="BA33" i="17"/>
  <c r="BD33" i="17"/>
  <c r="BE33" i="17"/>
  <c r="BA73" i="17"/>
  <c r="BD73" i="17"/>
  <c r="BE73" i="17"/>
  <c r="AM79" i="17"/>
  <c r="AU79" i="17"/>
  <c r="AW79" i="17"/>
  <c r="AO79" i="17"/>
  <c r="AZ79" i="17"/>
  <c r="AQ79" i="17"/>
  <c r="AS79" i="17"/>
  <c r="AM60" i="17"/>
  <c r="AW60" i="17"/>
  <c r="AO60" i="17"/>
  <c r="AZ60" i="17"/>
  <c r="AQ60" i="17"/>
  <c r="AS60" i="17"/>
  <c r="AU60" i="17"/>
  <c r="AM5" i="17"/>
  <c r="AW5" i="17"/>
  <c r="AO5" i="17"/>
  <c r="AZ5" i="17"/>
  <c r="AQ5" i="17"/>
  <c r="AS5" i="17"/>
  <c r="AU5" i="17"/>
  <c r="AM69" i="17"/>
  <c r="AW69" i="17"/>
  <c r="AO69" i="17"/>
  <c r="AZ69" i="17"/>
  <c r="AQ69" i="17"/>
  <c r="AS69" i="17"/>
  <c r="AU69" i="17"/>
  <c r="AM6" i="17"/>
  <c r="AU6" i="17"/>
  <c r="AW6" i="17"/>
  <c r="AO6" i="17"/>
  <c r="AZ6" i="17"/>
  <c r="AQ6" i="17"/>
  <c r="AS6" i="17"/>
  <c r="AM70" i="17"/>
  <c r="AU70" i="17"/>
  <c r="AW70" i="17"/>
  <c r="AO70" i="17"/>
  <c r="AZ70" i="17"/>
  <c r="AQ70" i="17"/>
  <c r="AS70" i="17"/>
  <c r="AM8" i="17"/>
  <c r="AS8" i="17"/>
  <c r="AU8" i="17"/>
  <c r="AW8" i="17"/>
  <c r="AO8" i="17"/>
  <c r="AZ8" i="17"/>
  <c r="AQ8" i="17"/>
  <c r="AM72" i="17"/>
  <c r="AS72" i="17"/>
  <c r="AU72" i="17"/>
  <c r="AW72" i="17"/>
  <c r="AO72" i="17"/>
  <c r="AZ72" i="17"/>
  <c r="AQ72" i="17"/>
  <c r="AM97" i="17"/>
  <c r="AS97" i="17"/>
  <c r="AU97" i="17"/>
  <c r="AW97" i="17"/>
  <c r="AO97" i="17"/>
  <c r="AZ97" i="17"/>
  <c r="AQ97" i="17"/>
  <c r="AM58" i="17"/>
  <c r="AZ58" i="17"/>
  <c r="AQ58" i="17"/>
  <c r="AS58" i="17"/>
  <c r="AU58" i="17"/>
  <c r="AW58" i="17"/>
  <c r="AO58" i="17"/>
  <c r="AM87" i="17"/>
  <c r="AU87" i="17"/>
  <c r="AW87" i="17"/>
  <c r="AO87" i="17"/>
  <c r="AZ87" i="17"/>
  <c r="AQ87" i="17"/>
  <c r="AS87" i="17"/>
  <c r="AM59" i="17"/>
  <c r="AZ59" i="17"/>
  <c r="AQ59" i="17"/>
  <c r="AS59" i="17"/>
  <c r="AU59" i="17"/>
  <c r="AW59" i="17"/>
  <c r="AO59" i="17"/>
  <c r="AM4" i="17"/>
  <c r="AW4" i="17"/>
  <c r="AO4" i="17"/>
  <c r="AZ4" i="17"/>
  <c r="AQ4" i="17"/>
  <c r="AS4" i="17"/>
  <c r="AU4" i="17"/>
  <c r="AM68" i="17"/>
  <c r="AW68" i="17"/>
  <c r="AO68" i="17"/>
  <c r="AZ68" i="17"/>
  <c r="AQ68" i="17"/>
  <c r="AS68" i="17"/>
  <c r="AU68" i="17"/>
  <c r="AM13" i="17"/>
  <c r="AW13" i="17"/>
  <c r="AO13" i="17"/>
  <c r="AZ13" i="17"/>
  <c r="AQ13" i="17"/>
  <c r="AS13" i="17"/>
  <c r="AU13" i="17"/>
  <c r="AM77" i="17"/>
  <c r="AW77" i="17"/>
  <c r="AO77" i="17"/>
  <c r="AZ77" i="17"/>
  <c r="AQ77" i="17"/>
  <c r="AS77" i="17"/>
  <c r="AU77" i="17"/>
  <c r="AM14" i="17"/>
  <c r="AU14" i="17"/>
  <c r="AW14" i="17"/>
  <c r="AO14" i="17"/>
  <c r="AZ14" i="17"/>
  <c r="AQ14" i="17"/>
  <c r="AS14" i="17"/>
  <c r="AM78" i="17"/>
  <c r="AU78" i="17"/>
  <c r="AW78" i="17"/>
  <c r="AO78" i="17"/>
  <c r="AZ78" i="17"/>
  <c r="AQ78" i="17"/>
  <c r="AS78" i="17"/>
  <c r="AM16" i="17"/>
  <c r="AS16" i="17"/>
  <c r="AU16" i="17"/>
  <c r="AW16" i="17"/>
  <c r="AO16" i="17"/>
  <c r="AZ16" i="17"/>
  <c r="AQ16" i="17"/>
  <c r="AM80" i="17"/>
  <c r="AS80" i="17"/>
  <c r="AU80" i="17"/>
  <c r="AW80" i="17"/>
  <c r="AO80" i="17"/>
  <c r="AZ80" i="17"/>
  <c r="AQ80" i="17"/>
  <c r="AM41" i="17"/>
  <c r="AS41" i="17"/>
  <c r="AU41" i="17"/>
  <c r="AW41" i="17"/>
  <c r="AO41" i="17"/>
  <c r="AZ41" i="17"/>
  <c r="AQ41" i="17"/>
  <c r="AM51" i="17"/>
  <c r="AZ51" i="17"/>
  <c r="AQ51" i="17"/>
  <c r="AS51" i="17"/>
  <c r="AU51" i="17"/>
  <c r="AW51" i="17"/>
  <c r="AO51" i="17"/>
  <c r="AM86" i="17"/>
  <c r="AU86" i="17"/>
  <c r="AW86" i="17"/>
  <c r="AO86" i="17"/>
  <c r="AZ86" i="17"/>
  <c r="AQ86" i="17"/>
  <c r="AS86" i="17"/>
  <c r="AM10" i="17"/>
  <c r="AZ10" i="17"/>
  <c r="AQ10" i="17"/>
  <c r="AS10" i="17"/>
  <c r="AU10" i="17"/>
  <c r="AW10" i="17"/>
  <c r="AO10" i="17"/>
  <c r="AM11" i="17"/>
  <c r="AZ11" i="17"/>
  <c r="AQ11" i="17"/>
  <c r="AS11" i="17"/>
  <c r="AU11" i="17"/>
  <c r="AW11" i="17"/>
  <c r="AO11" i="17"/>
  <c r="AM20" i="17"/>
  <c r="AW20" i="17"/>
  <c r="AO20" i="17"/>
  <c r="AZ20" i="17"/>
  <c r="AQ20" i="17"/>
  <c r="AS20" i="17"/>
  <c r="AU20" i="17"/>
  <c r="AM29" i="17"/>
  <c r="AW29" i="17"/>
  <c r="AO29" i="17"/>
  <c r="AZ29" i="17"/>
  <c r="AQ29" i="17"/>
  <c r="AS29" i="17"/>
  <c r="AU29" i="17"/>
  <c r="AM30" i="17"/>
  <c r="AU30" i="17"/>
  <c r="AW30" i="17"/>
  <c r="AO30" i="17"/>
  <c r="AZ30" i="17"/>
  <c r="AQ30" i="17"/>
  <c r="AS30" i="17"/>
  <c r="AM32" i="17"/>
  <c r="AS32" i="17"/>
  <c r="AU32" i="17"/>
  <c r="AW32" i="17"/>
  <c r="AO32" i="17"/>
  <c r="AZ32" i="17"/>
  <c r="AQ32" i="17"/>
  <c r="AM9" i="17"/>
  <c r="AS9" i="17"/>
  <c r="AU9" i="17"/>
  <c r="AW9" i="17"/>
  <c r="AO9" i="17"/>
  <c r="AZ9" i="17"/>
  <c r="AQ9" i="17"/>
  <c r="AM18" i="17"/>
  <c r="AZ18" i="17"/>
  <c r="AQ18" i="17"/>
  <c r="AS18" i="17"/>
  <c r="AU18" i="17"/>
  <c r="AW18" i="17"/>
  <c r="AO18" i="17"/>
  <c r="AM82" i="17"/>
  <c r="AZ82" i="17"/>
  <c r="AQ82" i="17"/>
  <c r="AS82" i="17"/>
  <c r="AU82" i="17"/>
  <c r="AW82" i="17"/>
  <c r="AO82" i="17"/>
  <c r="AM19" i="17"/>
  <c r="AZ19" i="17"/>
  <c r="AQ19" i="17"/>
  <c r="AS19" i="17"/>
  <c r="AU19" i="17"/>
  <c r="AW19" i="17"/>
  <c r="AO19" i="17"/>
  <c r="AM83" i="17"/>
  <c r="AZ83" i="17"/>
  <c r="AQ83" i="17"/>
  <c r="AS83" i="17"/>
  <c r="AU83" i="17"/>
  <c r="AW83" i="17"/>
  <c r="AO83" i="17"/>
  <c r="AM28" i="17"/>
  <c r="AW28" i="17"/>
  <c r="AO28" i="17"/>
  <c r="AZ28" i="17"/>
  <c r="AQ28" i="17"/>
  <c r="AS28" i="17"/>
  <c r="AU28" i="17"/>
  <c r="AM92" i="17"/>
  <c r="AW92" i="17"/>
  <c r="AO92" i="17"/>
  <c r="AZ92" i="17"/>
  <c r="AQ92" i="17"/>
  <c r="AS92" i="17"/>
  <c r="AU92" i="17"/>
  <c r="AM37" i="17"/>
  <c r="AW37" i="17"/>
  <c r="AO37" i="17"/>
  <c r="AZ37" i="17"/>
  <c r="AQ37" i="17"/>
  <c r="AS37" i="17"/>
  <c r="AU37" i="17"/>
  <c r="AM101" i="17"/>
  <c r="AW101" i="17"/>
  <c r="AO101" i="17"/>
  <c r="AZ101" i="17"/>
  <c r="AQ101" i="17"/>
  <c r="AS101" i="17"/>
  <c r="AU101" i="17"/>
  <c r="AM38" i="17"/>
  <c r="AU38" i="17"/>
  <c r="AW38" i="17"/>
  <c r="AO38" i="17"/>
  <c r="AZ38" i="17"/>
  <c r="AQ38" i="17"/>
  <c r="AS38" i="17"/>
  <c r="AM102" i="17"/>
  <c r="AU102" i="17"/>
  <c r="AW102" i="17"/>
  <c r="AO102" i="17"/>
  <c r="AZ102" i="17"/>
  <c r="AQ102" i="17"/>
  <c r="AS102" i="17"/>
  <c r="AM40" i="17"/>
  <c r="AS40" i="17"/>
  <c r="AU40" i="17"/>
  <c r="AW40" i="17"/>
  <c r="AO40" i="17"/>
  <c r="AZ40" i="17"/>
  <c r="AQ40" i="17"/>
  <c r="AM17" i="17"/>
  <c r="AS17" i="17"/>
  <c r="AU17" i="17"/>
  <c r="AW17" i="17"/>
  <c r="AO17" i="17"/>
  <c r="AZ17" i="17"/>
  <c r="AQ17" i="17"/>
  <c r="AM25" i="17"/>
  <c r="AS25" i="17"/>
  <c r="AU25" i="17"/>
  <c r="AW25" i="17"/>
  <c r="AO25" i="17"/>
  <c r="AZ25" i="17"/>
  <c r="AQ25" i="17"/>
  <c r="AM47" i="17"/>
  <c r="AU47" i="17"/>
  <c r="AW47" i="17"/>
  <c r="AO47" i="17"/>
  <c r="AZ47" i="17"/>
  <c r="AQ47" i="17"/>
  <c r="AS47" i="17"/>
  <c r="AZ2" i="17"/>
  <c r="AQ2" i="17"/>
  <c r="AS2" i="17"/>
  <c r="AU2" i="17"/>
  <c r="AM2" i="17"/>
  <c r="AW2" i="17"/>
  <c r="AO2" i="17"/>
  <c r="AM67" i="17"/>
  <c r="AZ67" i="17"/>
  <c r="AQ67" i="17"/>
  <c r="AS67" i="17"/>
  <c r="AU67" i="17"/>
  <c r="AW67" i="17"/>
  <c r="AO67" i="17"/>
  <c r="AM76" i="17"/>
  <c r="AW76" i="17"/>
  <c r="AO76" i="17"/>
  <c r="AZ76" i="17"/>
  <c r="AQ76" i="17"/>
  <c r="AS76" i="17"/>
  <c r="AU76" i="17"/>
  <c r="AM85" i="17"/>
  <c r="AW85" i="17"/>
  <c r="AO85" i="17"/>
  <c r="AZ85" i="17"/>
  <c r="AQ85" i="17"/>
  <c r="AS85" i="17"/>
  <c r="AU85" i="17"/>
  <c r="AM22" i="17"/>
  <c r="AU22" i="17"/>
  <c r="AW22" i="17"/>
  <c r="AO22" i="17"/>
  <c r="AZ22" i="17"/>
  <c r="AQ22" i="17"/>
  <c r="AS22" i="17"/>
  <c r="AM57" i="17"/>
  <c r="AS57" i="17"/>
  <c r="AU57" i="17"/>
  <c r="AW57" i="17"/>
  <c r="AO57" i="17"/>
  <c r="AZ57" i="17"/>
  <c r="AQ57" i="17"/>
  <c r="AM74" i="17"/>
  <c r="AZ74" i="17"/>
  <c r="AQ74" i="17"/>
  <c r="AS74" i="17"/>
  <c r="AU74" i="17"/>
  <c r="AW74" i="17"/>
  <c r="AO74" i="17"/>
  <c r="AM75" i="17"/>
  <c r="AZ75" i="17"/>
  <c r="AQ75" i="17"/>
  <c r="AS75" i="17"/>
  <c r="AU75" i="17"/>
  <c r="AW75" i="17"/>
  <c r="AO75" i="17"/>
  <c r="AM84" i="17"/>
  <c r="AW84" i="17"/>
  <c r="AO84" i="17"/>
  <c r="AZ84" i="17"/>
  <c r="AQ84" i="17"/>
  <c r="AS84" i="17"/>
  <c r="AU84" i="17"/>
  <c r="AM93" i="17"/>
  <c r="AW93" i="17"/>
  <c r="AO93" i="17"/>
  <c r="AZ93" i="17"/>
  <c r="AQ93" i="17"/>
  <c r="AS93" i="17"/>
  <c r="AU93" i="17"/>
  <c r="AM94" i="17"/>
  <c r="AU94" i="17"/>
  <c r="AW94" i="17"/>
  <c r="AO94" i="17"/>
  <c r="AZ94" i="17"/>
  <c r="AQ94" i="17"/>
  <c r="AS94" i="17"/>
  <c r="AM96" i="17"/>
  <c r="AS96" i="17"/>
  <c r="AU96" i="17"/>
  <c r="AW96" i="17"/>
  <c r="AO96" i="17"/>
  <c r="AZ96" i="17"/>
  <c r="AQ96" i="17"/>
  <c r="AM26" i="17"/>
  <c r="AZ26" i="17"/>
  <c r="AQ26" i="17"/>
  <c r="AS26" i="17"/>
  <c r="AU26" i="17"/>
  <c r="AW26" i="17"/>
  <c r="AO26" i="17"/>
  <c r="AM90" i="17"/>
  <c r="AZ90" i="17"/>
  <c r="AQ90" i="17"/>
  <c r="AS90" i="17"/>
  <c r="AU90" i="17"/>
  <c r="AW90" i="17"/>
  <c r="AO90" i="17"/>
  <c r="AM27" i="17"/>
  <c r="AZ27" i="17"/>
  <c r="AQ27" i="17"/>
  <c r="AS27" i="17"/>
  <c r="AU27" i="17"/>
  <c r="AW27" i="17"/>
  <c r="AO27" i="17"/>
  <c r="AM91" i="17"/>
  <c r="AZ91" i="17"/>
  <c r="AQ91" i="17"/>
  <c r="AS91" i="17"/>
  <c r="AU91" i="17"/>
  <c r="AW91" i="17"/>
  <c r="AO91" i="17"/>
  <c r="AM36" i="17"/>
  <c r="AW36" i="17"/>
  <c r="AO36" i="17"/>
  <c r="AZ36" i="17"/>
  <c r="AQ36" i="17"/>
  <c r="AS36" i="17"/>
  <c r="AU36" i="17"/>
  <c r="AM100" i="17"/>
  <c r="AW100" i="17"/>
  <c r="AO100" i="17"/>
  <c r="AZ100" i="17"/>
  <c r="AQ100" i="17"/>
  <c r="AS100" i="17"/>
  <c r="AU100" i="17"/>
  <c r="AM45" i="17"/>
  <c r="AW45" i="17"/>
  <c r="AO45" i="17"/>
  <c r="AZ45" i="17"/>
  <c r="AQ45" i="17"/>
  <c r="AS45" i="17"/>
  <c r="AU45" i="17"/>
  <c r="AM15" i="17"/>
  <c r="AU15" i="17"/>
  <c r="AW15" i="17"/>
  <c r="AO15" i="17"/>
  <c r="AZ15" i="17"/>
  <c r="AQ15" i="17"/>
  <c r="AS15" i="17"/>
  <c r="AM46" i="17"/>
  <c r="AU46" i="17"/>
  <c r="AW46" i="17"/>
  <c r="AO46" i="17"/>
  <c r="AZ46" i="17"/>
  <c r="AQ46" i="17"/>
  <c r="AS46" i="17"/>
  <c r="AM7" i="17"/>
  <c r="AU7" i="17"/>
  <c r="AW7" i="17"/>
  <c r="AO7" i="17"/>
  <c r="AZ7" i="17"/>
  <c r="AQ7" i="17"/>
  <c r="AS7" i="17"/>
  <c r="AM48" i="17"/>
  <c r="AS48" i="17"/>
  <c r="AU48" i="17"/>
  <c r="AW48" i="17"/>
  <c r="AO48" i="17"/>
  <c r="AZ48" i="17"/>
  <c r="AQ48" i="17"/>
  <c r="AM81" i="17"/>
  <c r="AS81" i="17"/>
  <c r="AU81" i="17"/>
  <c r="AW81" i="17"/>
  <c r="AO81" i="17"/>
  <c r="AZ81" i="17"/>
  <c r="AQ81" i="17"/>
  <c r="AM49" i="17"/>
  <c r="AS49" i="17"/>
  <c r="AU49" i="17"/>
  <c r="AW49" i="17"/>
  <c r="AO49" i="17"/>
  <c r="AZ49" i="17"/>
  <c r="AQ49" i="17"/>
  <c r="AM50" i="17"/>
  <c r="AZ50" i="17"/>
  <c r="AQ50" i="17"/>
  <c r="AS50" i="17"/>
  <c r="AU50" i="17"/>
  <c r="AW50" i="17"/>
  <c r="AO50" i="17"/>
  <c r="AM3" i="17"/>
  <c r="AZ3" i="17"/>
  <c r="AQ3" i="17"/>
  <c r="AS3" i="17"/>
  <c r="AU3" i="17"/>
  <c r="AW3" i="17"/>
  <c r="AO3" i="17"/>
  <c r="AM12" i="17"/>
  <c r="AW12" i="17"/>
  <c r="AO12" i="17"/>
  <c r="AZ12" i="17"/>
  <c r="AQ12" i="17"/>
  <c r="AS12" i="17"/>
  <c r="AU12" i="17"/>
  <c r="AM21" i="17"/>
  <c r="AW21" i="17"/>
  <c r="AO21" i="17"/>
  <c r="AZ21" i="17"/>
  <c r="AQ21" i="17"/>
  <c r="AS21" i="17"/>
  <c r="AU21" i="17"/>
  <c r="AM88" i="17"/>
  <c r="AS88" i="17"/>
  <c r="AU88" i="17"/>
  <c r="AW88" i="17"/>
  <c r="AO88" i="17"/>
  <c r="AZ88" i="17"/>
  <c r="AQ88" i="17"/>
  <c r="AM34" i="17"/>
  <c r="AZ34" i="17"/>
  <c r="AQ34" i="17"/>
  <c r="AS34" i="17"/>
  <c r="AU34" i="17"/>
  <c r="AW34" i="17"/>
  <c r="AO34" i="17"/>
  <c r="AM98" i="17"/>
  <c r="AZ98" i="17"/>
  <c r="AQ98" i="17"/>
  <c r="AS98" i="17"/>
  <c r="AU98" i="17"/>
  <c r="AW98" i="17"/>
  <c r="AO98" i="17"/>
  <c r="AM35" i="17"/>
  <c r="AZ35" i="17"/>
  <c r="AQ35" i="17"/>
  <c r="AS35" i="17"/>
  <c r="AU35" i="17"/>
  <c r="AW35" i="17"/>
  <c r="AO35" i="17"/>
  <c r="AM99" i="17"/>
  <c r="AZ99" i="17"/>
  <c r="AQ99" i="17"/>
  <c r="AS99" i="17"/>
  <c r="AU99" i="17"/>
  <c r="AW99" i="17"/>
  <c r="AO99" i="17"/>
  <c r="AM44" i="17"/>
  <c r="AW44" i="17"/>
  <c r="AO44" i="17"/>
  <c r="AZ44" i="17"/>
  <c r="AQ44" i="17"/>
  <c r="AS44" i="17"/>
  <c r="AU44" i="17"/>
  <c r="AM23" i="17"/>
  <c r="AU23" i="17"/>
  <c r="AW23" i="17"/>
  <c r="AO23" i="17"/>
  <c r="AZ23" i="17"/>
  <c r="AQ23" i="17"/>
  <c r="AS23" i="17"/>
  <c r="AM53" i="17"/>
  <c r="AW53" i="17"/>
  <c r="AO53" i="17"/>
  <c r="AZ53" i="17"/>
  <c r="AQ53" i="17"/>
  <c r="AS53" i="17"/>
  <c r="AU53" i="17"/>
  <c r="AM71" i="17"/>
  <c r="AU71" i="17"/>
  <c r="AW71" i="17"/>
  <c r="AO71" i="17"/>
  <c r="AZ71" i="17"/>
  <c r="AQ71" i="17"/>
  <c r="AS71" i="17"/>
  <c r="AM54" i="17"/>
  <c r="AU54" i="17"/>
  <c r="AW54" i="17"/>
  <c r="AO54" i="17"/>
  <c r="AZ54" i="17"/>
  <c r="AQ54" i="17"/>
  <c r="AS54" i="17"/>
  <c r="AM55" i="17"/>
  <c r="AU55" i="17"/>
  <c r="AW55" i="17"/>
  <c r="AO55" i="17"/>
  <c r="AZ55" i="17"/>
  <c r="AQ55" i="17"/>
  <c r="AS55" i="17"/>
  <c r="AM56" i="17"/>
  <c r="AS56" i="17"/>
  <c r="AU56" i="17"/>
  <c r="AW56" i="17"/>
  <c r="AO56" i="17"/>
  <c r="AZ56" i="17"/>
  <c r="AQ56" i="17"/>
  <c r="AM89" i="17"/>
  <c r="AS89" i="17"/>
  <c r="AU89" i="17"/>
  <c r="AW89" i="17"/>
  <c r="AO89" i="17"/>
  <c r="AZ89" i="17"/>
  <c r="AQ89" i="17"/>
  <c r="AM65" i="17"/>
  <c r="AS65" i="17"/>
  <c r="AU65" i="17"/>
  <c r="AW65" i="17"/>
  <c r="AO65" i="17"/>
  <c r="AZ65" i="17"/>
  <c r="AQ65" i="17"/>
  <c r="AM66" i="17"/>
  <c r="AZ66" i="17"/>
  <c r="AQ66" i="17"/>
  <c r="AS66" i="17"/>
  <c r="AU66" i="17"/>
  <c r="AW66" i="17"/>
  <c r="AO66" i="17"/>
  <c r="AM24" i="17"/>
  <c r="AS24" i="17"/>
  <c r="AU24" i="17"/>
  <c r="AW24" i="17"/>
  <c r="AO24" i="17"/>
  <c r="AZ24" i="17"/>
  <c r="AQ24" i="17"/>
  <c r="AM42" i="17"/>
  <c r="AZ42" i="17"/>
  <c r="AQ42" i="17"/>
  <c r="AS42" i="17"/>
  <c r="AU42" i="17"/>
  <c r="AW42" i="17"/>
  <c r="AO42" i="17"/>
  <c r="AM39" i="17"/>
  <c r="AU39" i="17"/>
  <c r="AW39" i="17"/>
  <c r="AO39" i="17"/>
  <c r="AZ39" i="17"/>
  <c r="AQ39" i="17"/>
  <c r="AS39" i="17"/>
  <c r="AM43" i="17"/>
  <c r="AZ43" i="17"/>
  <c r="AQ43" i="17"/>
  <c r="AS43" i="17"/>
  <c r="AU43" i="17"/>
  <c r="AW43" i="17"/>
  <c r="AO43" i="17"/>
  <c r="AM31" i="17"/>
  <c r="AU31" i="17"/>
  <c r="AW31" i="17"/>
  <c r="AO31" i="17"/>
  <c r="AZ31" i="17"/>
  <c r="AQ31" i="17"/>
  <c r="AS31" i="17"/>
  <c r="AM52" i="17"/>
  <c r="AW52" i="17"/>
  <c r="AO52" i="17"/>
  <c r="AZ52" i="17"/>
  <c r="AQ52" i="17"/>
  <c r="AS52" i="17"/>
  <c r="AU52" i="17"/>
  <c r="AM63" i="17"/>
  <c r="AU63" i="17"/>
  <c r="AW63" i="17"/>
  <c r="AO63" i="17"/>
  <c r="AZ63" i="17"/>
  <c r="AQ63" i="17"/>
  <c r="AS63" i="17"/>
  <c r="AM61" i="17"/>
  <c r="AW61" i="17"/>
  <c r="AO61" i="17"/>
  <c r="AZ61" i="17"/>
  <c r="AQ61" i="17"/>
  <c r="AS61" i="17"/>
  <c r="AU61" i="17"/>
  <c r="AM103" i="17"/>
  <c r="AU103" i="17"/>
  <c r="AW103" i="17"/>
  <c r="AO103" i="17"/>
  <c r="AZ103" i="17"/>
  <c r="AQ103" i="17"/>
  <c r="AS103" i="17"/>
  <c r="AM62" i="17"/>
  <c r="AU62" i="17"/>
  <c r="AW62" i="17"/>
  <c r="AO62" i="17"/>
  <c r="AZ62" i="17"/>
  <c r="AQ62" i="17"/>
  <c r="AS62" i="17"/>
  <c r="AM95" i="17"/>
  <c r="AU95" i="17"/>
  <c r="AW95" i="17"/>
  <c r="AO95" i="17"/>
  <c r="AZ95" i="17"/>
  <c r="AQ95" i="17"/>
  <c r="AS95" i="17"/>
  <c r="AM64" i="17"/>
  <c r="AS64" i="17"/>
  <c r="AU64" i="17"/>
  <c r="AW64" i="17"/>
  <c r="AO64" i="17"/>
  <c r="AZ64" i="17"/>
  <c r="AQ64" i="17"/>
  <c r="AM33" i="17"/>
  <c r="AS33" i="17"/>
  <c r="AU33" i="17"/>
  <c r="AW33" i="17"/>
  <c r="AO33" i="17"/>
  <c r="AZ33" i="17"/>
  <c r="AQ33" i="17"/>
  <c r="AM73" i="17"/>
  <c r="AS73" i="17"/>
  <c r="AU73" i="17"/>
  <c r="AW73" i="17"/>
  <c r="AO73" i="17"/>
  <c r="AZ73" i="17"/>
  <c r="AQ73" i="17"/>
  <c r="AI50" i="17"/>
  <c r="AK50" i="17"/>
  <c r="AI47" i="17"/>
  <c r="AK47" i="17"/>
  <c r="AI51" i="17"/>
  <c r="AK51" i="17"/>
  <c r="AI79" i="17"/>
  <c r="AK79" i="17"/>
  <c r="AI60" i="17"/>
  <c r="AK60" i="17"/>
  <c r="AI5" i="17"/>
  <c r="AK5" i="17"/>
  <c r="AI69" i="17"/>
  <c r="AK69" i="17"/>
  <c r="AI6" i="17"/>
  <c r="AK6" i="17"/>
  <c r="AI70" i="17"/>
  <c r="AK70" i="17"/>
  <c r="AI8" i="17"/>
  <c r="AK8" i="17"/>
  <c r="AI72" i="17"/>
  <c r="AK72" i="17"/>
  <c r="AI97" i="17"/>
  <c r="AK97" i="17"/>
  <c r="AI58" i="17"/>
  <c r="AK58" i="17"/>
  <c r="AI87" i="17"/>
  <c r="AK87" i="17"/>
  <c r="AI59" i="17"/>
  <c r="AK59" i="17"/>
  <c r="AI4" i="17"/>
  <c r="AK4" i="17"/>
  <c r="AI68" i="17"/>
  <c r="AK68" i="17"/>
  <c r="AI13" i="17"/>
  <c r="AK13" i="17"/>
  <c r="AI77" i="17"/>
  <c r="AK77" i="17"/>
  <c r="AI14" i="17"/>
  <c r="AK14" i="17"/>
  <c r="AI78" i="17"/>
  <c r="AK78" i="17"/>
  <c r="AI16" i="17"/>
  <c r="AK16" i="17"/>
  <c r="AI80" i="17"/>
  <c r="AK80" i="17"/>
  <c r="AI41" i="17"/>
  <c r="AK41" i="17"/>
  <c r="AI3" i="17"/>
  <c r="AK3" i="17"/>
  <c r="AI76" i="17"/>
  <c r="AK76" i="17"/>
  <c r="AI88" i="17"/>
  <c r="AK88" i="17"/>
  <c r="AI10" i="17"/>
  <c r="AK10" i="17"/>
  <c r="AI75" i="17"/>
  <c r="AK75" i="17"/>
  <c r="AI84" i="17"/>
  <c r="AK84" i="17"/>
  <c r="AI30" i="17"/>
  <c r="AK30" i="17"/>
  <c r="AI32" i="17"/>
  <c r="AK32" i="17"/>
  <c r="AI9" i="17"/>
  <c r="AK9" i="17"/>
  <c r="AI18" i="17"/>
  <c r="AK18" i="17"/>
  <c r="AI82" i="17"/>
  <c r="AK82" i="17"/>
  <c r="AI19" i="17"/>
  <c r="AK19" i="17"/>
  <c r="AI83" i="17"/>
  <c r="AK83" i="17"/>
  <c r="AI28" i="17"/>
  <c r="AK28" i="17"/>
  <c r="AI92" i="17"/>
  <c r="AK92" i="17"/>
  <c r="AI37" i="17"/>
  <c r="AK37" i="17"/>
  <c r="AI101" i="17"/>
  <c r="AK101" i="17"/>
  <c r="AI38" i="17"/>
  <c r="AK38" i="17"/>
  <c r="AI102" i="17"/>
  <c r="AK102" i="17"/>
  <c r="AI40" i="17"/>
  <c r="AK40" i="17"/>
  <c r="AI17" i="17"/>
  <c r="AK17" i="17"/>
  <c r="AI25" i="17"/>
  <c r="AK25" i="17"/>
  <c r="AI86" i="17"/>
  <c r="AK86" i="17"/>
  <c r="AI74" i="17"/>
  <c r="AK74" i="17"/>
  <c r="AI11" i="17"/>
  <c r="AK11" i="17"/>
  <c r="AI20" i="17"/>
  <c r="AK20" i="17"/>
  <c r="AI29" i="17"/>
  <c r="AK29" i="17"/>
  <c r="AI96" i="17"/>
  <c r="AK96" i="17"/>
  <c r="AI26" i="17"/>
  <c r="AK26" i="17"/>
  <c r="AI90" i="17"/>
  <c r="AK90" i="17"/>
  <c r="AI27" i="17"/>
  <c r="AK27" i="17"/>
  <c r="AI91" i="17"/>
  <c r="AK91" i="17"/>
  <c r="AI36" i="17"/>
  <c r="AK36" i="17"/>
  <c r="AI100" i="17"/>
  <c r="AK100" i="17"/>
  <c r="AI45" i="17"/>
  <c r="AK45" i="17"/>
  <c r="AI15" i="17"/>
  <c r="AK15" i="17"/>
  <c r="AI46" i="17"/>
  <c r="AK46" i="17"/>
  <c r="AI7" i="17"/>
  <c r="AK7" i="17"/>
  <c r="AI48" i="17"/>
  <c r="AK48" i="17"/>
  <c r="AI81" i="17"/>
  <c r="AK81" i="17"/>
  <c r="AI49" i="17"/>
  <c r="AK49" i="17"/>
  <c r="AI2" i="17"/>
  <c r="AK2" i="17"/>
  <c r="AI67" i="17"/>
  <c r="AK67" i="17"/>
  <c r="AI21" i="17"/>
  <c r="AK21" i="17"/>
  <c r="AI22" i="17"/>
  <c r="AK22" i="17"/>
  <c r="AI57" i="17"/>
  <c r="AK57" i="17"/>
  <c r="AI94" i="17"/>
  <c r="AK94" i="17"/>
  <c r="AI34" i="17"/>
  <c r="AK34" i="17"/>
  <c r="AI98" i="17"/>
  <c r="AK98" i="17"/>
  <c r="AI35" i="17"/>
  <c r="AK35" i="17"/>
  <c r="AI99" i="17"/>
  <c r="AK99" i="17"/>
  <c r="AI44" i="17"/>
  <c r="AK44" i="17"/>
  <c r="AI23" i="17"/>
  <c r="AK23" i="17"/>
  <c r="AI53" i="17"/>
  <c r="AK53" i="17"/>
  <c r="AI71" i="17"/>
  <c r="AK71" i="17"/>
  <c r="AI54" i="17"/>
  <c r="AK54" i="17"/>
  <c r="AI55" i="17"/>
  <c r="AK55" i="17"/>
  <c r="AI56" i="17"/>
  <c r="AK56" i="17"/>
  <c r="AI89" i="17"/>
  <c r="AK89" i="17"/>
  <c r="AI65" i="17"/>
  <c r="AK65" i="17"/>
  <c r="AI66" i="17"/>
  <c r="AK66" i="17"/>
  <c r="AI12" i="17"/>
  <c r="AK12" i="17"/>
  <c r="AI85" i="17"/>
  <c r="AK85" i="17"/>
  <c r="AI24" i="17"/>
  <c r="AK24" i="17"/>
  <c r="AI93" i="17"/>
  <c r="AK93" i="17"/>
  <c r="AI42" i="17"/>
  <c r="AK42" i="17"/>
  <c r="AI39" i="17"/>
  <c r="AK39" i="17"/>
  <c r="AI43" i="17"/>
  <c r="AK43" i="17"/>
  <c r="AI31" i="17"/>
  <c r="AK31" i="17"/>
  <c r="AI52" i="17"/>
  <c r="AK52" i="17"/>
  <c r="AI63" i="17"/>
  <c r="AK63" i="17"/>
  <c r="AI61" i="17"/>
  <c r="AK61" i="17"/>
  <c r="AI103" i="17"/>
  <c r="AK103" i="17"/>
  <c r="AI62" i="17"/>
  <c r="AK62" i="17"/>
  <c r="AI95" i="17"/>
  <c r="AK95" i="17"/>
  <c r="AI64" i="17"/>
  <c r="AK64" i="17"/>
  <c r="AI33" i="17"/>
  <c r="AK33" i="17"/>
  <c r="AI73" i="17"/>
  <c r="AK73" i="17"/>
  <c r="P4" i="17"/>
  <c r="P12" i="17"/>
  <c r="P20" i="17"/>
  <c r="P28" i="17"/>
  <c r="P36" i="17"/>
  <c r="P44" i="17"/>
  <c r="P52" i="17"/>
  <c r="P60" i="17"/>
  <c r="P68" i="17"/>
  <c r="P76" i="17"/>
  <c r="P84" i="17"/>
  <c r="P92" i="17"/>
  <c r="P100" i="17"/>
  <c r="P26" i="17"/>
  <c r="P5" i="17"/>
  <c r="P13" i="17"/>
  <c r="P21" i="17"/>
  <c r="P29" i="17"/>
  <c r="P37" i="17"/>
  <c r="P45" i="17"/>
  <c r="P53" i="17"/>
  <c r="P61" i="17"/>
  <c r="P69" i="17"/>
  <c r="P77" i="17"/>
  <c r="P85" i="17"/>
  <c r="P93" i="17"/>
  <c r="P101" i="17"/>
  <c r="P91" i="17"/>
  <c r="P6" i="17"/>
  <c r="P14" i="17"/>
  <c r="P22" i="17"/>
  <c r="P30" i="17"/>
  <c r="P38" i="17"/>
  <c r="P46" i="17"/>
  <c r="P54" i="17"/>
  <c r="P62" i="17"/>
  <c r="P70" i="17"/>
  <c r="P78" i="17"/>
  <c r="P86" i="17"/>
  <c r="P94" i="17"/>
  <c r="P102" i="17"/>
  <c r="P58" i="17"/>
  <c r="P98" i="17"/>
  <c r="P7" i="17"/>
  <c r="P15" i="17"/>
  <c r="P23" i="17"/>
  <c r="P31" i="17"/>
  <c r="P39" i="17"/>
  <c r="P47" i="17"/>
  <c r="P55" i="17"/>
  <c r="P63" i="17"/>
  <c r="P71" i="17"/>
  <c r="P79" i="17"/>
  <c r="P87" i="17"/>
  <c r="P95" i="17"/>
  <c r="P103" i="17"/>
  <c r="P2" i="17"/>
  <c r="P10" i="17"/>
  <c r="P18" i="17"/>
  <c r="P34" i="17"/>
  <c r="P42" i="17"/>
  <c r="P50" i="17"/>
  <c r="P66" i="17"/>
  <c r="P74" i="17"/>
  <c r="P82" i="17"/>
  <c r="P90" i="17"/>
  <c r="P3" i="17"/>
  <c r="P27" i="17"/>
  <c r="P43" i="17"/>
  <c r="P67" i="17"/>
  <c r="P83" i="17"/>
  <c r="P8" i="17"/>
  <c r="P16" i="17"/>
  <c r="P24" i="17"/>
  <c r="P32" i="17"/>
  <c r="P40" i="17"/>
  <c r="P48" i="17"/>
  <c r="P56" i="17"/>
  <c r="P64" i="17"/>
  <c r="P72" i="17"/>
  <c r="P80" i="17"/>
  <c r="P88" i="17"/>
  <c r="P96" i="17"/>
  <c r="P11" i="17"/>
  <c r="P19" i="17"/>
  <c r="P35" i="17"/>
  <c r="P51" i="17"/>
  <c r="P59" i="17"/>
  <c r="P75" i="17"/>
  <c r="P9" i="17"/>
  <c r="P17" i="17"/>
  <c r="P25" i="17"/>
  <c r="P33" i="17"/>
  <c r="P41" i="17"/>
  <c r="P49" i="17"/>
  <c r="P57" i="17"/>
  <c r="P65" i="17"/>
  <c r="P73" i="17"/>
  <c r="P81" i="17"/>
  <c r="P89" i="17"/>
  <c r="P97" i="17"/>
  <c r="P99" i="17"/>
  <c r="O6" i="17"/>
  <c r="O14" i="17"/>
  <c r="O22" i="17"/>
  <c r="O30" i="17"/>
  <c r="O38" i="17"/>
  <c r="O46" i="17"/>
  <c r="O54" i="17"/>
  <c r="O62" i="17"/>
  <c r="O70" i="17"/>
  <c r="O78" i="17"/>
  <c r="O86" i="17"/>
  <c r="O94" i="17"/>
  <c r="O102" i="17"/>
  <c r="O29" i="17"/>
  <c r="O101" i="17"/>
  <c r="O7" i="17"/>
  <c r="O15" i="17"/>
  <c r="O23" i="17"/>
  <c r="O31" i="17"/>
  <c r="O39" i="17"/>
  <c r="O47" i="17"/>
  <c r="O55" i="17"/>
  <c r="O63" i="17"/>
  <c r="O71" i="17"/>
  <c r="O79" i="17"/>
  <c r="O87" i="17"/>
  <c r="O95" i="17"/>
  <c r="O103" i="17"/>
  <c r="O12" i="17"/>
  <c r="O68" i="17"/>
  <c r="O100" i="17"/>
  <c r="O53" i="17"/>
  <c r="O8" i="17"/>
  <c r="O16" i="17"/>
  <c r="O24" i="17"/>
  <c r="O32" i="17"/>
  <c r="O40" i="17"/>
  <c r="O48" i="17"/>
  <c r="O56" i="17"/>
  <c r="O64" i="17"/>
  <c r="O72" i="17"/>
  <c r="O80" i="17"/>
  <c r="O88" i="17"/>
  <c r="O96" i="17"/>
  <c r="O28" i="17"/>
  <c r="O44" i="17"/>
  <c r="O60" i="17"/>
  <c r="O84" i="17"/>
  <c r="O21" i="17"/>
  <c r="O93" i="17"/>
  <c r="O9" i="17"/>
  <c r="O17" i="17"/>
  <c r="O25" i="17"/>
  <c r="O33" i="17"/>
  <c r="O41" i="17"/>
  <c r="O49" i="17"/>
  <c r="O57" i="17"/>
  <c r="O65" i="17"/>
  <c r="O73" i="17"/>
  <c r="O81" i="17"/>
  <c r="O89" i="17"/>
  <c r="O97" i="17"/>
  <c r="O4" i="17"/>
  <c r="O20" i="17"/>
  <c r="O36" i="17"/>
  <c r="O52" i="17"/>
  <c r="O76" i="17"/>
  <c r="O92" i="17"/>
  <c r="O13" i="17"/>
  <c r="O45" i="17"/>
  <c r="O77" i="17"/>
  <c r="O2" i="17"/>
  <c r="O10" i="17"/>
  <c r="O18" i="17"/>
  <c r="O26" i="17"/>
  <c r="O34" i="17"/>
  <c r="O42" i="17"/>
  <c r="O50" i="17"/>
  <c r="O58" i="17"/>
  <c r="O66" i="17"/>
  <c r="O74" i="17"/>
  <c r="O82" i="17"/>
  <c r="O90" i="17"/>
  <c r="O98" i="17"/>
  <c r="O5" i="17"/>
  <c r="O37" i="17"/>
  <c r="O69" i="17"/>
  <c r="O85" i="17"/>
  <c r="O3" i="17"/>
  <c r="O11" i="17"/>
  <c r="O19" i="17"/>
  <c r="O27" i="17"/>
  <c r="O35" i="17"/>
  <c r="O43" i="17"/>
  <c r="O51" i="17"/>
  <c r="O59" i="17"/>
  <c r="O67" i="17"/>
  <c r="O75" i="17"/>
  <c r="O83" i="17"/>
  <c r="O91" i="17"/>
  <c r="O99" i="17"/>
  <c r="O61" i="17"/>
  <c r="F9" i="17"/>
  <c r="F18" i="17"/>
  <c r="F27" i="17"/>
  <c r="F36" i="17"/>
  <c r="F44" i="17"/>
  <c r="F52" i="17"/>
  <c r="F60" i="17"/>
  <c r="F69" i="17"/>
  <c r="F77" i="17"/>
  <c r="F85" i="17"/>
  <c r="F93" i="17"/>
  <c r="F101" i="17"/>
  <c r="F16" i="17"/>
  <c r="F34" i="17"/>
  <c r="F42" i="17"/>
  <c r="F75" i="17"/>
  <c r="F99" i="17"/>
  <c r="F8" i="17"/>
  <c r="F26" i="17"/>
  <c r="F59" i="17"/>
  <c r="F84" i="17"/>
  <c r="F11" i="17"/>
  <c r="F20" i="17"/>
  <c r="F29" i="17"/>
  <c r="F37" i="17"/>
  <c r="F45" i="17"/>
  <c r="F53" i="17"/>
  <c r="F61" i="17"/>
  <c r="F70" i="17"/>
  <c r="F78" i="17"/>
  <c r="F86" i="17"/>
  <c r="F94" i="17"/>
  <c r="F102" i="17"/>
  <c r="F58" i="17"/>
  <c r="F12" i="17"/>
  <c r="F21" i="17"/>
  <c r="F30" i="17"/>
  <c r="F38" i="17"/>
  <c r="F46" i="17"/>
  <c r="F54" i="17"/>
  <c r="F63" i="17"/>
  <c r="F71" i="17"/>
  <c r="F79" i="17"/>
  <c r="F87" i="17"/>
  <c r="F95" i="17"/>
  <c r="F19" i="17"/>
  <c r="F7" i="17"/>
  <c r="F25" i="17"/>
  <c r="F50" i="17"/>
  <c r="F83" i="17"/>
  <c r="F17" i="17"/>
  <c r="F35" i="17"/>
  <c r="F51" i="17"/>
  <c r="F76" i="17"/>
  <c r="F3" i="17"/>
  <c r="F13" i="17"/>
  <c r="F22" i="17"/>
  <c r="F31" i="17"/>
  <c r="F39" i="17"/>
  <c r="F47" i="17"/>
  <c r="F55" i="17"/>
  <c r="F64" i="17"/>
  <c r="F72" i="17"/>
  <c r="F80" i="17"/>
  <c r="F88" i="17"/>
  <c r="F96" i="17"/>
  <c r="F28" i="17"/>
  <c r="F92" i="17"/>
  <c r="F5" i="17"/>
  <c r="F14" i="17"/>
  <c r="F23" i="17"/>
  <c r="F32" i="17"/>
  <c r="F40" i="17"/>
  <c r="F48" i="17"/>
  <c r="F56" i="17"/>
  <c r="F65" i="17"/>
  <c r="F73" i="17"/>
  <c r="F81" i="17"/>
  <c r="F89" i="17"/>
  <c r="F97" i="17"/>
  <c r="F103" i="17"/>
  <c r="F91" i="17"/>
  <c r="F43" i="17"/>
  <c r="F68" i="17"/>
  <c r="F100" i="17"/>
  <c r="F6" i="17"/>
  <c r="F15" i="17"/>
  <c r="F24" i="17"/>
  <c r="F33" i="17"/>
  <c r="F41" i="17"/>
  <c r="F49" i="17"/>
  <c r="F57" i="17"/>
  <c r="F66" i="17"/>
  <c r="F74" i="17"/>
  <c r="F82" i="17"/>
  <c r="F90" i="17"/>
  <c r="F98" i="17"/>
  <c r="F67" i="17"/>
  <c r="F62" i="17"/>
  <c r="F2" i="17"/>
  <c r="K108" i="17"/>
  <c r="J108" i="17"/>
  <c r="AG54" i="8"/>
  <c r="V54" i="8"/>
  <c r="AL54" i="8"/>
  <c r="AA54" i="8"/>
  <c r="U54" i="8"/>
  <c r="AC54" i="8"/>
  <c r="AH54" i="8"/>
  <c r="AJ54" i="8"/>
  <c r="W54" i="8"/>
  <c r="Y54" i="8"/>
  <c r="AM54" i="8"/>
  <c r="AB54" i="8"/>
  <c r="AF54" i="8"/>
  <c r="AK54" i="8"/>
  <c r="Z54" i="8"/>
  <c r="AE54" i="8"/>
  <c r="AI54" i="8"/>
  <c r="X54" i="8"/>
  <c r="AD54" i="8"/>
  <c r="G112" i="2"/>
  <c r="G110" i="2"/>
  <c r="G108" i="2"/>
  <c r="G77" i="4"/>
  <c r="AH106" i="2"/>
  <c r="W55" i="8"/>
  <c r="U56" i="8"/>
  <c r="AJ74" i="4"/>
  <c r="AE55" i="8"/>
  <c r="AC55" i="8"/>
  <c r="AK55" i="8"/>
  <c r="G54" i="8"/>
  <c r="AG55" i="8"/>
  <c r="AM55" i="8"/>
  <c r="O7" i="5"/>
  <c r="E12" i="5"/>
  <c r="E11" i="5"/>
  <c r="E7" i="5"/>
  <c r="O6" i="5"/>
  <c r="P2" i="5"/>
  <c r="F10" i="5"/>
  <c r="O5" i="5"/>
  <c r="P8" i="5"/>
  <c r="F15" i="5"/>
  <c r="O4" i="5"/>
  <c r="F14" i="5"/>
  <c r="O3" i="5"/>
  <c r="F13" i="5"/>
  <c r="AH74" i="4"/>
  <c r="AI55" i="8"/>
  <c r="Z55" i="8"/>
  <c r="AH55" i="8"/>
  <c r="V55" i="8"/>
  <c r="Y55" i="8"/>
  <c r="AA55" i="8"/>
  <c r="AL55" i="8"/>
  <c r="AB55" i="8"/>
  <c r="AF106" i="2"/>
  <c r="AF55" i="8"/>
  <c r="X55" i="8"/>
  <c r="AJ55" i="8"/>
  <c r="AD55" i="8"/>
  <c r="U55" i="8"/>
  <c r="G52" i="7"/>
  <c r="F67" i="6"/>
  <c r="F68" i="6"/>
  <c r="I73" i="4"/>
  <c r="G106" i="2"/>
  <c r="AW104" i="17" l="1"/>
  <c r="AW105" i="17"/>
  <c r="BH105" i="17"/>
  <c r="AM105" i="17"/>
  <c r="AM104" i="17"/>
  <c r="BU105" i="17"/>
  <c r="BU104" i="17"/>
  <c r="AU104" i="17"/>
  <c r="AU105" i="17"/>
  <c r="BQ105" i="17"/>
  <c r="BQ104" i="17"/>
  <c r="AS105" i="17"/>
  <c r="AS104" i="17"/>
  <c r="BD105" i="17"/>
  <c r="BM105" i="17"/>
  <c r="BM104" i="17"/>
  <c r="BY105" i="17"/>
  <c r="BY104" i="17"/>
  <c r="AK105" i="17"/>
  <c r="AK104" i="17"/>
  <c r="AQ105" i="17"/>
  <c r="AQ104" i="17"/>
  <c r="BA105" i="17"/>
  <c r="BA104" i="17"/>
  <c r="BL105" i="17"/>
  <c r="BO104" i="17"/>
  <c r="BO105" i="17"/>
  <c r="AI105" i="17"/>
  <c r="AI104" i="17"/>
  <c r="AZ105" i="17"/>
  <c r="AZ104" i="17"/>
  <c r="BE104" i="17"/>
  <c r="BE105" i="17"/>
  <c r="CA105" i="17"/>
  <c r="CA104" i="17"/>
  <c r="BW105" i="17"/>
  <c r="BW104" i="17"/>
  <c r="BI105" i="17"/>
  <c r="BI104" i="17"/>
  <c r="AO104" i="17"/>
  <c r="AO105" i="17"/>
  <c r="BS105" i="17"/>
  <c r="BS104" i="17"/>
  <c r="F109" i="2"/>
  <c r="G10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A342C8-E7B9-B244-AA9D-5181A0867032}" keepAlive="1" name="Query - EH Post-Survey_May 22, 2023_11 00" description="Connection to the 'EH Post-Survey_May 22, 2023_11 00' query in the workbook." type="5" refreshedVersion="8" background="1" saveData="1">
    <dbPr connection="Provider=Microsoft.Mashup.OleDb.1;Data Source=$Workbook$;Location=&quot;EH Post-Survey_May 22, 2023_11 00&quot;;Extended Properties=&quot;&quot;" command="SELECT * FROM [EH Post-Survey_May 22, 2023_11 00]"/>
  </connection>
  <connection id="2" xr16:uid="{D9F11744-61B6-2042-8680-B0E184A662EE}" keepAlive="1" name="Query - EH Post-Survey_May 22, 2023_11 00 (2)" description="Connection to the 'EH Post-Survey_May 22, 2023_11 00 (2)' query in the workbook." type="5" refreshedVersion="8" background="1" saveData="1">
    <dbPr connection="Provider=Microsoft.Mashup.OleDb.1;Data Source=$Workbook$;Location=&quot;EH Post-Survey_May 22, 2023_11 00 (2)&quot;;Extended Properties=&quot;&quot;" command="SELECT * FROM [EH Post-Survey_May 22, 2023_11 00 (2)]"/>
  </connection>
  <connection id="3" xr16:uid="{46C2D8F2-A067-CA40-8BE6-273922F62E1F}" keepAlive="1" name="Query - EH Post-Survey_May 22, 2023_11 00 (3)" description="Connection to the 'EH Post-Survey_May 22, 2023_11 00 (3)' query in the workbook." type="5" refreshedVersion="8" background="1" saveData="1">
    <dbPr connection="Provider=Microsoft.Mashup.OleDb.1;Data Source=$Workbook$;Location=&quot;EH Post-Survey_May 22, 2023_11 00 (3)&quot;;Extended Properties=&quot;&quot;" command="SELECT * FROM [EH Post-Survey_May 22, 2023_11 00 (3)]"/>
  </connection>
  <connection id="4" xr16:uid="{14A5F9AB-FCFB-644E-9A66-27D0A69405CD}" keepAlive="1" name="Query - EH Pre-Survey_May 20, 2023_08 22" description="Connection to the 'EH Pre-Survey_May 20, 2023_08 22' query in the workbook." type="5" refreshedVersion="8" background="1" saveData="1">
    <dbPr connection="Provider=Microsoft.Mashup.OleDb.1;Data Source=$Workbook$;Location=&quot;EH Pre-Survey_May 20, 2023_08 22&quot;;Extended Properties=&quot;&quot;" command="SELECT * FROM [EH Pre-Survey_May 20, 2023_08 22]"/>
  </connection>
  <connection id="5" xr16:uid="{6772D1B1-29A5-D940-8D14-AE3D755B6C87}" keepAlive="1" name="Query - EH Pre-Survey_May 20, 2023_08 22 (2)" description="Connection to the 'EH Pre-Survey_May 20, 2023_08 22 (2)' query in the workbook." type="5" refreshedVersion="8" background="1" saveData="1">
    <dbPr connection="Provider=Microsoft.Mashup.OleDb.1;Data Source=$Workbook$;Location=&quot;EH Pre-Survey_May 20, 2023_08 22 (2)&quot;;Extended Properties=&quot;&quot;" command="SELECT * FROM [EH Pre-Survey_May 20, 2023_08 22 (2)]"/>
  </connection>
  <connection id="6" xr16:uid="{1D68FAE2-EC70-4E84-BA48-2F6CADB7AFF6}" keepAlive="1" name="Query - EH Pre-Survey_May 20, 2023_08 22 (3)" description="Connection to the 'EH Pre-Survey_May 20, 2023_08 22 (3)' query in the workbook." type="5" refreshedVersion="8" background="1" saveData="1">
    <dbPr connection="Provider=Microsoft.Mashup.OleDb.1;Data Source=$Workbook$;Location=&quot;EH Pre-Survey_May 20, 2023_08 22 (3)&quot;;Extended Properties=&quot;&quot;" command="SELECT * FROM [EH Pre-Survey_May 20, 2023_08 22 (3)]"/>
  </connection>
  <connection id="7" xr16:uid="{557D69B0-281B-4E46-9E46-6B4E7517015B}" keepAlive="1" name="Query - EH Pre-Survey_May 20, 2023_08 22 (4)" description="Connection to the 'EH Pre-Survey_May 20, 2023_08 22 (4)' query in the workbook." type="5" refreshedVersion="8" background="1" saveData="1">
    <dbPr connection="Provider=Microsoft.Mashup.OleDb.1;Data Source=$Workbook$;Location=&quot;EH Pre-Survey_May 20, 2023_08 22 (4)&quot;;Extended Properties=&quot;&quot;" command="SELECT * FROM [EH Pre-Survey_May 20, 2023_08 22 (4)]"/>
  </connection>
  <connection id="8" xr16:uid="{D17D8BD0-ADB3-41DC-AB39-6EE5D16180E7}" keepAlive="1" name="Query - EH Pre-Survey_May 20, 2023_08 22 (5)" description="Connection to the 'EH Pre-Survey_May 20, 2023_08 22 (5)' query in the workbook." type="5" refreshedVersion="8" background="1" saveData="1">
    <dbPr connection="Provider=Microsoft.Mashup.OleDb.1;Data Source=$Workbook$;Location=&quot;EH Pre-Survey_May 20, 2023_08 22 (5)&quot;;Extended Properties=&quot;&quot;" command="SELECT * FROM [EH Pre-Survey_May 20, 2023_08 22 (5)]"/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<sst xmlns="http://schemas.openxmlformats.org/spreadsheetml/2006/main" count="14560" uniqueCount="1474">
  <si>
    <t>Column1</t>
  </si>
  <si>
    <t>StartDate</t>
  </si>
  <si>
    <t>EndDate</t>
  </si>
  <si>
    <t>Status</t>
  </si>
  <si>
    <t>IPAddress</t>
  </si>
  <si>
    <t>Progress</t>
  </si>
  <si>
    <t>Duration (in seconds)</t>
  </si>
  <si>
    <t>Finished</t>
  </si>
  <si>
    <t>RecordedDate</t>
  </si>
  <si>
    <t>ResponseId</t>
  </si>
  <si>
    <t>RecipientLastName</t>
  </si>
  <si>
    <t>RecipientFirstName</t>
  </si>
  <si>
    <t>RecipientEmail</t>
  </si>
  <si>
    <t>ExternalReference</t>
  </si>
  <si>
    <t>LocationLatitude</t>
  </si>
  <si>
    <t>LocationLongitude</t>
  </si>
  <si>
    <t>DistributionChannel</t>
  </si>
  <si>
    <t>UserLanguage</t>
  </si>
  <si>
    <t>Q1</t>
  </si>
  <si>
    <t>Q2_1</t>
  </si>
  <si>
    <t>Q3_1</t>
  </si>
  <si>
    <t>Q3_2</t>
  </si>
  <si>
    <t>Q3_3</t>
  </si>
  <si>
    <t>Q3_4</t>
  </si>
  <si>
    <t>Q3_5</t>
  </si>
  <si>
    <t>Q3_6</t>
  </si>
  <si>
    <t>Q3_7</t>
  </si>
  <si>
    <t>Q4_1</t>
  </si>
  <si>
    <t>Q5</t>
  </si>
  <si>
    <t>Q6</t>
  </si>
  <si>
    <t>Q7</t>
  </si>
  <si>
    <t>Q8_1</t>
  </si>
  <si>
    <t>Q8_2</t>
  </si>
  <si>
    <t>Q8_3</t>
  </si>
  <si>
    <t>Q8_4</t>
  </si>
  <si>
    <t>Q8_5</t>
  </si>
  <si>
    <t>Q8_6</t>
  </si>
  <si>
    <t>Q9_1</t>
  </si>
  <si>
    <t>Q10</t>
  </si>
  <si>
    <t>Start Date</t>
  </si>
  <si>
    <t>End Date</t>
  </si>
  <si>
    <t>Response Type</t>
  </si>
  <si>
    <t>IP Address</t>
  </si>
  <si>
    <t>Recorded Date</t>
  </si>
  <si>
    <t>Response ID</t>
  </si>
  <si>
    <t>Recipient Last Name</t>
  </si>
  <si>
    <t>Recipient First Name</t>
  </si>
  <si>
    <t>Recipient Email</t>
  </si>
  <si>
    <t>External Data Reference</t>
  </si>
  <si>
    <t>Location Latitude</t>
  </si>
  <si>
    <t>Location Longitude</t>
  </si>
  <si>
    <t>Distribution Channel</t>
  </si>
  <si>
    <t>User Language</t>
  </si>
  <si>
    <t>NetID</t>
  </si>
  <si>
    <t>How much of an impact do you believe that climate change will have on human health in your lifetime? - Impact</t>
  </si>
  <si>
    <t>For each of the following specialties,  impacted by climate change, do you believe each of the following specialties will be? (Please rank on a scale of 0 - 5) - Cardiology</t>
  </si>
  <si>
    <t>For each of the following specialties,  impacted by climate change, do you believe each of the following specialties will be? (Please rank on a scale of 0 - 5) - Dermatology</t>
  </si>
  <si>
    <t>For each of the following specialties,  impacted by climate change, do you believe each of the following specialties will be? (Please rank on a scale of 0 - 5) - Infectious Disease</t>
  </si>
  <si>
    <t>For each of the following specialties,  impacted by climate change, do you believe each of the following specialties will be? (Please rank on a scale of 0 - 5) - Neurology</t>
  </si>
  <si>
    <t>For each of the following specialties,  impacted by climate change, do you believe each of the following specialties will be? (Please rank on a scale of 0 - 5) - Psychiatry</t>
  </si>
  <si>
    <t>For each of the following specialties,  impacted by climate change, do you believe each of the following specialties will be? (Please rank on a scale of 0 - 5) - Pulmonology</t>
  </si>
  <si>
    <t>For each of the following specialties,  impacted by climate change, do you believe each of the following specialties will be? (Please rank on a scale of 0 - 5) - Surgery &amp; Subspecialties</t>
  </si>
  <si>
    <t>What is the approximate relative risk (RR) for developing asthma in children living in urban areas compared to those living in rural areas? (RR = Urban Risk/Rural Risk) - Relative Risk</t>
  </si>
  <si>
    <t>Particulates of all sizes are suspended in the air we breathe. “PM #” indicates all particulate matter (PM) below a certain diameter (#).  So, PM 70 would indicate all particulates 
 Which PM size is most dangerous to human health?
 **Halfway…it’s all down hill from here**</t>
  </si>
  <si>
    <t>What happens to particles that are &gt; 25 μm in diameter (PM &gt; 25) when we breath them in?</t>
  </si>
  <si>
    <t>Which of the following sources can emit PM 2.5? (check all that apply)</t>
  </si>
  <si>
    <t>Please rate how likely you are to ascertaining exposure to each of the following potential environmental health risk factors in your future patients? - Source of Drinking Water</t>
  </si>
  <si>
    <t>Please rate how likely you are to ascertaining exposure to each of the following potential environmental health risk factors in your future patients? - Forest Fire Exposure</t>
  </si>
  <si>
    <t>Please rate how likely you are to ascertaining exposure to each of the following potential environmental health risk factors in your future patients? - Access to Air Conditioning</t>
  </si>
  <si>
    <t>Please rate how likely you are to ascertaining exposure to each of the following potential environmental health risk factors in your future patients? - Back-up for Power Outage</t>
  </si>
  <si>
    <t>Please rate how likely you are to ascertaining exposure to each of the following potential environmental health risk factors in your future patients? - Access of Heat in Winter</t>
  </si>
  <si>
    <t>Please rate how likely you are to ascertaining exposure to each of the following potential environmental health risk factors in your future patients? - Rural vs. Urban Living</t>
  </si>
  <si>
    <t>How important do you believe that taking an environmental health history (please reference previous question) is for primary care physicians? - Not at all important</t>
  </si>
  <si>
    <t>{"ImportId":"startDate","timeZone":"America/New_York"}</t>
  </si>
  <si>
    <t>{"ImportId":"endDate","timeZone":"America/New_York"}</t>
  </si>
  <si>
    <t>{"ImportId":"status"}</t>
  </si>
  <si>
    <t>{"ImportId":"ipAddress"}</t>
  </si>
  <si>
    <t>{"ImportId":"progress"}</t>
  </si>
  <si>
    <t>{"ImportId":"duration"}</t>
  </si>
  <si>
    <t>{"ImportId":"finished"}</t>
  </si>
  <si>
    <t>{"ImportId":"recordedDate","timeZone":"America/New_York"}</t>
  </si>
  <si>
    <t>{"ImportId":"_recordId"}</t>
  </si>
  <si>
    <t>{"ImportId":"recipientLastName"}</t>
  </si>
  <si>
    <t>{"ImportId":"recipientFirstName"}</t>
  </si>
  <si>
    <t>{"ImportId":"recipientEmail"}</t>
  </si>
  <si>
    <t>{"ImportId":"externalDataReference"}</t>
  </si>
  <si>
    <t>{"ImportId":"locationLatitude"}</t>
  </si>
  <si>
    <t>{"ImportId":"locationLongitude"}</t>
  </si>
  <si>
    <t>{"ImportId":"distributionChannel"}</t>
  </si>
  <si>
    <t>{"ImportId":"userLanguage"}</t>
  </si>
  <si>
    <t>{"ImportId":"QID1_TEXT"}</t>
  </si>
  <si>
    <t>{"ImportId":"QID11_8"}</t>
  </si>
  <si>
    <t>{"ImportId":"QID5_1"}</t>
  </si>
  <si>
    <t>{"ImportId":"QID5_2"}</t>
  </si>
  <si>
    <t>{"ImportId":"QID5_3"}</t>
  </si>
  <si>
    <t>{"ImportId":"QID5_7"}</t>
  </si>
  <si>
    <t>{"ImportId":"QID5_8"}</t>
  </si>
  <si>
    <t>{"ImportId":"QID5_9"}</t>
  </si>
  <si>
    <t>{"ImportId":"QID5_4"}</t>
  </si>
  <si>
    <t>{"ImportId":"QID6_1"}</t>
  </si>
  <si>
    <t>{"ImportId":"QID3"}</t>
  </si>
  <si>
    <t>{"ImportId":"QID4"}</t>
  </si>
  <si>
    <t>{"ImportId":"QID7"}</t>
  </si>
  <si>
    <t>{"ImportId":"QID2_1"}</t>
  </si>
  <si>
    <t>{"ImportId":"QID2_3"}</t>
  </si>
  <si>
    <t>{"ImportId":"QID2_5"}</t>
  </si>
  <si>
    <t>{"ImportId":"QID2_6"}</t>
  </si>
  <si>
    <t>{"ImportId":"QID2_7"}</t>
  </si>
  <si>
    <t>{"ImportId":"QID2_9"}</t>
  </si>
  <si>
    <t>{"ImportId":"QID10_1"}</t>
  </si>
  <si>
    <t>{"ImportId":"QID12_TEXT"}</t>
  </si>
  <si>
    <t/>
  </si>
  <si>
    <t>100</t>
  </si>
  <si>
    <t>24</t>
  </si>
  <si>
    <t>True</t>
  </si>
  <si>
    <t>40.5511</t>
  </si>
  <si>
    <t>-74.4606</t>
  </si>
  <si>
    <t>EN</t>
  </si>
  <si>
    <t>16</t>
  </si>
  <si>
    <t>2023-04-07 15:54:50</t>
  </si>
  <si>
    <t>2023-04-07 15:57:11</t>
  </si>
  <si>
    <t>71.168.155.4</t>
  </si>
  <si>
    <t>140</t>
  </si>
  <si>
    <t>2023-04-07 15:57:12</t>
  </si>
  <si>
    <t>R_1QaqWN2CbiBnw76</t>
  </si>
  <si>
    <t>40.266</t>
  </si>
  <si>
    <t>-74.5217</t>
  </si>
  <si>
    <t>anonymous</t>
  </si>
  <si>
    <t>Jm2722</t>
  </si>
  <si>
    <t>5</t>
  </si>
  <si>
    <t>PM &lt; 1 μm</t>
  </si>
  <si>
    <t>Particles of this size include dust and pollen and are the main source of seasonal rhinitis</t>
  </si>
  <si>
    <t>Cars,Dirt Roads,Fireplaces,Pollen</t>
  </si>
  <si>
    <t>2023-04-07 15:54:35</t>
  </si>
  <si>
    <t>2023-04-07 15:57:50</t>
  </si>
  <si>
    <t>130.156.160.114</t>
  </si>
  <si>
    <t>195</t>
  </si>
  <si>
    <t>2023-04-07 15:57:51</t>
  </si>
  <si>
    <t>R_2bOvpdE6AP2JFCg</t>
  </si>
  <si>
    <t>Nsa86</t>
  </si>
  <si>
    <t>PM &lt; 2.5 μm</t>
  </si>
  <si>
    <t>Particles of this size reach the bronchial tree where they corrode the alveolar parenchyma.</t>
  </si>
  <si>
    <t>Cars,Dirt Roads,Electric Vehicles,Fireplaces,Pollen,Trucks</t>
  </si>
  <si>
    <t>8</t>
  </si>
  <si>
    <t xml:space="preserve">I think time is a huge factor, If we only have 30 minutes with a patient we cannot ask them this, their full history, and figure out what is going on with them without seeming like we are just bombarding them with questions. I think surveys ahead of time could be helpful with this though because then we could target the things that they mentioned during the actual visit </t>
  </si>
  <si>
    <t>2023-04-07 16:01:44</t>
  </si>
  <si>
    <t>2023-04-07 16:03:08</t>
  </si>
  <si>
    <t>69.142.217.141</t>
  </si>
  <si>
    <t>84</t>
  </si>
  <si>
    <t>2023-04-07 16:03:09</t>
  </si>
  <si>
    <t>R_234qPUh4Nw9sZyn</t>
  </si>
  <si>
    <t>40.3172</t>
  </si>
  <si>
    <t>-74.4304</t>
  </si>
  <si>
    <t>Jt999</t>
  </si>
  <si>
    <t>PM &lt; 0.25 μm</t>
  </si>
  <si>
    <t>Particles of this diameter are unable to be suspended in air.</t>
  </si>
  <si>
    <t>Cars,Dirt Roads,Fireplaces,Trucks</t>
  </si>
  <si>
    <t xml:space="preserve">Affordability </t>
  </si>
  <si>
    <t>2023-04-07 16:03:13</t>
  </si>
  <si>
    <t>2023-04-07 16:06:57</t>
  </si>
  <si>
    <t>74.105.3.71</t>
  </si>
  <si>
    <t>224</t>
  </si>
  <si>
    <t>2023-04-07 16:06:58</t>
  </si>
  <si>
    <t>R_1FK5FbicUXkbIrH</t>
  </si>
  <si>
    <t>40.4992</t>
  </si>
  <si>
    <t>-74.4996</t>
  </si>
  <si>
    <t>PM &lt; 10 μm</t>
  </si>
  <si>
    <t>Cars,Dirt Roads,Fireplaces,Pollen,Trucks</t>
  </si>
  <si>
    <t>I think that context is pretty important. If I lived in a metropolitan area, certain environmental questions would be more important than others.</t>
  </si>
  <si>
    <t>2023-04-07 16:09:20</t>
  </si>
  <si>
    <t>2023-04-07 16:10:45</t>
  </si>
  <si>
    <t>100.1.38.77</t>
  </si>
  <si>
    <t>R_3hrOCqZYlk9v0xr</t>
  </si>
  <si>
    <t>39.53</t>
  </si>
  <si>
    <t>-74.4902</t>
  </si>
  <si>
    <t>Particles of this size are generally absorbed in the respiratory tract and safely excreted in mucus.</t>
  </si>
  <si>
    <t>Cars,Dirt Roads,Electric Vehicles</t>
  </si>
  <si>
    <t>2023-04-07 16:08:07</t>
  </si>
  <si>
    <t>2023-04-07 16:12:58</t>
  </si>
  <si>
    <t>71.58.38.151</t>
  </si>
  <si>
    <t>291</t>
  </si>
  <si>
    <t>R_2aULKbdsiEPzODH</t>
  </si>
  <si>
    <t>39.9458</t>
  </si>
  <si>
    <t>-74.9042</t>
  </si>
  <si>
    <t>crk117</t>
  </si>
  <si>
    <t>PM &lt; 0.05 μm</t>
  </si>
  <si>
    <t>Cars,Fireplaces,Trucks</t>
  </si>
  <si>
    <t>lack of knowledge ! but I want to learn more!!</t>
  </si>
  <si>
    <t>2023-04-07 16:12:37</t>
  </si>
  <si>
    <t>2023-04-07 16:15:20</t>
  </si>
  <si>
    <t>72.88.214.37</t>
  </si>
  <si>
    <t>163</t>
  </si>
  <si>
    <t>R_2EdhtZkQAteIqCD</t>
  </si>
  <si>
    <t>40.4999</t>
  </si>
  <si>
    <t>-74.4247</t>
  </si>
  <si>
    <t>Fireplaces,Pollen</t>
  </si>
  <si>
    <t>lack of knowledge; lack of resources to refer patients to</t>
  </si>
  <si>
    <t>2023-04-07 16:32:28</t>
  </si>
  <si>
    <t>2023-04-07 16:36:22</t>
  </si>
  <si>
    <t>107.77.225.170</t>
  </si>
  <si>
    <t>234</t>
  </si>
  <si>
    <t>2023-04-07 16:36:23</t>
  </si>
  <si>
    <t>R_3QXJv3UjxQWQu0s</t>
  </si>
  <si>
    <t>40.6221</t>
  </si>
  <si>
    <t>-73.981</t>
  </si>
  <si>
    <t xml:space="preserve">ebm87 </t>
  </si>
  <si>
    <t>Cars,Electric Vehicles,Fireplaces,Trucks</t>
  </si>
  <si>
    <t>9</t>
  </si>
  <si>
    <t>Social determinants of health</t>
  </si>
  <si>
    <t>2023-04-07 16:52:23</t>
  </si>
  <si>
    <t>2023-04-07 16:53:59</t>
  </si>
  <si>
    <t>172.56.37.37</t>
  </si>
  <si>
    <t>96</t>
  </si>
  <si>
    <t>R_1GV5xoGgOA6Ui5y</t>
  </si>
  <si>
    <t>40.7523</t>
  </si>
  <si>
    <t>-74.2172</t>
  </si>
  <si>
    <t>pb658</t>
  </si>
  <si>
    <t>2023-04-07 18:17:06</t>
  </si>
  <si>
    <t>2023-04-07 18:19:25</t>
  </si>
  <si>
    <t>209.2.231.170</t>
  </si>
  <si>
    <t>139</t>
  </si>
  <si>
    <t>R_3Rsz0m5PVW3C7ZU</t>
  </si>
  <si>
    <t>40.7279</t>
  </si>
  <si>
    <t>-73.9966</t>
  </si>
  <si>
    <t>Dirt Roads,Fireplaces,Pollen</t>
  </si>
  <si>
    <t>2023-04-07 19:13:31</t>
  </si>
  <si>
    <t>2023-04-07 19:15:51</t>
  </si>
  <si>
    <t>47.20.211.13</t>
  </si>
  <si>
    <t>R_3O6o6l3yLZOdFWi</t>
  </si>
  <si>
    <t>40.5175</t>
  </si>
  <si>
    <t>-74.3991</t>
  </si>
  <si>
    <t>mmp263</t>
  </si>
  <si>
    <t>Dirt Roads</t>
  </si>
  <si>
    <t>2023-04-07 23:53:49</t>
  </si>
  <si>
    <t>2023-04-07 23:56:43</t>
  </si>
  <si>
    <t>98.221.176.210</t>
  </si>
  <si>
    <t>174</t>
  </si>
  <si>
    <t>R_1duzfrSTEOLsrMt</t>
  </si>
  <si>
    <t>40.4856</t>
  </si>
  <si>
    <t>-74.6265</t>
  </si>
  <si>
    <t>dab459</t>
  </si>
  <si>
    <t>Not learning about this topic in medical school would negative impact the likelihood that future physicians ask these questions in practice</t>
  </si>
  <si>
    <t>2023-04-08 08:58:24</t>
  </si>
  <si>
    <t>2023-04-08 09:01:54</t>
  </si>
  <si>
    <t>107.116.79.120</t>
  </si>
  <si>
    <t>210</t>
  </si>
  <si>
    <t>2023-04-08 09:01:55</t>
  </si>
  <si>
    <t>R_10NKIrj7YomSfl8</t>
  </si>
  <si>
    <t>38.894</t>
  </si>
  <si>
    <t>-77.0365</t>
  </si>
  <si>
    <t>rk802</t>
  </si>
  <si>
    <t xml:space="preserve">There are so many other things to cover in a short time. </t>
  </si>
  <si>
    <t>2023-04-08 10:17:38</t>
  </si>
  <si>
    <t>2023-04-08 10:19:59</t>
  </si>
  <si>
    <t>174.44.123.186</t>
  </si>
  <si>
    <t>R_3RfmDo9V8tnPDxU</t>
  </si>
  <si>
    <t>40.5859</t>
  </si>
  <si>
    <t>-74.6832</t>
  </si>
  <si>
    <t>Fireplaces</t>
  </si>
  <si>
    <t>Pressure to see a large number of patients in a short amount of time.</t>
  </si>
  <si>
    <t>2023-04-08 12:12:09</t>
  </si>
  <si>
    <t>2023-04-08 12:15:13</t>
  </si>
  <si>
    <t>72.68.92.64</t>
  </si>
  <si>
    <t>184</t>
  </si>
  <si>
    <t>2023-04-08 12:15:14</t>
  </si>
  <si>
    <t>R_1duZN70DJ7UsZCs</t>
  </si>
  <si>
    <t>Sh1009</t>
  </si>
  <si>
    <t>2023-04-08 19:14:24</t>
  </si>
  <si>
    <t>2023-04-08 19:19:25</t>
  </si>
  <si>
    <t>108.50.253.126</t>
  </si>
  <si>
    <t>301</t>
  </si>
  <si>
    <t>R_3L7RNPqlrerRtGM</t>
  </si>
  <si>
    <t>ige8</t>
  </si>
  <si>
    <t>The environment affects many health factors. With climate change, there may be many infectious diseases, allergies or factors that affect well-being. For me, I want surgery so I don’t know how much I will be affected. But, I know that I will have to be be cognizant of these factors.</t>
  </si>
  <si>
    <t>2023-04-08 23:17:43</t>
  </si>
  <si>
    <t>2023-04-08 23:20:27</t>
  </si>
  <si>
    <t>108.41.130.219</t>
  </si>
  <si>
    <t>R_33akxKZmoXp9UV4</t>
  </si>
  <si>
    <t>40.6375</t>
  </si>
  <si>
    <t>-74.0216</t>
  </si>
  <si>
    <t>Cars,Fireplaces,Pollen,Trucks</t>
  </si>
  <si>
    <t xml:space="preserve">Being able to do anything about it. </t>
  </si>
  <si>
    <t>2023-04-09 10:49:31</t>
  </si>
  <si>
    <t>2023-04-09 10:53:07</t>
  </si>
  <si>
    <t>173.54.228.110</t>
  </si>
  <si>
    <t>216</t>
  </si>
  <si>
    <t>2023-04-09 10:53:08</t>
  </si>
  <si>
    <t>R_wXA4ULjr4BqEujL</t>
  </si>
  <si>
    <t>40.5704</t>
  </si>
  <si>
    <t>-74.5369</t>
  </si>
  <si>
    <t>ep692</t>
  </si>
  <si>
    <t>Unclear about what constitutes a clinically significant environmental exposure, or what next steps/tx would look like once a clinically significant environmental exposure is identified.</t>
  </si>
  <si>
    <t>2023-04-10 08:41:06</t>
  </si>
  <si>
    <t>2023-04-10 08:45:29</t>
  </si>
  <si>
    <t>263</t>
  </si>
  <si>
    <t>2023-04-10 08:45:30</t>
  </si>
  <si>
    <t>R_1YA8H6rQf0Gvjs5</t>
  </si>
  <si>
    <t>mmm564</t>
  </si>
  <si>
    <t>2023-04-10 10:34:38</t>
  </si>
  <si>
    <t>2023-04-10 10:36:36</t>
  </si>
  <si>
    <t>24.186.212.18</t>
  </si>
  <si>
    <t>117</t>
  </si>
  <si>
    <t>2023-04-10 10:36:37</t>
  </si>
  <si>
    <t>R_2zTSuuieuDWUj9s</t>
  </si>
  <si>
    <t>Phl28</t>
  </si>
  <si>
    <t>2023-04-10 12:45:01</t>
  </si>
  <si>
    <t>2023-04-10 12:46:48</t>
  </si>
  <si>
    <t>69.113.82.163</t>
  </si>
  <si>
    <t>107</t>
  </si>
  <si>
    <t>2023-04-10 12:46:49</t>
  </si>
  <si>
    <t>R_2xQtk6qQHSzcvRu</t>
  </si>
  <si>
    <t>40.5269</t>
  </si>
  <si>
    <t>-74.3374</t>
  </si>
  <si>
    <t>aar258</t>
  </si>
  <si>
    <t>Time</t>
  </si>
  <si>
    <t>2023-04-10 13:04:59</t>
  </si>
  <si>
    <t>2023-04-10 13:06:57</t>
  </si>
  <si>
    <t>47.20.193.163</t>
  </si>
  <si>
    <t>R_3ilqenfJDUlYmn9</t>
  </si>
  <si>
    <t>ks1403</t>
  </si>
  <si>
    <t>Not knowing about it! It's hard growing up not understanding the health effects of these. Also geography - if you aren't exposed to certain geographical/environmental factors, it might be harder to speak about them</t>
  </si>
  <si>
    <t>2023-04-11 07:16:51</t>
  </si>
  <si>
    <t>2023-04-11 07:19:35</t>
  </si>
  <si>
    <t>107.123.17.18</t>
  </si>
  <si>
    <t>R_5dqoDmiEgEiipPP</t>
  </si>
  <si>
    <t>39.9486</t>
  </si>
  <si>
    <t>-75.2339</t>
  </si>
  <si>
    <t>Cars</t>
  </si>
  <si>
    <t xml:space="preserve">Public Transportation </t>
  </si>
  <si>
    <t>2023-04-11 07:18:46</t>
  </si>
  <si>
    <t>2023-04-11 07:21:46</t>
  </si>
  <si>
    <t>71.59.72.119</t>
  </si>
  <si>
    <t>179</t>
  </si>
  <si>
    <t>R_3MEZ8CFfDB0XzLu</t>
  </si>
  <si>
    <t xml:space="preserve">Lack of language to be sensitive about asking the right questions/not knowing where to start </t>
  </si>
  <si>
    <t>2023-04-11 07:21:05</t>
  </si>
  <si>
    <t>2023-04-11 07:26:40</t>
  </si>
  <si>
    <t>104.28.58.9</t>
  </si>
  <si>
    <t>335</t>
  </si>
  <si>
    <t>2023-04-11 07:26:41</t>
  </si>
  <si>
    <t>R_2pPLx5JJicmo5Lt</t>
  </si>
  <si>
    <t>40.5606</t>
  </si>
  <si>
    <t>-74.1391</t>
  </si>
  <si>
    <t>Pmg128</t>
  </si>
  <si>
    <t>Provider knowledge</t>
  </si>
  <si>
    <t>2023-04-11 07:36:10</t>
  </si>
  <si>
    <t>2023-04-11 07:37:54</t>
  </si>
  <si>
    <t>24.47.228.164</t>
  </si>
  <si>
    <t>104</t>
  </si>
  <si>
    <t>2023-04-11 07:37:55</t>
  </si>
  <si>
    <t>R_Op6XczuW5L5jEfD</t>
  </si>
  <si>
    <t>40.488</t>
  </si>
  <si>
    <t>-74.4544</t>
  </si>
  <si>
    <t>Cars,Dirt Roads,Electric Vehicles,Fireplaces,Trucks</t>
  </si>
  <si>
    <t>2023-04-11 07:41:27</t>
  </si>
  <si>
    <t>2023-04-11 07:46:49</t>
  </si>
  <si>
    <t>68.196.244.135</t>
  </si>
  <si>
    <t>322</t>
  </si>
  <si>
    <t>2023-04-11 07:46:50</t>
  </si>
  <si>
    <t>R_1Dq03lL96UNEGV2</t>
  </si>
  <si>
    <t>40.544</t>
  </si>
  <si>
    <t>-74.3521</t>
  </si>
  <si>
    <t>rd968</t>
  </si>
  <si>
    <t xml:space="preserve">Knowing different environmental problems and how to assess them. </t>
  </si>
  <si>
    <t>2023-04-11 07:47:30</t>
  </si>
  <si>
    <t>2023-04-11 07:49:55</t>
  </si>
  <si>
    <t>69.114.133.129</t>
  </si>
  <si>
    <t>144</t>
  </si>
  <si>
    <t>2023-04-11 07:49:56</t>
  </si>
  <si>
    <t>R_3QWWwnA9UsCmceZ</t>
  </si>
  <si>
    <t>Dirt Roads,Fireplaces,Pollen,Trucks</t>
  </si>
  <si>
    <t>N/a</t>
  </si>
  <si>
    <t>2023-04-11 07:41:20</t>
  </si>
  <si>
    <t>2023-04-11 08:22:52</t>
  </si>
  <si>
    <t>69.114.133.150</t>
  </si>
  <si>
    <t>2492</t>
  </si>
  <si>
    <t>2023-04-11 08:22:53</t>
  </si>
  <si>
    <t>R_2ttWuIc986b4Pgq</t>
  </si>
  <si>
    <t>kb1194</t>
  </si>
  <si>
    <t xml:space="preserve">time </t>
  </si>
  <si>
    <t>2023-04-11 08:01:03</t>
  </si>
  <si>
    <t>2023-04-11 08:29:33</t>
  </si>
  <si>
    <t>68.196.244.23</t>
  </si>
  <si>
    <t>1710</t>
  </si>
  <si>
    <t>2023-04-11 08:29:34</t>
  </si>
  <si>
    <t>R_2SIDA5hXPMO1Fyo</t>
  </si>
  <si>
    <t xml:space="preserve">I cannot think of any obstacles other than not being informed on how to properly do so. </t>
  </si>
  <si>
    <t>2023-04-11 08:31:24</t>
  </si>
  <si>
    <t>2023-04-11 08:34:04</t>
  </si>
  <si>
    <t>130.219.10.90</t>
  </si>
  <si>
    <t>159</t>
  </si>
  <si>
    <t>R_3hmyHEVnEWrzia6</t>
  </si>
  <si>
    <t>40.7337</t>
  </si>
  <si>
    <t>-74.1939</t>
  </si>
  <si>
    <t>Sat238</t>
  </si>
  <si>
    <t>The government</t>
  </si>
  <si>
    <t>2023-04-11 08:32:20</t>
  </si>
  <si>
    <t>2023-04-11 08:34:23</t>
  </si>
  <si>
    <t>128.6.36.72</t>
  </si>
  <si>
    <t>123</t>
  </si>
  <si>
    <t>R_2wmLJpDAbjFgnRp</t>
  </si>
  <si>
    <t>ar1522</t>
  </si>
  <si>
    <t>Cars,Electric Vehicles,Trucks</t>
  </si>
  <si>
    <t>Government</t>
  </si>
  <si>
    <t>2023-04-11 08:31:30</t>
  </si>
  <si>
    <t>2023-04-11 08:34:49</t>
  </si>
  <si>
    <t>128.6.37.197</t>
  </si>
  <si>
    <t>199</t>
  </si>
  <si>
    <t>2023-04-11 08:34:50</t>
  </si>
  <si>
    <t>R_2e2tzvZus34e2UU</t>
  </si>
  <si>
    <t>Oam38</t>
  </si>
  <si>
    <t xml:space="preserve">Not having enough education on the topic. </t>
  </si>
  <si>
    <t>2023-04-11 08:35:23</t>
  </si>
  <si>
    <t>2023-04-11 08:36:20</t>
  </si>
  <si>
    <t>56</t>
  </si>
  <si>
    <t>R_1GTCx1wDSwBqNlE</t>
  </si>
  <si>
    <t>Agg108</t>
  </si>
  <si>
    <t>2023-04-10 13:34:33</t>
  </si>
  <si>
    <t>68506</t>
  </si>
  <si>
    <t>R_1pzLJfw8qA4lBRR</t>
  </si>
  <si>
    <t>Cars,Fireplaces,Pollen</t>
  </si>
  <si>
    <t>2023-04-11 08:32:57</t>
  </si>
  <si>
    <t>2023-04-11 08:36:58</t>
  </si>
  <si>
    <t>104.28.55.226</t>
  </si>
  <si>
    <t>241</t>
  </si>
  <si>
    <t>2023-04-11 08:36:59</t>
  </si>
  <si>
    <t>R_3FVxnXD3sfRIjN1</t>
  </si>
  <si>
    <t>40.7123</t>
  </si>
  <si>
    <t>-74.0068</t>
  </si>
  <si>
    <t>2023-04-11 08:41:22</t>
  </si>
  <si>
    <t>2023-04-11 08:44:06</t>
  </si>
  <si>
    <t>172.58.235.183</t>
  </si>
  <si>
    <t>164</t>
  </si>
  <si>
    <t>2023-04-11 08:44:07</t>
  </si>
  <si>
    <t>R_2qyhdV5DBDCtfnh</t>
  </si>
  <si>
    <t>40.7256</t>
  </si>
  <si>
    <t>-74.1594</t>
  </si>
  <si>
    <t>hg295</t>
  </si>
  <si>
    <t>2023-04-11 08:48:08</t>
  </si>
  <si>
    <t>2023-04-11 08:50:11</t>
  </si>
  <si>
    <t>2023-04-11 08:50:12</t>
  </si>
  <si>
    <t>R_1mQx2YrXT5K33E3</t>
  </si>
  <si>
    <t xml:space="preserve">Lack of knowledge and time </t>
  </si>
  <si>
    <t>2023-04-11 08:49:08</t>
  </si>
  <si>
    <t>2023-04-11 08:50:25</t>
  </si>
  <si>
    <t>128.6.36.107</t>
  </si>
  <si>
    <t>77</t>
  </si>
  <si>
    <t>2023-04-11 08:50:26</t>
  </si>
  <si>
    <t>R_1dzRKHC0pCSM9zV</t>
  </si>
  <si>
    <t>djs481</t>
  </si>
  <si>
    <t>Cars,Trucks</t>
  </si>
  <si>
    <t>2023-04-11 08:51:08</t>
  </si>
  <si>
    <t>2023-04-11 08:53:00</t>
  </si>
  <si>
    <t>128.6.37.34</t>
  </si>
  <si>
    <t>111</t>
  </si>
  <si>
    <t>2023-04-11 08:53:01</t>
  </si>
  <si>
    <t>R_3scDySG6aLEkhRO</t>
  </si>
  <si>
    <t>2023-04-11 08:55:40</t>
  </si>
  <si>
    <t>2023-04-11 08:57:46</t>
  </si>
  <si>
    <t>2023-04-11 08:57:47</t>
  </si>
  <si>
    <t>R_2tfBRpQpVCGVg7r</t>
  </si>
  <si>
    <t>Ym484</t>
  </si>
  <si>
    <t>Remembering/knowing the important things tk address for different patients</t>
  </si>
  <si>
    <t>2023-04-11 08:59:53</t>
  </si>
  <si>
    <t>2023-04-11 09:01:12</t>
  </si>
  <si>
    <t>104.28.132.152</t>
  </si>
  <si>
    <t>79</t>
  </si>
  <si>
    <t>2023-04-11 09:01:13</t>
  </si>
  <si>
    <t>R_3CEjb9PIYRyClw5</t>
  </si>
  <si>
    <t>2023-04-11 08:58:45</t>
  </si>
  <si>
    <t>2023-04-11 09:01:29</t>
  </si>
  <si>
    <t>2023-04-11 09:01:30</t>
  </si>
  <si>
    <t>R_Z9SrmIXgKPBgJVf</t>
  </si>
  <si>
    <t>ht372</t>
  </si>
  <si>
    <t>Time restraints</t>
  </si>
  <si>
    <t>2023-04-11 08:59:09</t>
  </si>
  <si>
    <t>2023-04-11 09:02:36</t>
  </si>
  <si>
    <t>207</t>
  </si>
  <si>
    <t>2023-04-11 09:02:37</t>
  </si>
  <si>
    <t>R_0BO6ymS9H3OFVZv</t>
  </si>
  <si>
    <t>aac195</t>
  </si>
  <si>
    <t xml:space="preserve">Not sure if patients care or would be able to do anything about it so I’m bringing  a problem without any solution </t>
  </si>
  <si>
    <t>2023-04-11 09:04:14</t>
  </si>
  <si>
    <t>2023-04-11 09:05:51</t>
  </si>
  <si>
    <t>97</t>
  </si>
  <si>
    <t>2023-04-11 09:05:52</t>
  </si>
  <si>
    <t>R_2ZJr1qvUSupmFd7</t>
  </si>
  <si>
    <t>qr</t>
  </si>
  <si>
    <t>2023-04-11 09:03:49</t>
  </si>
  <si>
    <t>122</t>
  </si>
  <si>
    <t>R_28FZRpwgDfteSeu</t>
  </si>
  <si>
    <t>Cost, SES</t>
  </si>
  <si>
    <t>2023-04-11 09:03:51</t>
  </si>
  <si>
    <t>128.6.36.204</t>
  </si>
  <si>
    <t>121</t>
  </si>
  <si>
    <t>R_3L77QE7C9ysPEsz</t>
  </si>
  <si>
    <t>Pfa13</t>
  </si>
  <si>
    <t xml:space="preserve">Having the time to ask patients these questions during intake </t>
  </si>
  <si>
    <t>2023-04-11 09:03:46</t>
  </si>
  <si>
    <t>2023-04-11 09:05:53</t>
  </si>
  <si>
    <t>128.6.36.223</t>
  </si>
  <si>
    <t>127</t>
  </si>
  <si>
    <t>2023-04-11 09:05:54</t>
  </si>
  <si>
    <t>R_1ifZsuA7NrMlMKU</t>
  </si>
  <si>
    <t>Sef122</t>
  </si>
  <si>
    <t>2023-04-11 09:03:07</t>
  </si>
  <si>
    <t>2023-04-11 09:05:57</t>
  </si>
  <si>
    <t>169</t>
  </si>
  <si>
    <t>R_0Gj7C6306uukbyp</t>
  </si>
  <si>
    <t>Lack of knowledge as to what to screen for</t>
  </si>
  <si>
    <t>2023-04-11 09:04:00</t>
  </si>
  <si>
    <t>2023-04-11 09:05:59</t>
  </si>
  <si>
    <t>119</t>
  </si>
  <si>
    <t>2023-04-11 09:06:00</t>
  </si>
  <si>
    <t>R_1NERCIDmqevwY0Q</t>
  </si>
  <si>
    <t>2023-04-11 09:03:57</t>
  </si>
  <si>
    <t>2023-04-11 09:06:01</t>
  </si>
  <si>
    <t>128.6.37.194</t>
  </si>
  <si>
    <t>124</t>
  </si>
  <si>
    <t>R_3HNdDRZ7hEVLqAL</t>
  </si>
  <si>
    <t>Yh645</t>
  </si>
  <si>
    <t>2023-04-11 09:03:55</t>
  </si>
  <si>
    <t>2023-04-11 09:06:05</t>
  </si>
  <si>
    <t>129</t>
  </si>
  <si>
    <t>R_UQsPBpGCp25UxH3</t>
  </si>
  <si>
    <t>PM &lt; 25 μm</t>
  </si>
  <si>
    <t>Pollen</t>
  </si>
  <si>
    <t>Not sure</t>
  </si>
  <si>
    <t>2023-04-11 09:04:53</t>
  </si>
  <si>
    <t>71</t>
  </si>
  <si>
    <t>R_UgvjYWSkC0ws837</t>
  </si>
  <si>
    <t>Sje67</t>
  </si>
  <si>
    <t>Electric Vehicles</t>
  </si>
  <si>
    <t>2023-04-11 09:00:23</t>
  </si>
  <si>
    <t>2023-04-11 09:06:08</t>
  </si>
  <si>
    <t>128.6.36.89</t>
  </si>
  <si>
    <t>344</t>
  </si>
  <si>
    <t>R_2qxhgLBxYsINGsj</t>
  </si>
  <si>
    <t>Sph108</t>
  </si>
  <si>
    <t xml:space="preserve">If I don’t understand the factors which create dangerous exposures </t>
  </si>
  <si>
    <t>2023-04-11 09:03:24</t>
  </si>
  <si>
    <t>2023-04-11 09:06:26</t>
  </si>
  <si>
    <t>128.6.36.112</t>
  </si>
  <si>
    <t>181</t>
  </si>
  <si>
    <t>R_1hGB5ADKzG3s2qQ</t>
  </si>
  <si>
    <t>Jat277</t>
  </si>
  <si>
    <t>Fireplaces,Trucks</t>
  </si>
  <si>
    <t>NA</t>
  </si>
  <si>
    <t>2023-04-11 09:06:34</t>
  </si>
  <si>
    <t>128.6.37.117</t>
  </si>
  <si>
    <t>157</t>
  </si>
  <si>
    <t>2023-04-11 09:06:35</t>
  </si>
  <si>
    <t>R_Tvc5iv97nY1JaVz</t>
  </si>
  <si>
    <t>Jab1007</t>
  </si>
  <si>
    <t>2023-04-11 09:04:12</t>
  </si>
  <si>
    <t>143</t>
  </si>
  <si>
    <t>2023-04-11 09:06:36</t>
  </si>
  <si>
    <t>R_1mVrz9tKHpxEyZL</t>
  </si>
  <si>
    <t>Sk2182</t>
  </si>
  <si>
    <t>Prevention</t>
  </si>
  <si>
    <t>2023-04-11 09:04:08</t>
  </si>
  <si>
    <t>2023-04-11 09:06:40</t>
  </si>
  <si>
    <t>151</t>
  </si>
  <si>
    <t>R_24iS9J4mmeR59t4</t>
  </si>
  <si>
    <t xml:space="preserve">Lack of knowledge </t>
  </si>
  <si>
    <t>2023-04-11 09:03:50</t>
  </si>
  <si>
    <t>2023-04-11 09:06:41</t>
  </si>
  <si>
    <t>171</t>
  </si>
  <si>
    <t>R_22AfT4V74FqPjT0</t>
  </si>
  <si>
    <t>uz14</t>
  </si>
  <si>
    <t>Time during the appointment</t>
  </si>
  <si>
    <t>2023-04-11 09:04:15</t>
  </si>
  <si>
    <t>2023-04-11 09:06:42</t>
  </si>
  <si>
    <t>146</t>
  </si>
  <si>
    <t>R_C1ik4gfAncnRtND</t>
  </si>
  <si>
    <t>kaa220</t>
  </si>
  <si>
    <t xml:space="preserve">Time and knowledge </t>
  </si>
  <si>
    <t>2023-04-11 09:04:27</t>
  </si>
  <si>
    <t>2023-04-11 09:06:44</t>
  </si>
  <si>
    <t>128.6.36.127</t>
  </si>
  <si>
    <t>137</t>
  </si>
  <si>
    <t>2023-04-11 09:06:45</t>
  </si>
  <si>
    <t>R_2zI4Uk5QEu5gJZN</t>
  </si>
  <si>
    <t>tw592</t>
  </si>
  <si>
    <t>i forget</t>
  </si>
  <si>
    <t>2023-04-11 09:03:35</t>
  </si>
  <si>
    <t>2023-04-11 09:06:47</t>
  </si>
  <si>
    <t>128.6.37.121</t>
  </si>
  <si>
    <t>191</t>
  </si>
  <si>
    <t>R_32L7vPwY7V0W9tJ</t>
  </si>
  <si>
    <t>lsc88</t>
  </si>
  <si>
    <t>2023-04-11 09:05:06</t>
  </si>
  <si>
    <t>2023-04-11 09:07:01</t>
  </si>
  <si>
    <t>128.6.37.41</t>
  </si>
  <si>
    <t>115</t>
  </si>
  <si>
    <t>2023-04-11 09:07:02</t>
  </si>
  <si>
    <t>R_3g8gKc5LVZMkcrL</t>
  </si>
  <si>
    <t>srp237</t>
  </si>
  <si>
    <t>Cars,Pollen,Trucks</t>
  </si>
  <si>
    <t>2023-04-11 09:04:07</t>
  </si>
  <si>
    <t>2023-04-11 09:07:04</t>
  </si>
  <si>
    <t>128.6.36.76</t>
  </si>
  <si>
    <t>176</t>
  </si>
  <si>
    <t>R_1mIfqlsqtIEGd2b</t>
  </si>
  <si>
    <t>Krb195</t>
  </si>
  <si>
    <t>2023-04-11 09:03:38</t>
  </si>
  <si>
    <t>128.6.37.253</t>
  </si>
  <si>
    <t>206</t>
  </si>
  <si>
    <t>R_vwbc6dFVeCNutYB</t>
  </si>
  <si>
    <t>sa1351</t>
  </si>
  <si>
    <t>Dirt Roads,Fireplaces</t>
  </si>
  <si>
    <t>Conservation of materials in an eco-friendly way</t>
  </si>
  <si>
    <t>2023-04-11 09:07:19</t>
  </si>
  <si>
    <t>220</t>
  </si>
  <si>
    <t>2023-04-11 09:07:20</t>
  </si>
  <si>
    <t>R_1F4DqFJSkPEimQH</t>
  </si>
  <si>
    <t>kf511</t>
  </si>
  <si>
    <t>Time during the interview to adequately address environmental health concerns if the patient is coming in with a problem that doesn’t seem related to environmental health.</t>
  </si>
  <si>
    <t>2023-04-11 09:04:18</t>
  </si>
  <si>
    <t>2023-04-11 09:07:35</t>
  </si>
  <si>
    <t>172.56.37.78</t>
  </si>
  <si>
    <t>197</t>
  </si>
  <si>
    <t>2023-04-11 09:07:36</t>
  </si>
  <si>
    <t>R_3itd4jejK1DVzcP</t>
  </si>
  <si>
    <t>rm930</t>
  </si>
  <si>
    <t>No</t>
  </si>
  <si>
    <t>2023-04-11 09:07:46</t>
  </si>
  <si>
    <t>128.6.37.248</t>
  </si>
  <si>
    <t>237</t>
  </si>
  <si>
    <t>R_DixQb4UycB17dFD</t>
  </si>
  <si>
    <t>ssp190</t>
  </si>
  <si>
    <t>It may be difficult to get patients to admit to environmental exposures, especially if they are not aware of what may be considered a toxin</t>
  </si>
  <si>
    <t>2023-04-11 09:03:59</t>
  </si>
  <si>
    <t>2023-04-11 09:08:26</t>
  </si>
  <si>
    <t>267</t>
  </si>
  <si>
    <t>2023-04-11 09:08:27</t>
  </si>
  <si>
    <t>R_2Qn9WN4fwWW15pZ</t>
  </si>
  <si>
    <t>ab2469</t>
  </si>
  <si>
    <t>Medical jargon and climate change knowledge/understanding</t>
  </si>
  <si>
    <t>2023-04-11 09:04:23</t>
  </si>
  <si>
    <t>2023-04-11 09:08:30</t>
  </si>
  <si>
    <t>247</t>
  </si>
  <si>
    <t>2023-04-11 09:08:31</t>
  </si>
  <si>
    <t>R_qw5VgNw8qdGNsgV</t>
  </si>
  <si>
    <t>2023-04-11 09:04:11</t>
  </si>
  <si>
    <t>2023-04-11 09:08:39</t>
  </si>
  <si>
    <t>172.58.236.83</t>
  </si>
  <si>
    <t>R_3nwOGfCjKhTV00r</t>
  </si>
  <si>
    <t>40.6582</t>
  </si>
  <si>
    <t>-74.221</t>
  </si>
  <si>
    <t>Cars,Dirt Roads,Trucks</t>
  </si>
  <si>
    <t>2023-04-11 09:04:29</t>
  </si>
  <si>
    <t>2023-04-11 09:09:00</t>
  </si>
  <si>
    <t>128.6.37.133</t>
  </si>
  <si>
    <t>270</t>
  </si>
  <si>
    <t>R_PvpyajxL6WRLHSF</t>
  </si>
  <si>
    <t>40.7265</t>
  </si>
  <si>
    <t>-74.1782</t>
  </si>
  <si>
    <t>mb1980</t>
  </si>
  <si>
    <t>2023-04-11 09:06:31</t>
  </si>
  <si>
    <t>2023-04-11 09:09:12</t>
  </si>
  <si>
    <t>128.6.37.115</t>
  </si>
  <si>
    <t>160</t>
  </si>
  <si>
    <t>R_RQAEcGhlzisdvQl</t>
  </si>
  <si>
    <t>Sp2098</t>
  </si>
  <si>
    <t>Knowing the best way to inquire about risk factors</t>
  </si>
  <si>
    <t>2023-04-11 09:09:19</t>
  </si>
  <si>
    <t>128.6.37.12</t>
  </si>
  <si>
    <t>329</t>
  </si>
  <si>
    <t>R_WicT9nZeEpjGyhr</t>
  </si>
  <si>
    <t>amc754</t>
  </si>
  <si>
    <t>Lack of knowledge of solutions/intervention, etc</t>
  </si>
  <si>
    <t>2023-04-11 09:04:10</t>
  </si>
  <si>
    <t>2023-04-11 09:09:31</t>
  </si>
  <si>
    <t>128.6.36.135</t>
  </si>
  <si>
    <t>320</t>
  </si>
  <si>
    <t>R_r7uz9IXqmGh7eSt</t>
  </si>
  <si>
    <t>dpr85</t>
  </si>
  <si>
    <t>Time restrictions during appointments.</t>
  </si>
  <si>
    <t>2023-04-11 09:04:04</t>
  </si>
  <si>
    <t>2023-04-11 09:09:47</t>
  </si>
  <si>
    <t>128.6.36.221</t>
  </si>
  <si>
    <t>343</t>
  </si>
  <si>
    <t>R_3MzIUNigiQFRnUO</t>
  </si>
  <si>
    <t>bv172</t>
  </si>
  <si>
    <t>2023-04-11 09:04:16</t>
  </si>
  <si>
    <t>2023-04-11 09:09:52</t>
  </si>
  <si>
    <t>128.6.36.148</t>
  </si>
  <si>
    <t>336</t>
  </si>
  <si>
    <t>R_24xipRynON6emoe</t>
  </si>
  <si>
    <t>2023-04-11 09:04:59</t>
  </si>
  <si>
    <t>2023-04-11 09:10:03</t>
  </si>
  <si>
    <t>128.6.37.81</t>
  </si>
  <si>
    <t>303</t>
  </si>
  <si>
    <t>R_3nxfgmbvdW4AswB</t>
  </si>
  <si>
    <t>I don’t know that much about our area’s environmental hazards.</t>
  </si>
  <si>
    <t>2023-04-11 09:04:39</t>
  </si>
  <si>
    <t>2023-04-11 09:10:19</t>
  </si>
  <si>
    <t>128.6.37.205</t>
  </si>
  <si>
    <t>339</t>
  </si>
  <si>
    <t>R_2uIfh6KomWlEM0n</t>
  </si>
  <si>
    <t>ral212</t>
  </si>
  <si>
    <t>2023-04-11 09:03:58</t>
  </si>
  <si>
    <t>2023-04-11 09:10:23</t>
  </si>
  <si>
    <t>172.58.235.175</t>
  </si>
  <si>
    <t>384</t>
  </si>
  <si>
    <t>R_3dKEpVufWAkP3rm</t>
  </si>
  <si>
    <t xml:space="preserve">'- Access to resources </t>
  </si>
  <si>
    <t>2023-04-11 09:10:37</t>
  </si>
  <si>
    <t>174.206.235.247</t>
  </si>
  <si>
    <t>385</t>
  </si>
  <si>
    <t>R_1NyMVofXvKacy9c</t>
  </si>
  <si>
    <t>40.6129</t>
  </si>
  <si>
    <t>-74.416</t>
  </si>
  <si>
    <t>Electric Vehicles,Trucks</t>
  </si>
  <si>
    <t>Scarcity of time and resources, insurance</t>
  </si>
  <si>
    <t>2023-04-11 09:09:17</t>
  </si>
  <si>
    <t>2023-04-11 09:11:05</t>
  </si>
  <si>
    <t>R_3elXpuNSdHrpPKc</t>
  </si>
  <si>
    <t>2023-04-11 09:03:25</t>
  </si>
  <si>
    <t>2023-04-11 09:11:50</t>
  </si>
  <si>
    <t>128.6.36.67</t>
  </si>
  <si>
    <t>505</t>
  </si>
  <si>
    <t>2023-04-11 09:11:51</t>
  </si>
  <si>
    <t>R_307WhMHXsUKoqkS</t>
  </si>
  <si>
    <t>Cars,Electric Vehicles,Fireplaces,Pollen</t>
  </si>
  <si>
    <t>Pollution</t>
  </si>
  <si>
    <t>2023-04-11 09:10:55</t>
  </si>
  <si>
    <t>2023-04-11 09:12:17</t>
  </si>
  <si>
    <t>81</t>
  </si>
  <si>
    <t>R_1jiU9UdZhLJjmO6</t>
  </si>
  <si>
    <t>ebm87</t>
  </si>
  <si>
    <t>2023-04-11 09:11:29</t>
  </si>
  <si>
    <t>2023-04-11 09:18:18</t>
  </si>
  <si>
    <t>408</t>
  </si>
  <si>
    <t>2023-04-11 09:18:19</t>
  </si>
  <si>
    <t>R_12asatMkrfpb9mH</t>
  </si>
  <si>
    <t>nmd171</t>
  </si>
  <si>
    <t>2023-04-11 09:19:08</t>
  </si>
  <si>
    <t>2023-04-11 09:21:24</t>
  </si>
  <si>
    <t>136</t>
  </si>
  <si>
    <t>R_2pPmR2FJdxWFLYZ</t>
  </si>
  <si>
    <t>ak2236</t>
  </si>
  <si>
    <t>2023-04-11 09:25:21</t>
  </si>
  <si>
    <t>2023-04-11 09:31:44</t>
  </si>
  <si>
    <t>383</t>
  </si>
  <si>
    <t>2023-04-11 09:31:45</t>
  </si>
  <si>
    <t>R_3fTSv6L04Oiv9Ag</t>
  </si>
  <si>
    <t>Lma216</t>
  </si>
  <si>
    <t xml:space="preserve">Lack of time per visit </t>
  </si>
  <si>
    <t>2023-04-11 09:43:37</t>
  </si>
  <si>
    <t>2023-04-11 09:45:11</t>
  </si>
  <si>
    <t>128.6.37.130</t>
  </si>
  <si>
    <t>94</t>
  </si>
  <si>
    <t>2023-04-11 09:45:12</t>
  </si>
  <si>
    <t>R_2PuHMtzJCvO2bqZ</t>
  </si>
  <si>
    <t>2023-04-11 09:48:30</t>
  </si>
  <si>
    <t>2023-04-11 09:51:49</t>
  </si>
  <si>
    <t>73.197.113.95</t>
  </si>
  <si>
    <t>198</t>
  </si>
  <si>
    <t>R_1LLmp2oLdcJVzYl</t>
  </si>
  <si>
    <t>39.7354</t>
  </si>
  <si>
    <t>-74.9838</t>
  </si>
  <si>
    <t>Eia16</t>
  </si>
  <si>
    <t xml:space="preserve">Minimizing complicated terminology </t>
  </si>
  <si>
    <t>2023-04-11 10:24:36</t>
  </si>
  <si>
    <t>2023-04-11 10:26:16</t>
  </si>
  <si>
    <t>R_1K2YMFiRArdyC81</t>
  </si>
  <si>
    <t>Gmg186</t>
  </si>
  <si>
    <t>2023-04-11 10:24:42</t>
  </si>
  <si>
    <t>2023-04-11 10:27:01</t>
  </si>
  <si>
    <t>128.6.37.166</t>
  </si>
  <si>
    <t>138</t>
  </si>
  <si>
    <t>R_3G1cvdjiJomtmXE</t>
  </si>
  <si>
    <t>Time during a consult</t>
  </si>
  <si>
    <t>2023-04-11 10:14:02</t>
  </si>
  <si>
    <t>2023-04-11 10:30:00</t>
  </si>
  <si>
    <t>958</t>
  </si>
  <si>
    <t>R_5pEwZ6zIfNpnu2l</t>
  </si>
  <si>
    <t>2023-04-11 08:52:58</t>
  </si>
  <si>
    <t>2023-04-11 10:30:57</t>
  </si>
  <si>
    <t>5879</t>
  </si>
  <si>
    <t>R_YY4KCnAwIBIxrkB</t>
  </si>
  <si>
    <t>Flb16</t>
  </si>
  <si>
    <t>Time available for visit</t>
  </si>
  <si>
    <t>2023-04-11 10:29:00</t>
  </si>
  <si>
    <t>2023-04-11 10:31:16</t>
  </si>
  <si>
    <t>174.206.242.33</t>
  </si>
  <si>
    <t>2023-04-11 10:31:17</t>
  </si>
  <si>
    <t>R_9tcCMYu6p5LyvDj</t>
  </si>
  <si>
    <t>40.6751</t>
  </si>
  <si>
    <t>-74.291</t>
  </si>
  <si>
    <t>Ljg135</t>
  </si>
  <si>
    <t xml:space="preserve">Time </t>
  </si>
  <si>
    <t>2023-04-11 09:04:35</t>
  </si>
  <si>
    <t>2023-04-11 10:32:15</t>
  </si>
  <si>
    <t>5259</t>
  </si>
  <si>
    <t>2023-04-11 10:32:16</t>
  </si>
  <si>
    <t>R_26hctPzZ7BrYaOV</t>
  </si>
  <si>
    <t>gmh100</t>
  </si>
  <si>
    <t>2023-04-11 10:28:42</t>
  </si>
  <si>
    <t>2023-04-11 10:34:04</t>
  </si>
  <si>
    <t>174.206.235.146</t>
  </si>
  <si>
    <t>2023-04-11 10:34:05</t>
  </si>
  <si>
    <t>R_2zooCNVbim8yw1Z</t>
  </si>
  <si>
    <t xml:space="preserve">Knowing the right questions to ask, how it varies according to environment </t>
  </si>
  <si>
    <t>2023-04-11 11:25:43</t>
  </si>
  <si>
    <t>2023-04-11 11:28:57</t>
  </si>
  <si>
    <t>108.35.253.186</t>
  </si>
  <si>
    <t>193</t>
  </si>
  <si>
    <t>R_2rkINkHezysQsfP</t>
  </si>
  <si>
    <t>sc1700</t>
  </si>
  <si>
    <t>Us conveying to pts whats important to report regarding their environmental hx</t>
  </si>
  <si>
    <t>2023-04-11 18:05:24</t>
  </si>
  <si>
    <t>2023-04-11 18:08:03</t>
  </si>
  <si>
    <t>96.242.23.132</t>
  </si>
  <si>
    <t>158</t>
  </si>
  <si>
    <t>R_8HcuL3CUwcWLx9D</t>
  </si>
  <si>
    <t>2023-04-07 15:48:20</t>
  </si>
  <si>
    <t>2023-04-07 15:48:26</t>
  </si>
  <si>
    <t>128.6.36.211</t>
  </si>
  <si>
    <t>False</t>
  </si>
  <si>
    <t>2023-04-14 15:48:29</t>
  </si>
  <si>
    <t>R_sRavT4tUgZG0YaB</t>
  </si>
  <si>
    <t>2023-04-07 19:17:07</t>
  </si>
  <si>
    <t>2023-04-07 19:26:25</t>
  </si>
  <si>
    <t>69.124.48.3</t>
  </si>
  <si>
    <t>557</t>
  </si>
  <si>
    <t>2023-04-14 19:26:28</t>
  </si>
  <si>
    <t>R_3E9WVBcwceDzGKl</t>
  </si>
  <si>
    <t>2023-04-09 23:28:11</t>
  </si>
  <si>
    <t>2023-04-09 23:28:36</t>
  </si>
  <si>
    <t>68.197.74.12</t>
  </si>
  <si>
    <t>2023-04-16 23:28:43</t>
  </si>
  <si>
    <t>R_2wKrYAMpvQJ1SNH</t>
  </si>
  <si>
    <t>2023-04-11 07:13:48</t>
  </si>
  <si>
    <t>2023-04-11 07:14:26</t>
  </si>
  <si>
    <t>24.186.211.30</t>
  </si>
  <si>
    <t>37</t>
  </si>
  <si>
    <t>2023-04-18 07:14:27</t>
  </si>
  <si>
    <t>R_2QmTGnSHTTo0VrY</t>
  </si>
  <si>
    <t>2023-04-11 07:54:33</t>
  </si>
  <si>
    <t>2023-04-11 07:54:45</t>
  </si>
  <si>
    <t>68.199.156.210</t>
  </si>
  <si>
    <t>11</t>
  </si>
  <si>
    <t>2023-04-18 07:54:46</t>
  </si>
  <si>
    <t>R_Q61kVgZXgAiU30l</t>
  </si>
  <si>
    <t>2023-04-11 08:23:33</t>
  </si>
  <si>
    <t>2023-04-11 08:24:23</t>
  </si>
  <si>
    <t>50</t>
  </si>
  <si>
    <t>2023-04-18 08:24:26</t>
  </si>
  <si>
    <t>R_3PbFDhuMoWNhoei</t>
  </si>
  <si>
    <t>2023-04-11 08:29:01</t>
  </si>
  <si>
    <t>2023-04-11 08:29:18</t>
  </si>
  <si>
    <t>68.194.112.247</t>
  </si>
  <si>
    <t>2023-04-18 08:29:18</t>
  </si>
  <si>
    <t>R_tYFMnUN6laPWT17</t>
  </si>
  <si>
    <t>2023-04-11 09:03:26</t>
  </si>
  <si>
    <t>2023-04-11 09:03:40</t>
  </si>
  <si>
    <t>14</t>
  </si>
  <si>
    <t>2023-04-18 09:03:43</t>
  </si>
  <si>
    <t>R_C3sSlSyRRbtZCrn</t>
  </si>
  <si>
    <t>2023-04-11 09:04:06</t>
  </si>
  <si>
    <t>Spam</t>
  </si>
  <si>
    <t>2023-04-18 09:04:16</t>
  </si>
  <si>
    <t>R_2TL8yTyrVkojPIE</t>
  </si>
  <si>
    <t>2023-04-11 09:04:09</t>
  </si>
  <si>
    <t>172.58.236.105</t>
  </si>
  <si>
    <t>19</t>
  </si>
  <si>
    <t>2023-04-18 09:04:30</t>
  </si>
  <si>
    <t>R_1NC7bTwLdyO8fzp</t>
  </si>
  <si>
    <t>2023-04-11 09:04:28</t>
  </si>
  <si>
    <t>2023-04-11 09:04:44</t>
  </si>
  <si>
    <t>15</t>
  </si>
  <si>
    <t>2023-04-18 09:04:45</t>
  </si>
  <si>
    <t>R_PAFqtHMLjECF7NL</t>
  </si>
  <si>
    <t>2023-04-11 09:06:09</t>
  </si>
  <si>
    <t>172.58.232.148</t>
  </si>
  <si>
    <t>55</t>
  </si>
  <si>
    <t>110</t>
  </si>
  <si>
    <t>2023-04-18 09:06:11</t>
  </si>
  <si>
    <t>R_1ohkaungNfzYse6</t>
  </si>
  <si>
    <t>2023-04-11 09:08:55</t>
  </si>
  <si>
    <t>2023-04-11 09:13:15</t>
  </si>
  <si>
    <t>259</t>
  </si>
  <si>
    <t>2023-04-18 09:13:32</t>
  </si>
  <si>
    <t>R_23Vl5khZVVF2KFe</t>
  </si>
  <si>
    <t>2023-04-11 09:20:51</t>
  </si>
  <si>
    <t>2023-04-11 09:22:20</t>
  </si>
  <si>
    <t>89</t>
  </si>
  <si>
    <t>2023-04-18 09:22:21</t>
  </si>
  <si>
    <t>R_3jeeVZGzdNPE4v5</t>
  </si>
  <si>
    <t>Np906</t>
  </si>
  <si>
    <t>2023-04-11 10:29:14</t>
  </si>
  <si>
    <t>2023-04-11 10:29:20</t>
  </si>
  <si>
    <t>2023-04-18 10:29:20</t>
  </si>
  <si>
    <t>R_10H2Df6KEP0YPQ3</t>
  </si>
  <si>
    <t>2023-04-11 10:29:17</t>
  </si>
  <si>
    <t>2023-04-11 10:29:34</t>
  </si>
  <si>
    <t>17</t>
  </si>
  <si>
    <t>2023-04-18 10:29:35</t>
  </si>
  <si>
    <t>R_6nAmTV7kcCRax7b</t>
  </si>
  <si>
    <t>2023-04-11 10:29:18</t>
  </si>
  <si>
    <t>2023-04-11 10:31:18</t>
  </si>
  <si>
    <t>128.6.37.203</t>
  </si>
  <si>
    <t>2023-04-18 10:31:24</t>
  </si>
  <si>
    <t>R_3IWDAquODfgyNG4</t>
  </si>
  <si>
    <t>2023-04-11 09:06:21</t>
  </si>
  <si>
    <t>2023-04-11 11:23:17</t>
  </si>
  <si>
    <t>128.6.37.142</t>
  </si>
  <si>
    <t>8216</t>
  </si>
  <si>
    <t>2023-04-18 11:23:20</t>
  </si>
  <si>
    <t>R_UF6xtJiLBQ8b7VL</t>
  </si>
  <si>
    <t>StartDate - Start Date</t>
  </si>
  <si>
    <t>EndDate - End Date</t>
  </si>
  <si>
    <t>Status - Response Type</t>
  </si>
  <si>
    <t>IPAddress - IP Address</t>
  </si>
  <si>
    <t>Progress - Progress</t>
  </si>
  <si>
    <t>Duration (in seconds) - Duration (in seconds)</t>
  </si>
  <si>
    <t>Finished - Finished</t>
  </si>
  <si>
    <t>RecordedDate - Recorded Date</t>
  </si>
  <si>
    <t>ResponseId - Response ID</t>
  </si>
  <si>
    <t>RecipientLastName - Recipient Last Name</t>
  </si>
  <si>
    <t>RecipientFirstName - Recipient First Name</t>
  </si>
  <si>
    <t>RecipientEmail - Recipient Email</t>
  </si>
  <si>
    <t>ExternalReference - External Data Reference</t>
  </si>
  <si>
    <t>LocationLatitude - Location Latitude</t>
  </si>
  <si>
    <t>LocationLongitude - Location Longitude</t>
  </si>
  <si>
    <t>DistributionChannel - Distribution Channel</t>
  </si>
  <si>
    <t>UserLanguage - User Language</t>
  </si>
  <si>
    <t>Q1 - NetID</t>
  </si>
  <si>
    <t>Q2_1 - How much of an impact do you believe that climate change will have on human health in your lifetime? - Impact</t>
  </si>
  <si>
    <t>Q3_1 - For each of the following specialties,  impacted by climate change, do you believe each of the following specialties will be? (Please rank on a scale of 0 - 5) - Cardiology</t>
  </si>
  <si>
    <t>Q3_2 - For each of the following specialties,  impacted by climate change, do you believe each of the following specialties will be? (Please rank on a scale of 0 - 5) - Dermatology</t>
  </si>
  <si>
    <t>Q3_3 - For each of the following specialties,  impacted by climate change, do you believe each of the following specialties will be? (Please rank on a scale of 0 - 5) - Infectious Disease</t>
  </si>
  <si>
    <t>Q3_4 - For each of the following specialties,  impacted by climate change, do you believe each of the following specialties will be? (Please rank on a scale of 0 - 5) - Neurology</t>
  </si>
  <si>
    <t>Q3_5 - For each of the following specialties,  impacted by climate change, do you believe each of the following specialties will be? (Please rank on a scale of 0 - 5) - Psychiatry</t>
  </si>
  <si>
    <t>Q3_6 - For each of the following specialties,  impacted by climate change, do you believe each of the following specialties will be? (Please rank on a scale of 0 - 5) - Pulmonology</t>
  </si>
  <si>
    <t>Q3_7 - For each of the following specialties,  impacted by climate change, do you believe each of the following specialties will be? (Please rank on a scale of 0 - 5) - Surgery &amp; Subspecialties</t>
  </si>
  <si>
    <t>Q4_1 - What is the approximate relative risk (RR) for developing asthma in children living in urban areas compared to those living in rural areas? (RR = Urban Risk/Rural Risk) - Relative Risk</t>
  </si>
  <si>
    <t>Q6 - What happens to particles that are &gt; 25 μm in diameter (PM &gt; 25) when we breath them in?</t>
  </si>
  <si>
    <t>Q7 - Which of the following sources can emit PM 2.5? (check all that apply)</t>
  </si>
  <si>
    <t>Q8_1 - Please rate how likely you are to ascertaining exposure to each of the following potential environmental health risk factors in your future patients? - Source of Drinking Water</t>
  </si>
  <si>
    <t>Q8_2 - Please rate how likely you are to ascertaining exposure to each of the following potential environmental health risk factors in your future patients? - Forest Fire Exposure</t>
  </si>
  <si>
    <t>Q8_3 - Please rate how likely you are to ascertaining exposure to each of the following potential environmental health risk factors in your future patients? - Access to Air Conditioning</t>
  </si>
  <si>
    <t>Q8_4 - Please rate how likely you are to ascertaining exposure to each of the following potential environmental health risk factors in your future patients? - Back-up for Power Outage</t>
  </si>
  <si>
    <t>Q8_5 - Please rate how likely you are to ascertaining exposure to each of the following potential environmental health risk factors in your future patients? - Access of Heat in Winter</t>
  </si>
  <si>
    <t>Q8_6 - Please rate how likely you are to ascertaining exposure to each of the following potential environmental health risk factors in your future patients? - Rural vs. Urban Living</t>
  </si>
  <si>
    <t>Q9_1 - How important do you believe that taking an environmental health history (please reference previous question) is for primary care physicians? - Not at all important</t>
  </si>
  <si>
    <t>Q10 - Describe any obstacles that would impact you personally in delivering environmental health care to patients?</t>
  </si>
  <si>
    <t>Q5 - Particulates of all sizes are suspended in the air we breathe. “PM #” indicates all particulate matter (PM) below a certain diameter (#).  So, PM 70 would indicate all particulates 
 Which PM size is most dangerous to human health?
 **Halfway…it’s</t>
  </si>
  <si>
    <t>Please describe any area of environmental medicine you would be interested in learning more about! (Can include topics covered in the EH lecture)</t>
  </si>
  <si>
    <t>2023-04-11 10:45:58</t>
  </si>
  <si>
    <t>2023-04-11 10:46:47</t>
  </si>
  <si>
    <t>104.28.78.148</t>
  </si>
  <si>
    <t>R_2pL8PspLy1rr7sv</t>
  </si>
  <si>
    <t>39.2889</t>
  </si>
  <si>
    <t>-76.623</t>
  </si>
  <si>
    <t>2023-04-11 10:45:08</t>
  </si>
  <si>
    <t>2023-04-11 10:47:02</t>
  </si>
  <si>
    <t>2023-04-11 10:47:03</t>
  </si>
  <si>
    <t>R_DoDo5p25H3kQymB</t>
  </si>
  <si>
    <t>Impact of different interventions on individual health</t>
  </si>
  <si>
    <t>2023-04-11 10:46:07</t>
  </si>
  <si>
    <t>2023-04-11 10:47:33</t>
  </si>
  <si>
    <t>R_2xLA9z6aF1ZWBNO</t>
  </si>
  <si>
    <t>Nf250</t>
  </si>
  <si>
    <t>2023-04-11 10:46:43</t>
  </si>
  <si>
    <t>2023-04-11 10:47:40</t>
  </si>
  <si>
    <t>2023-04-11 10:47:41</t>
  </si>
  <si>
    <t>R_UlHqf9Ap3NfqOad</t>
  </si>
  <si>
    <t>SES</t>
  </si>
  <si>
    <t>2023-04-11 10:46:42</t>
  </si>
  <si>
    <t>2023-04-11 10:48:00</t>
  </si>
  <si>
    <t>R_3MlpeEvdhTSfSYf</t>
  </si>
  <si>
    <t xml:space="preserve">Companies, government </t>
  </si>
  <si>
    <t>2023-04-11 10:46:32</t>
  </si>
  <si>
    <t>2023-04-11 10:48:07</t>
  </si>
  <si>
    <t>R_2QgmirWUniPIfjO</t>
  </si>
  <si>
    <t xml:space="preserve">City vs suburb living </t>
  </si>
  <si>
    <t>2023-04-11 10:48:08</t>
  </si>
  <si>
    <t>2023-04-11 10:48:09</t>
  </si>
  <si>
    <t>R_C17wIxfQwtaEvdv</t>
  </si>
  <si>
    <t>n/a</t>
  </si>
  <si>
    <t>2023-04-11 10:46:40</t>
  </si>
  <si>
    <t>2023-04-11 10:48:14</t>
  </si>
  <si>
    <t>174.206.233.204</t>
  </si>
  <si>
    <t>R_40IF3qq0EWOHbIB</t>
  </si>
  <si>
    <t>40.8022</t>
  </si>
  <si>
    <t>-74.1914</t>
  </si>
  <si>
    <t>Amc754</t>
  </si>
  <si>
    <t>2023-04-11 10:46:39</t>
  </si>
  <si>
    <t>2023-04-11 10:48:23</t>
  </si>
  <si>
    <t>2023-04-11 10:48:24</t>
  </si>
  <si>
    <t>R_2P1CagkKPyxnmCS</t>
  </si>
  <si>
    <t>Skin</t>
  </si>
  <si>
    <t>2023-04-11 10:46:36</t>
  </si>
  <si>
    <t>2023-04-11 10:48:44</t>
  </si>
  <si>
    <t>R_1DAU8qnx61HO18G</t>
  </si>
  <si>
    <t>Cars,Fireplaces</t>
  </si>
  <si>
    <t>2023-04-11 10:47:56</t>
  </si>
  <si>
    <t>2023-04-11 10:48:51</t>
  </si>
  <si>
    <t>128.6.36.126</t>
  </si>
  <si>
    <t>R_R49baP8IxTxvX8J</t>
  </si>
  <si>
    <t>2023-04-11 10:47:11</t>
  </si>
  <si>
    <t>2023-04-11 10:49:00</t>
  </si>
  <si>
    <t>128.6.37.252</t>
  </si>
  <si>
    <t>2023-04-11 10:49:01</t>
  </si>
  <si>
    <t>R_1jYRAaHfptQ42C6</t>
  </si>
  <si>
    <t>How to integrate these into our histories</t>
  </si>
  <si>
    <t>R_2OPSq2hP4fcRKWe</t>
  </si>
  <si>
    <t>2023-04-11 10:49:56</t>
  </si>
  <si>
    <t>R_1ITvS6yG3zqCMwO</t>
  </si>
  <si>
    <t xml:space="preserve">Impacts of smog on MI incidence </t>
  </si>
  <si>
    <t>2023-04-11 10:46:03</t>
  </si>
  <si>
    <t>128.6.36.233</t>
  </si>
  <si>
    <t>2023-04-11 10:49:57</t>
  </si>
  <si>
    <t>R_2y2gJVcsHNM0InI</t>
  </si>
  <si>
    <t>Pb658</t>
  </si>
  <si>
    <t>Cars,Dirt Roads,Pollen,Trucks</t>
  </si>
  <si>
    <t>128.6.36.129</t>
  </si>
  <si>
    <t>R_1LwKy0h1A0wkWuY</t>
  </si>
  <si>
    <t>Asbestos</t>
  </si>
  <si>
    <t>2023-04-11 10:46:38</t>
  </si>
  <si>
    <t>2023-04-11 10:50:39</t>
  </si>
  <si>
    <t>107.77.202.131</t>
  </si>
  <si>
    <t>2023-04-11 10:50:40</t>
  </si>
  <si>
    <t>R_2xVR3nHopRw1Any</t>
  </si>
  <si>
    <t>38.9522</t>
  </si>
  <si>
    <t>-77.0253</t>
  </si>
  <si>
    <t>rnb62@rwjms.rutgers.edu</t>
  </si>
  <si>
    <t>Preventive measures we can take on the cardio side to prevent acute MIs as the temperature increases</t>
  </si>
  <si>
    <t>2023-04-11 10:51:00</t>
  </si>
  <si>
    <t>2023-04-11 10:52:28</t>
  </si>
  <si>
    <t>R_3z9yOLPkrPEpwJ3</t>
  </si>
  <si>
    <t>2023-04-11 10:46:41</t>
  </si>
  <si>
    <t>2023-04-11 10:53:31</t>
  </si>
  <si>
    <t>2023-04-11 10:53:32</t>
  </si>
  <si>
    <t>R_YaxXaIexnyEKMQp</t>
  </si>
  <si>
    <t xml:space="preserve">Environmental justice and how physicians can be on the preventative side rather than reactive </t>
  </si>
  <si>
    <t>2023-04-11 10:50:57</t>
  </si>
  <si>
    <t>2023-04-11 10:54:26</t>
  </si>
  <si>
    <t>174.206.171.225</t>
  </si>
  <si>
    <t>R_3lQEXMdm7EzmlZ7</t>
  </si>
  <si>
    <t>40.7182</t>
  </si>
  <si>
    <t>-74.0476</t>
  </si>
  <si>
    <t>More about how to advise patients to ensure they are working in a safe environment. They should be able to safely demand a non-harmful working environment without fear of termination</t>
  </si>
  <si>
    <t>2023-04-11 10:55:51</t>
  </si>
  <si>
    <t>2023-04-11 10:55:52</t>
  </si>
  <si>
    <t>R_3kNWEUZ8TbqMd5A</t>
  </si>
  <si>
    <t xml:space="preserve">Environmental medicine as it relates to pregnancy </t>
  </si>
  <si>
    <t>2023-04-11 10:57:34</t>
  </si>
  <si>
    <t>2023-04-11 10:57:35</t>
  </si>
  <si>
    <t>R_37zKeZNZaxh3pKx</t>
  </si>
  <si>
    <t>Microplastics!</t>
  </si>
  <si>
    <t>2023-04-11 10:46:55</t>
  </si>
  <si>
    <t>2023-04-11 10:59:59</t>
  </si>
  <si>
    <t>107.127.42.141</t>
  </si>
  <si>
    <t>2023-04-11 11:00:00</t>
  </si>
  <si>
    <t>R_11d5suesyaf6JVo</t>
  </si>
  <si>
    <t>40.7597</t>
  </si>
  <si>
    <t>Dj472</t>
  </si>
  <si>
    <t>2023-04-11 10:46:04</t>
  </si>
  <si>
    <t>2023-04-11 11:06:19</t>
  </si>
  <si>
    <t>R_2AF3Owqub1qNr4r</t>
  </si>
  <si>
    <t>Occupational exposures</t>
  </si>
  <si>
    <t>2023-04-11 10:46:45</t>
  </si>
  <si>
    <t>2023-04-11 11:08:02</t>
  </si>
  <si>
    <t>128.6.37.128</t>
  </si>
  <si>
    <t>R_1obCDjvqBgWHKkn</t>
  </si>
  <si>
    <t>2023-04-11 11:08:06</t>
  </si>
  <si>
    <t>2023-04-11 11:08:07</t>
  </si>
  <si>
    <t>R_5AUKrNN7CvYi3xD</t>
  </si>
  <si>
    <t>Ige8</t>
  </si>
  <si>
    <t xml:space="preserve">More about environmental risk factors vs. the block we sre on. So integrated in each block as 1 lecture </t>
  </si>
  <si>
    <t>2023-04-11 10:46:29</t>
  </si>
  <si>
    <t>2023-04-11 11:15:01</t>
  </si>
  <si>
    <t>R_1kH1VQuTYbscnCe</t>
  </si>
  <si>
    <t>2023-04-11 10:46:37</t>
  </si>
  <si>
    <t>2023-04-11 11:43:53</t>
  </si>
  <si>
    <t>R_1f7wj6oeblC6fYj</t>
  </si>
  <si>
    <t xml:space="preserve">Projected climate change effect on health. </t>
  </si>
  <si>
    <t>2023-04-11 12:11:58</t>
  </si>
  <si>
    <t>2023-04-11 12:13:27</t>
  </si>
  <si>
    <t>R_3n8zx7weDh4tJud</t>
  </si>
  <si>
    <t>aa2204</t>
  </si>
  <si>
    <t>thanks for this!!</t>
  </si>
  <si>
    <t>2023-04-11 12:21:01</t>
  </si>
  <si>
    <t>2023-04-11 12:23:58</t>
  </si>
  <si>
    <t>2023-04-11 12:23:59</t>
  </si>
  <si>
    <t>R_31bdUPD7oYDhKSN</t>
  </si>
  <si>
    <t>Crk117</t>
  </si>
  <si>
    <t>What poisons/toxins we are exposed to on a regular basis, such as Round-Up and other pesticides, and what we can do about it!</t>
  </si>
  <si>
    <t>2023-04-11 12:23:41</t>
  </si>
  <si>
    <t>2023-04-11 12:27:58</t>
  </si>
  <si>
    <t>R_1feBaa3MTRZaahE</t>
  </si>
  <si>
    <t>What will the future of health look like given current trends in global warming</t>
  </si>
  <si>
    <t>2023-04-11 12:35:03</t>
  </si>
  <si>
    <t>2023-04-11 12:36:22</t>
  </si>
  <si>
    <t>R_3hxtJ5AsitmvsPB</t>
  </si>
  <si>
    <t>anp158</t>
  </si>
  <si>
    <t>2023-04-11 13:07:03</t>
  </si>
  <si>
    <t>2023-04-11 13:08:34</t>
  </si>
  <si>
    <t>R_vj0lk1f0C7J6tUZ</t>
  </si>
  <si>
    <t>mmw171</t>
  </si>
  <si>
    <t>2023-04-11 13:06:31</t>
  </si>
  <si>
    <t>2023-04-11 13:10:06</t>
  </si>
  <si>
    <t>2023-04-11 13:10:07</t>
  </si>
  <si>
    <t>R_720cTRIvJuCrPBT</t>
  </si>
  <si>
    <t>Air quality within homes: gas oven vs. electric, education to provide patients on quickly recognizing if mold, carbon monoxide, radon, etc. is present in their homes.</t>
  </si>
  <si>
    <t>2023-04-11 13:50:07</t>
  </si>
  <si>
    <t>2023-04-11 13:52:33</t>
  </si>
  <si>
    <t>24.188.55.249</t>
  </si>
  <si>
    <t>R_3sd071nyje7wTvL</t>
  </si>
  <si>
    <t>ae453</t>
  </si>
  <si>
    <t>how climate change will affect infectious disease</t>
  </si>
  <si>
    <t>2023-04-11 14:09:32</t>
  </si>
  <si>
    <t>2023-04-11 14:11:08</t>
  </si>
  <si>
    <t>2023-04-11 14:11:09</t>
  </si>
  <si>
    <t>R_2v9fQRvIoS0XVJL</t>
  </si>
  <si>
    <t>Deeper dive into effects in diff specialties</t>
  </si>
  <si>
    <t>2023-04-11 13:57:21</t>
  </si>
  <si>
    <t>2023-04-11 14:11:39</t>
  </si>
  <si>
    <t>72.88.210.209</t>
  </si>
  <si>
    <t>2023-04-11 14:11:40</t>
  </si>
  <si>
    <t>R_26liubCeitEF7KW</t>
  </si>
  <si>
    <t>radiation exposure of physicians and x-ray techs</t>
  </si>
  <si>
    <t>2023-04-11 14:14:19</t>
  </si>
  <si>
    <t>2023-04-11 14:15:40</t>
  </si>
  <si>
    <t>2023-04-11 14:15:41</t>
  </si>
  <si>
    <t>R_217fgu7pDTjNTko</t>
  </si>
  <si>
    <t>yh645</t>
  </si>
  <si>
    <t>2023-04-11 15:21:25</t>
  </si>
  <si>
    <t>2023-04-11 15:22:19</t>
  </si>
  <si>
    <t>R_1LGc9jndJuAhvqP</t>
  </si>
  <si>
    <t>agg108</t>
  </si>
  <si>
    <t>thank u!</t>
  </si>
  <si>
    <t>2023-04-11 15:34:36</t>
  </si>
  <si>
    <t>2023-04-11 15:37:40</t>
  </si>
  <si>
    <t>2023-04-11 15:37:41</t>
  </si>
  <si>
    <t>R_9EK0IjhwHHJt2Ol</t>
  </si>
  <si>
    <t>Gas vs electric stoves and their health effects on a family, especially children.</t>
  </si>
  <si>
    <t>2023-04-11 17:55:27</t>
  </si>
  <si>
    <t>2023-04-11 17:57:47</t>
  </si>
  <si>
    <t>R_UQN30ADsJQeMRY5</t>
  </si>
  <si>
    <t>oam38</t>
  </si>
  <si>
    <t>2023-04-11 18:15:37</t>
  </si>
  <si>
    <t>2023-04-11 18:16:54</t>
  </si>
  <si>
    <t>2023-04-11 18:16:55</t>
  </si>
  <si>
    <t>R_3HAMwi32VbzHLj8</t>
  </si>
  <si>
    <t>2023-04-11 19:22:26</t>
  </si>
  <si>
    <t>2023-04-11 19:26:15</t>
  </si>
  <si>
    <t>47.18.111.45</t>
  </si>
  <si>
    <t>R_26aa1hqmMHcmk1P</t>
  </si>
  <si>
    <t>40.5802</t>
  </si>
  <si>
    <t>-74.3594</t>
  </si>
  <si>
    <t>Kl798</t>
  </si>
  <si>
    <t>2023-04-12 12:39:34</t>
  </si>
  <si>
    <t>2023-04-12 12:42:01</t>
  </si>
  <si>
    <t>R_2Svq6QRlIwooHgN</t>
  </si>
  <si>
    <t>2023-04-12 13:29:22</t>
  </si>
  <si>
    <t>2023-04-12 13:32:23</t>
  </si>
  <si>
    <t>R_1NF8phonwnH4oLZ</t>
  </si>
  <si>
    <t>Sc1700</t>
  </si>
  <si>
    <t>Loved this!</t>
  </si>
  <si>
    <t>2023-04-13 09:51:01</t>
  </si>
  <si>
    <t>2023-04-13 09:52:18</t>
  </si>
  <si>
    <t>R_27lK3bi9TrstfKU</t>
  </si>
  <si>
    <t>40.9129</t>
  </si>
  <si>
    <t>-74.1627</t>
  </si>
  <si>
    <t>2023-04-13 09:50:17</t>
  </si>
  <si>
    <t>2023-04-13 09:53:01</t>
  </si>
  <si>
    <t>166.196.103.103</t>
  </si>
  <si>
    <t>2023-04-13 09:53:02</t>
  </si>
  <si>
    <t>R_28XORn2RHsyduOQ</t>
  </si>
  <si>
    <t>39.9195</t>
  </si>
  <si>
    <t>-75.1565</t>
  </si>
  <si>
    <t>Cars,Electric Vehicles,Fireplaces</t>
  </si>
  <si>
    <t xml:space="preserve">Parasite infections from contaminated lakes </t>
  </si>
  <si>
    <t>2023-04-13 09:51:29</t>
  </si>
  <si>
    <t>2023-04-13 09:53:05</t>
  </si>
  <si>
    <t>2023-04-13 09:53:06</t>
  </si>
  <si>
    <t>R_1mDDVkEYXsmjLWB</t>
  </si>
  <si>
    <t>mr1832</t>
  </si>
  <si>
    <t>2023-04-13 09:52:48</t>
  </si>
  <si>
    <t>2023-04-13 09:54:05</t>
  </si>
  <si>
    <t>2023-04-13 09:54:06</t>
  </si>
  <si>
    <t>R_2wnr1KWtshwaS3W</t>
  </si>
  <si>
    <t>Pesticides and Glyphosate in the Agriculture Industry</t>
  </si>
  <si>
    <t>2023-04-13 09:58:33</t>
  </si>
  <si>
    <t>2023-04-13 10:00:22</t>
  </si>
  <si>
    <t>2023-04-13 10:00:23</t>
  </si>
  <si>
    <t>R_D29OVQinA0uzcVX</t>
  </si>
  <si>
    <t>2023-04-13 10:13:24</t>
  </si>
  <si>
    <t>2023-04-13 10:14:47</t>
  </si>
  <si>
    <t>172.56.37.61</t>
  </si>
  <si>
    <t>R_1PYkedDptHiyc9D</t>
  </si>
  <si>
    <t>mml236</t>
  </si>
  <si>
    <t>2023-04-13 10:15:59</t>
  </si>
  <si>
    <t>2023-04-13 10:18:00</t>
  </si>
  <si>
    <t>69.115.57.154</t>
  </si>
  <si>
    <t>2023-04-13 10:18:01</t>
  </si>
  <si>
    <t>R_UoTdYdx2mmJgoNP</t>
  </si>
  <si>
    <t>ac2409</t>
  </si>
  <si>
    <t>Those that relate to natural disasters and emergency situations (such as 9/11)</t>
  </si>
  <si>
    <t>2023-04-13 10:21:58</t>
  </si>
  <si>
    <t>2023-04-13 10:25:21</t>
  </si>
  <si>
    <t>128.6.36.198</t>
  </si>
  <si>
    <t>2023-04-13 10:25:22</t>
  </si>
  <si>
    <t>R_XmL3TjQciZxGjrb</t>
  </si>
  <si>
    <t>N/A</t>
  </si>
  <si>
    <t>2023-04-13 10:29:41</t>
  </si>
  <si>
    <t>2023-04-13 10:35:57</t>
  </si>
  <si>
    <t>R_27VgLcP3y9qJ0XM</t>
  </si>
  <si>
    <t>The impact of pesticides on human health</t>
  </si>
  <si>
    <t>2023-04-13 10:46:33</t>
  </si>
  <si>
    <t>2023-04-13 10:48:41</t>
  </si>
  <si>
    <t>174.166.18.62</t>
  </si>
  <si>
    <t>R_3EzlF8OMovJ0hwq</t>
  </si>
  <si>
    <t>40.4496</t>
  </si>
  <si>
    <t>-74.6566</t>
  </si>
  <si>
    <t>2023-04-13 11:00:27</t>
  </si>
  <si>
    <t>2023-04-13 11:02:44</t>
  </si>
  <si>
    <t>2023-04-13 11:02:45</t>
  </si>
  <si>
    <t>R_bHgnhTQVimrHdMl</t>
  </si>
  <si>
    <t>am2520</t>
  </si>
  <si>
    <t>Infectious disease!</t>
  </si>
  <si>
    <t>2023-04-13 11:06:10</t>
  </si>
  <si>
    <t>2023-04-13 11:07:32</t>
  </si>
  <si>
    <t>R_30vo7sqxjiJN2yD</t>
  </si>
  <si>
    <t>2023-04-13 11:08:14</t>
  </si>
  <si>
    <t>2023-04-13 11:09:28</t>
  </si>
  <si>
    <t>128.6.36.115</t>
  </si>
  <si>
    <t>R_1et16cqZk66m021</t>
  </si>
  <si>
    <t>2023-04-13 11:08:39</t>
  </si>
  <si>
    <t>2023-04-13 11:18:21</t>
  </si>
  <si>
    <t>R_2uPS1j9gpQcBtY4</t>
  </si>
  <si>
    <t>Sm2718</t>
  </si>
  <si>
    <t>2023-04-13 11:17:45</t>
  </si>
  <si>
    <t>2023-04-13 11:18:58</t>
  </si>
  <si>
    <t>128.6.37.158</t>
  </si>
  <si>
    <t>R_1hGZD5uzjn1noL8</t>
  </si>
  <si>
    <t>2023-04-13 11:30:11</t>
  </si>
  <si>
    <t>2023-04-13 11:31:41</t>
  </si>
  <si>
    <t>128.6.36.147</t>
  </si>
  <si>
    <t>R_12rwK6o8j8gcJhL</t>
  </si>
  <si>
    <t>2023-04-13 11:27:53</t>
  </si>
  <si>
    <t>2023-04-13 11:32:13</t>
  </si>
  <si>
    <t>R_31bLfYauSrVjAW7</t>
  </si>
  <si>
    <t>Lmg324</t>
  </si>
  <si>
    <t xml:space="preserve">I would like to learn more about disparities across the United States and how states differ with environmental exposures </t>
  </si>
  <si>
    <t>2023-04-13 12:42:36</t>
  </si>
  <si>
    <t>2023-04-13 12:45:32</t>
  </si>
  <si>
    <t>128.6.36.253</t>
  </si>
  <si>
    <t>2023-04-13 12:45:33</t>
  </si>
  <si>
    <t>R_zfozisT99owdpUR</t>
  </si>
  <si>
    <t>eia16</t>
  </si>
  <si>
    <t xml:space="preserve">Common household animals that contribute </t>
  </si>
  <si>
    <t>2023-04-13 13:31:41</t>
  </si>
  <si>
    <t>2023-04-13 13:32:40</t>
  </si>
  <si>
    <t>2023-04-13 13:32:41</t>
  </si>
  <si>
    <t>R_2xRUOjEMZzKkfSq</t>
  </si>
  <si>
    <t>2023-04-13 17:11:21</t>
  </si>
  <si>
    <t>2023-04-13 17:12:29</t>
  </si>
  <si>
    <t>24.47.183.98</t>
  </si>
  <si>
    <t>2023-04-13 17:12:30</t>
  </si>
  <si>
    <t>R_qRsE0YMp5NP5GOl</t>
  </si>
  <si>
    <t>2023-04-13 17:32:41</t>
  </si>
  <si>
    <t>2023-04-13 17:35:16</t>
  </si>
  <si>
    <t>2023-04-13 17:35:17</t>
  </si>
  <si>
    <t>R_2WMv0yqPGyJOL3c</t>
  </si>
  <si>
    <t>pmg128</t>
  </si>
  <si>
    <t>2023-04-15 10:55:55</t>
  </si>
  <si>
    <t>2023-04-15 11:01:37</t>
  </si>
  <si>
    <t>R_DeO8RcVWLuDQ8aB</t>
  </si>
  <si>
    <t>Ep692</t>
  </si>
  <si>
    <t>Any emerging links between climate change and autoimmune diseases; impact of exposure to BPAs, microplastics, endocrine disruptors on maternal/fetal health, endo/repro function, gut microbiome</t>
  </si>
  <si>
    <t>2023-04-11 10:46:01</t>
  </si>
  <si>
    <t>2023-04-11 10:46:10</t>
  </si>
  <si>
    <t>2023-04-18 10:46:13</t>
  </si>
  <si>
    <t>R_79yVNYHHH6QqwJH</t>
  </si>
  <si>
    <t>2023-04-11 10:46:05</t>
  </si>
  <si>
    <t>2023-04-11 10:46:14</t>
  </si>
  <si>
    <t>172.58.233.45</t>
  </si>
  <si>
    <t>2023-04-18 10:46:14</t>
  </si>
  <si>
    <t>R_XtAUhpUTIfoJGpj</t>
  </si>
  <si>
    <t>2023-04-11 10:46:13</t>
  </si>
  <si>
    <t>2023-04-18 10:46:19</t>
  </si>
  <si>
    <t>R_21dB8T5p8yQqp5v</t>
  </si>
  <si>
    <t>2023-04-11 10:46:31</t>
  </si>
  <si>
    <t>2023-04-18 10:46:40</t>
  </si>
  <si>
    <t>R_31tKQDWghpriUWI</t>
  </si>
  <si>
    <t>2023-04-11 12:39:38</t>
  </si>
  <si>
    <t>2023-04-11 13:01:07</t>
  </si>
  <si>
    <t>2023-04-18 13:05:27</t>
  </si>
  <si>
    <t>R_2YLlv2jOFTuin2H</t>
  </si>
  <si>
    <t>2023-04-11 15:45:09</t>
  </si>
  <si>
    <t>2023-04-11 15:46:21</t>
  </si>
  <si>
    <t>2023-04-18 15:46:22</t>
  </si>
  <si>
    <t>R_1F57T86bPrJ3nTY</t>
  </si>
  <si>
    <t>2023-04-11 18:08:23</t>
  </si>
  <si>
    <t>2023-04-11 18:08:44</t>
  </si>
  <si>
    <t>2023-04-18 18:08:45</t>
  </si>
  <si>
    <t>R_e9D3Hgv9zdY2CDD</t>
  </si>
  <si>
    <t>2023-04-13 11:14:58</t>
  </si>
  <si>
    <t>2023-04-13 11:15:03</t>
  </si>
  <si>
    <t>2023-04-20 11:15:06</t>
  </si>
  <si>
    <t>R_1Qy1KGvIMBXgvWv</t>
  </si>
  <si>
    <t>2023-04-15 20:30:32</t>
  </si>
  <si>
    <t>2023-04-15 20:34:01</t>
  </si>
  <si>
    <t>2023-04-22 20:34:05</t>
  </si>
  <si>
    <t>R_3GpMe60uuMpHZMc</t>
  </si>
  <si>
    <t>sje67</t>
  </si>
  <si>
    <t>Duration (in seconds) - Duration (in seconds)2</t>
  </si>
  <si>
    <t>Column2</t>
  </si>
  <si>
    <t>Average</t>
  </si>
  <si>
    <t>Response Total</t>
  </si>
  <si>
    <t>Question</t>
  </si>
  <si>
    <t>Pre-Survey Average</t>
  </si>
  <si>
    <t>Post-Survey Average</t>
  </si>
  <si>
    <t>Absolute Difference</t>
  </si>
  <si>
    <t>% Change</t>
  </si>
  <si>
    <t>Look at matched paired sample</t>
  </si>
  <si>
    <t>Percent of respondents that replied</t>
  </si>
  <si>
    <t>Slide by slide outline (one sentence per)</t>
  </si>
  <si>
    <t>Column4</t>
  </si>
  <si>
    <t>Pesticides</t>
  </si>
  <si>
    <t>Env. History</t>
  </si>
  <si>
    <t>Future Impact</t>
  </si>
  <si>
    <t>Gas vs. Electric Stove</t>
  </si>
  <si>
    <t>Demographics</t>
  </si>
  <si>
    <t>Occupational Exposures</t>
  </si>
  <si>
    <t>Natural Disasters</t>
  </si>
  <si>
    <t>Other Specialties (ID)</t>
  </si>
  <si>
    <t>Other Specialties (Derm)</t>
  </si>
  <si>
    <t>Other Specialties (Cardio)</t>
  </si>
  <si>
    <t>Other Specialties (Pulm)</t>
  </si>
  <si>
    <t>Patient Care</t>
  </si>
  <si>
    <t>Other Specialties</t>
  </si>
  <si>
    <t>Thanks</t>
  </si>
  <si>
    <t>Environmental Exposures</t>
  </si>
  <si>
    <t>Environmental Exposures, Other Topics</t>
  </si>
  <si>
    <t>Other Specialties (OB)</t>
  </si>
  <si>
    <t>Possible Improvement %</t>
  </si>
  <si>
    <t>Cardiology</t>
  </si>
  <si>
    <t>Psychiatry</t>
  </si>
  <si>
    <t>Neurology</t>
  </si>
  <si>
    <t>Infectious Disease</t>
  </si>
  <si>
    <t>Dermatology</t>
  </si>
  <si>
    <t>Pulmonology</t>
  </si>
  <si>
    <t>Surgery &amp; Subspecialties</t>
  </si>
  <si>
    <t>Pre-Survey</t>
  </si>
  <si>
    <t>Post-Survey</t>
  </si>
  <si>
    <t>Change</t>
  </si>
  <si>
    <t>Source of Drinking Water</t>
  </si>
  <si>
    <t>Forest Fire Exposure</t>
  </si>
  <si>
    <t>Access to Air Conditioning</t>
  </si>
  <si>
    <t>Back-up for Power Outage</t>
  </si>
  <si>
    <t>Access of Heat in Winter</t>
  </si>
  <si>
    <t>Rural vs. Urban Living</t>
  </si>
  <si>
    <t>Row Labels</t>
  </si>
  <si>
    <t>Grand Total</t>
  </si>
  <si>
    <t>Q Number</t>
  </si>
  <si>
    <t>Full Question</t>
  </si>
  <si>
    <t>Q2</t>
  </si>
  <si>
    <t>How much of an impact do you believe that climate change will have on human health in your lifetime?</t>
  </si>
  <si>
    <t xml:space="preserve">Q5 </t>
  </si>
  <si>
    <t xml:space="preserve">Q6 </t>
  </si>
  <si>
    <t xml:space="preserve">Q7 </t>
  </si>
  <si>
    <t>Which PM size is most dangerous to human health?</t>
  </si>
  <si>
    <t>Q10 (Post-Survey)</t>
  </si>
  <si>
    <t>Q10 (Pre-Survey)</t>
  </si>
  <si>
    <t>Describe any obstacles that would impact you personally in delivering environmental health care to patients?</t>
  </si>
  <si>
    <t>Q5 Coded Responses</t>
  </si>
  <si>
    <t>Q6 Coded Responses</t>
  </si>
  <si>
    <t>Q1 - NetID Post Survey</t>
  </si>
  <si>
    <t>Q1 - NetID Pre-Survey Matches</t>
  </si>
  <si>
    <t>Post-Survey General Categories</t>
  </si>
  <si>
    <t xml:space="preserve"> </t>
  </si>
  <si>
    <t>Q1 - NetID Post-Survey</t>
  </si>
  <si>
    <t>Q7 Responses Coded</t>
  </si>
  <si>
    <t>Q5 Responses Coded</t>
  </si>
  <si>
    <t>Q6 Responses Coded</t>
  </si>
  <si>
    <t>Count of Q9_1</t>
  </si>
  <si>
    <t>Count of Q8_2</t>
  </si>
  <si>
    <t>Count of Q8_1</t>
  </si>
  <si>
    <t>Count of Q8_3</t>
  </si>
  <si>
    <t>Count of Q8_4</t>
  </si>
  <si>
    <t>Count of Q8_5</t>
  </si>
  <si>
    <t>Count of Q8_6</t>
  </si>
  <si>
    <t>Q4 Response Coded</t>
  </si>
  <si>
    <t>Q4 Responses Coded</t>
  </si>
  <si>
    <t>Pre-Survey Completed Responses: 98</t>
  </si>
  <si>
    <t>Post-Survey Completed Responses: 67</t>
  </si>
  <si>
    <t>&lt;- effect limitted by ceiling effect</t>
  </si>
  <si>
    <t>Q5 - Particulates of all sizes are suspended in the air we breathe. Which PM size is most dangerous to human health?</t>
  </si>
  <si>
    <t>Question 3 - Specialty</t>
  </si>
  <si>
    <t>Q4_1 - What is the approximate relative risk (RR) for developing asthma in children living in urban areas compared to those living in rural areas?</t>
  </si>
  <si>
    <t>Count of Q3_1</t>
  </si>
  <si>
    <t>*calculate STDev manually vs below</t>
  </si>
  <si>
    <t>Adjusted Avg:</t>
  </si>
  <si>
    <t>Count of Q3_2</t>
  </si>
  <si>
    <t>Count of Q8_6_2</t>
  </si>
  <si>
    <t>Count of Q8_1_2</t>
  </si>
  <si>
    <t>Count of Q8_2_2</t>
  </si>
  <si>
    <t>Count of Q8_3_2</t>
  </si>
  <si>
    <t>Count of Q8_4_2</t>
  </si>
  <si>
    <t>Count of Q8_5_2</t>
  </si>
  <si>
    <t>Count of Q3_1_2</t>
  </si>
  <si>
    <t>*Table does still include top 3 hidden rows</t>
  </si>
  <si>
    <t>Count of Q3_2_2</t>
  </si>
  <si>
    <t>Count of Q3_3</t>
  </si>
  <si>
    <t>Count of Q3_3_2</t>
  </si>
  <si>
    <t>Count of Q3_4</t>
  </si>
  <si>
    <t>Count of Q3_4_2</t>
  </si>
  <si>
    <t>Count of Q3_5</t>
  </si>
  <si>
    <t>Count of Q3_5_2</t>
  </si>
  <si>
    <t>Count of Q3_6</t>
  </si>
  <si>
    <t>Count of Q3_6_2</t>
  </si>
  <si>
    <t>Count of Q3_7</t>
  </si>
  <si>
    <t>Count of Q3_7_2</t>
  </si>
  <si>
    <t>Student Rating</t>
  </si>
  <si>
    <t>*Figure out way to label chart legend</t>
  </si>
  <si>
    <t>Surgery</t>
  </si>
  <si>
    <t>Source of Drinking</t>
  </si>
  <si>
    <t>Power Back-up</t>
  </si>
  <si>
    <t>Access to Heat in Winter</t>
  </si>
  <si>
    <t>% Possible Increase*</t>
  </si>
  <si>
    <t>*% Possible Increase = % Change/Possible Change</t>
  </si>
  <si>
    <t>Idea: 3 bars - 2 are pre&amp;post, last is % increase that's maybe a dot (could do 2 diff shapes and do both raw % and possible %)</t>
  </si>
  <si>
    <t>Can use star to signify stastistical significance</t>
  </si>
  <si>
    <t>IP Address Match</t>
  </si>
  <si>
    <t>Unique IP?</t>
  </si>
  <si>
    <t>Unique IP Pre-Survey?</t>
  </si>
  <si>
    <t>Unique IP Post-Survey?</t>
  </si>
  <si>
    <t>*Note on this column: If 'Unique' = IP address was found on pre and post-survey and was unique on both, If blank = IP address was found on pre and post-survey but was not unique, If '#N/A' = IP address from pre-survey was not found on post-survey</t>
  </si>
  <si>
    <t>NetID Match</t>
  </si>
  <si>
    <t>Overall Match</t>
  </si>
  <si>
    <t>Post-Survey NetID's</t>
  </si>
  <si>
    <t>Unique Latitude?</t>
  </si>
  <si>
    <t>Latitude Post-survey Match</t>
  </si>
  <si>
    <t>Unique Latitude Pre-Survey?</t>
  </si>
  <si>
    <t>Unique Latitude Post-Survey?</t>
  </si>
  <si>
    <t>*Location (Latitude/Longitude) not useful for pairing b/c it is primarily based on IP address!</t>
  </si>
  <si>
    <t>Longitude Post-survey Match</t>
  </si>
  <si>
    <t>Response ID Post-Survey Match</t>
  </si>
  <si>
    <t>Unique Identifier</t>
  </si>
  <si>
    <t>Q2 Post</t>
  </si>
  <si>
    <t>Q3_1 Post</t>
  </si>
  <si>
    <t>Q3_2 Post</t>
  </si>
  <si>
    <t>Q3_3 Post</t>
  </si>
  <si>
    <t>Q3_4 Post</t>
  </si>
  <si>
    <t>Q3_5 Post</t>
  </si>
  <si>
    <t>Q3_6 Post</t>
  </si>
  <si>
    <t>Q3_7 Post</t>
  </si>
  <si>
    <t>Q4</t>
  </si>
  <si>
    <t>Q4 Post</t>
  </si>
  <si>
    <t>Q5 Post</t>
  </si>
  <si>
    <t>Q6 Post</t>
  </si>
  <si>
    <t>Q8_1 Post</t>
  </si>
  <si>
    <t>Q8_2 Post</t>
  </si>
  <si>
    <t>Q8_3 Post</t>
  </si>
  <si>
    <t>Q8_4 Post</t>
  </si>
  <si>
    <t>Q8_5 Post</t>
  </si>
  <si>
    <t>Q8_7 Post</t>
  </si>
  <si>
    <t>Q9 Post</t>
  </si>
  <si>
    <t>Q9</t>
  </si>
  <si>
    <t>Q4 Responses Coded Post</t>
  </si>
  <si>
    <t>Q5 Responses Coded Post</t>
  </si>
  <si>
    <t>Q6 Responses Coded Post</t>
  </si>
  <si>
    <t>Q7 Post</t>
  </si>
  <si>
    <t>Q7 Responses Coded Post</t>
  </si>
  <si>
    <t>Q10 Post</t>
  </si>
  <si>
    <t>Q10 Pre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</si>
</sst>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%"/>
    <numFmt numFmtId="166" formatCode="0.000"/>
    <numFmt numFmtId="167" formatCode="0.000000000%"/>
    <numFmt numFmtId="168" formatCode="#,##0.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u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double">
        <color theme="9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double">
        <color theme="9"/>
      </top>
      <bottom style="thin">
        <color theme="9" tint="0.39997558519241921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4" fontId="0" fillId="0" borderId="0" xfId="0" applyNumberFormat="1"/>
    <xf numFmtId="1" fontId="0" fillId="0" borderId="0" xfId="0" applyNumberFormat="1"/>
    <xf numFmtId="2" fontId="0" fillId="0" borderId="0" xfId="0" applyNumberFormat="1"/>
    <xf numFmtId="9" fontId="0" fillId="0" borderId="0" xfId="1" applyFont="1"/>
    <xf numFmtId="165" fontId="0" fillId="0" borderId="0" xfId="1" applyNumberFormat="1" applyFont="1"/>
    <xf numFmtId="1" fontId="0" fillId="0" borderId="0" xfId="1" applyNumberFormat="1" applyFont="1"/>
    <xf numFmtId="166" fontId="0" fillId="0" borderId="0" xfId="0" applyNumberFormat="1"/>
    <xf numFmtId="167" fontId="0" fillId="0" borderId="0" xfId="1" applyNumberFormat="1" applyFont="1"/>
    <xf numFmtId="0" fontId="2" fillId="2" borderId="1" xfId="0" applyFont="1" applyFill="1" applyBorder="1" applyAlignment="1">
      <alignment wrapText="1"/>
    </xf>
    <xf numFmtId="164" fontId="2" fillId="2" borderId="1" xfId="0" applyNumberFormat="1" applyFont="1" applyFill="1" applyBorder="1" applyAlignment="1">
      <alignment wrapText="1"/>
    </xf>
    <xf numFmtId="2" fontId="3" fillId="0" borderId="2" xfId="0" applyNumberFormat="1" applyFont="1" applyBorder="1"/>
    <xf numFmtId="166" fontId="3" fillId="0" borderId="2" xfId="0" applyNumberFormat="1" applyFont="1" applyBorder="1"/>
    <xf numFmtId="166" fontId="3" fillId="0" borderId="4" xfId="0" applyNumberFormat="1" applyFont="1" applyBorder="1"/>
    <xf numFmtId="2" fontId="3" fillId="0" borderId="0" xfId="0" applyNumberFormat="1" applyFont="1"/>
    <xf numFmtId="0" fontId="4" fillId="0" borderId="0" xfId="0" applyFont="1"/>
    <xf numFmtId="0" fontId="6" fillId="2" borderId="1" xfId="0" applyFont="1" applyFill="1" applyBorder="1" applyAlignment="1">
      <alignment wrapText="1"/>
    </xf>
    <xf numFmtId="9" fontId="6" fillId="2" borderId="1" xfId="1" applyFont="1" applyFill="1" applyBorder="1" applyAlignment="1">
      <alignment wrapText="1"/>
    </xf>
    <xf numFmtId="0" fontId="7" fillId="0" borderId="5" xfId="0" applyFont="1" applyBorder="1"/>
    <xf numFmtId="0" fontId="0" fillId="0" borderId="0" xfId="0" applyAlignment="1">
      <alignment horizontal="left"/>
    </xf>
    <xf numFmtId="0" fontId="0" fillId="0" borderId="0" xfId="0" pivotButton="1"/>
    <xf numFmtId="9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2" fontId="3" fillId="0" borderId="0" xfId="0" applyNumberFormat="1" applyFont="1" applyAlignment="1">
      <alignment wrapText="1"/>
    </xf>
    <xf numFmtId="0" fontId="2" fillId="0" borderId="3" xfId="0" applyFont="1" applyBorder="1" applyAlignment="1">
      <alignment wrapText="1"/>
    </xf>
    <xf numFmtId="0" fontId="3" fillId="3" borderId="6" xfId="0" applyFont="1" applyFill="1" applyBorder="1" applyAlignment="1">
      <alignment wrapText="1"/>
    </xf>
    <xf numFmtId="0" fontId="3" fillId="3" borderId="7" xfId="0" applyFont="1" applyFill="1" applyBorder="1" applyAlignment="1">
      <alignment wrapText="1"/>
    </xf>
    <xf numFmtId="17" fontId="0" fillId="0" borderId="0" xfId="0" applyNumberFormat="1"/>
    <xf numFmtId="168" fontId="0" fillId="0" borderId="0" xfId="0" applyNumberFormat="1"/>
    <xf numFmtId="9" fontId="3" fillId="4" borderId="8" xfId="0" applyNumberFormat="1" applyFont="1" applyFill="1" applyBorder="1"/>
    <xf numFmtId="9" fontId="3" fillId="0" borderId="2" xfId="1" applyFont="1" applyBorder="1"/>
    <xf numFmtId="9" fontId="3" fillId="0" borderId="0" xfId="1" applyFont="1"/>
    <xf numFmtId="49" fontId="0" fillId="0" borderId="0" xfId="0" applyNumberFormat="1"/>
    <xf numFmtId="49" fontId="0" fillId="0" borderId="0" xfId="0" applyNumberFormat="1" applyAlignment="1">
      <alignment horizontal="center" wrapText="1"/>
    </xf>
  </cellXfs>
  <cellStyles count="2">
    <cellStyle name="Normal" xfId="0" builtinId="0"/>
    <cellStyle name="Percent" xfId="1" builtinId="5"/>
  </cellStyles>
  <dxfs count="437"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164" formatCode="0.0"/>
    </dxf>
    <dxf>
      <numFmt numFmtId="2" formatCode="0.00"/>
    </dxf>
    <dxf>
      <numFmt numFmtId="164" formatCode="0.0"/>
    </dxf>
    <dxf>
      <numFmt numFmtId="2" formatCode="0.00"/>
    </dxf>
    <dxf>
      <numFmt numFmtId="164" formatCode="0.0"/>
    </dxf>
    <dxf>
      <numFmt numFmtId="2" formatCode="0.00"/>
    </dxf>
    <dxf>
      <numFmt numFmtId="164" formatCode="0.0"/>
    </dxf>
    <dxf>
      <numFmt numFmtId="2" formatCode="0.00"/>
    </dxf>
    <dxf>
      <numFmt numFmtId="1" formatCode="0"/>
    </dxf>
    <dxf>
      <numFmt numFmtId="2" formatCode="0.00"/>
    </dxf>
    <dxf>
      <numFmt numFmtId="0" formatCode="General"/>
    </dxf>
    <dxf>
      <numFmt numFmtId="2" formatCode="0.00"/>
    </dxf>
    <dxf>
      <numFmt numFmtId="1" formatCode="0"/>
    </dxf>
    <dxf>
      <numFmt numFmtId="2" formatCode="0.00"/>
    </dxf>
    <dxf>
      <numFmt numFmtId="0" formatCode="General"/>
    </dxf>
    <dxf>
      <numFmt numFmtId="2" formatCode="0.00"/>
    </dxf>
    <dxf>
      <numFmt numFmtId="1" formatCode="0"/>
    </dxf>
    <dxf>
      <numFmt numFmtId="2" formatCode="0.00"/>
    </dxf>
    <dxf>
      <numFmt numFmtId="0" formatCode="General"/>
    </dxf>
    <dxf>
      <numFmt numFmtId="2" formatCode="0.00"/>
    </dxf>
    <dxf>
      <numFmt numFmtId="1" formatCode="0"/>
    </dxf>
    <dxf>
      <numFmt numFmtId="2" formatCode="0.00"/>
    </dxf>
    <dxf>
      <numFmt numFmtId="0" formatCode="General"/>
    </dxf>
    <dxf>
      <numFmt numFmtId="2" formatCode="0.00"/>
    </dxf>
    <dxf>
      <numFmt numFmtId="1" formatCode="0"/>
    </dxf>
    <dxf>
      <numFmt numFmtId="2" formatCode="0.00"/>
    </dxf>
    <dxf>
      <numFmt numFmtId="0" formatCode="General"/>
    </dxf>
    <dxf>
      <numFmt numFmtId="2" formatCode="0.00"/>
    </dxf>
    <dxf>
      <numFmt numFmtId="1" formatCode="0"/>
    </dxf>
    <dxf>
      <numFmt numFmtId="2" formatCode="0.00"/>
    </dxf>
    <dxf>
      <numFmt numFmtId="0" formatCode="General"/>
    </dxf>
    <dxf>
      <numFmt numFmtId="2" formatCode="0.00"/>
    </dxf>
    <dxf>
      <numFmt numFmtId="1" formatCode="0"/>
    </dxf>
    <dxf>
      <numFmt numFmtId="2" formatCode="0.00"/>
    </dxf>
    <dxf>
      <numFmt numFmtId="0" formatCode="General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30" formatCode="@"/>
    </dxf>
    <dxf>
      <numFmt numFmtId="30" formatCode="@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1" indent="0" justifyLastLine="0" shrinkToFit="0" readingOrder="0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4" formatCode="#,##0.00"/>
    </dxf>
    <dxf>
      <numFmt numFmtId="4" formatCode="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4" formatCode="#,##0.00"/>
    </dxf>
    <dxf>
      <numFmt numFmtId="4" formatCode="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1" indent="0" justifyLastLine="0" shrinkToFit="0" readingOrder="0"/>
    </dxf>
    <dxf>
      <numFmt numFmtId="166" formatCode="0.000"/>
    </dxf>
    <dxf>
      <numFmt numFmtId="0" formatCode="General"/>
    </dxf>
    <dxf>
      <numFmt numFmtId="166" formatCode="0.000"/>
    </dxf>
    <dxf>
      <numFmt numFmtId="0" formatCode="General"/>
    </dxf>
    <dxf>
      <numFmt numFmtId="166" formatCode="0.000"/>
    </dxf>
    <dxf>
      <numFmt numFmtId="0" formatCode="General"/>
    </dxf>
    <dxf>
      <numFmt numFmtId="166" formatCode="0.000"/>
    </dxf>
    <dxf>
      <numFmt numFmtId="0" formatCode="General"/>
    </dxf>
    <dxf>
      <numFmt numFmtId="166" formatCode="0.000"/>
    </dxf>
    <dxf>
      <numFmt numFmtId="0" formatCode="General"/>
    </dxf>
    <dxf>
      <numFmt numFmtId="166" formatCode="0.000"/>
    </dxf>
    <dxf>
      <numFmt numFmtId="0" formatCode="General"/>
    </dxf>
    <dxf>
      <numFmt numFmtId="166" formatCode="0.000"/>
    </dxf>
    <dxf>
      <numFmt numFmtId="0" formatCode="General"/>
    </dxf>
    <dxf>
      <numFmt numFmtId="166" formatCode="0.000"/>
    </dxf>
    <dxf>
      <numFmt numFmtId="0" formatCode="General"/>
    </dxf>
    <dxf>
      <numFmt numFmtId="166" formatCode="0.000"/>
    </dxf>
    <dxf>
      <numFmt numFmtId="0" formatCode="General"/>
    </dxf>
    <dxf>
      <numFmt numFmtId="166" formatCode="0.000"/>
    </dxf>
    <dxf>
      <numFmt numFmtId="0" formatCode="General"/>
    </dxf>
    <dxf>
      <numFmt numFmtId="166" formatCode="0.000"/>
    </dxf>
    <dxf>
      <numFmt numFmtId="0" formatCode="General"/>
    </dxf>
    <dxf>
      <numFmt numFmtId="166" formatCode="0.000"/>
    </dxf>
    <dxf>
      <numFmt numFmtId="0" formatCode="General"/>
    </dxf>
    <dxf>
      <numFmt numFmtId="166" formatCode="0.000"/>
    </dxf>
    <dxf>
      <numFmt numFmtId="0" formatCode="General"/>
    </dxf>
    <dxf>
      <numFmt numFmtId="166" formatCode="0.000"/>
    </dxf>
    <dxf>
      <numFmt numFmtId="0" formatCode="General"/>
    </dxf>
    <dxf>
      <numFmt numFmtId="166" formatCode="0.000"/>
    </dxf>
    <dxf>
      <numFmt numFmtId="164" formatCode="0.0"/>
    </dxf>
    <dxf>
      <numFmt numFmtId="166" formatCode="0.000"/>
    </dxf>
    <dxf>
      <numFmt numFmtId="164" formatCode="0.0"/>
    </dxf>
    <dxf>
      <numFmt numFmtId="166" formatCode="0.000"/>
    </dxf>
    <dxf>
      <numFmt numFmtId="0" formatCode="General"/>
    </dxf>
    <dxf>
      <numFmt numFmtId="166" formatCode="0.000"/>
    </dxf>
    <dxf>
      <numFmt numFmtId="0" formatCode="General"/>
    </dxf>
    <dxf>
      <numFmt numFmtId="166" formatCode="0.000"/>
    </dxf>
    <dxf>
      <numFmt numFmtId="0" formatCode="General"/>
    </dxf>
    <dxf>
      <numFmt numFmtId="166" formatCode="0.000"/>
    </dxf>
    <dxf>
      <numFmt numFmtId="0" formatCode="General"/>
    </dxf>
    <dxf>
      <numFmt numFmtId="166" formatCode="0.000"/>
    </dxf>
    <dxf>
      <numFmt numFmtId="0" formatCode="General"/>
    </dxf>
    <dxf>
      <numFmt numFmtId="166" formatCode="0.000"/>
    </dxf>
    <dxf>
      <numFmt numFmtId="0" formatCode="General"/>
    </dxf>
    <dxf>
      <numFmt numFmtId="166" formatCode="0.000"/>
    </dxf>
    <dxf>
      <numFmt numFmtId="0" formatCode="General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.0%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00"/>
      <border diagonalUp="0" diagonalDown="0">
        <left/>
        <right/>
        <top style="double">
          <color theme="9"/>
        </top>
        <bottom style="thin">
          <color theme="9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.0%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00"/>
      <border diagonalUp="0" diagonalDown="0">
        <left/>
        <right/>
        <top style="double">
          <color theme="9"/>
        </top>
        <bottom style="thin">
          <color theme="9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.0%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00"/>
      <border diagonalUp="0" diagonalDown="0">
        <left/>
        <right/>
        <top style="double">
          <color theme="9"/>
        </top>
        <bottom style="thin">
          <color theme="9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alignment horizontal="general" vertical="bottom" textRotation="0" wrapText="1" indent="0" justifyLastLine="0" shrinkToFit="0" readingOrder="0"/>
    </dxf>
    <dxf>
      <numFmt numFmtId="1" formatCode="0"/>
    </dxf>
    <dxf>
      <numFmt numFmtId="13" formatCode="0%"/>
    </dxf>
    <dxf>
      <numFmt numFmtId="14" formatCode="0.00%"/>
    </dxf>
    <dxf>
      <numFmt numFmtId="13" formatCode="0%"/>
    </dxf>
    <dxf>
      <alignment wrapText="1"/>
    </dxf>
    <dxf>
      <numFmt numFmtId="1" formatCode="0"/>
    </dxf>
    <dxf>
      <numFmt numFmtId="13" formatCode="0%"/>
    </dxf>
    <dxf>
      <numFmt numFmtId="14" formatCode="0.00%"/>
    </dxf>
    <dxf>
      <numFmt numFmtId="13" formatCode="0%"/>
    </dxf>
    <dxf>
      <alignment wrapText="1"/>
    </dxf>
    <dxf>
      <numFmt numFmtId="1" formatCode="0"/>
    </dxf>
    <dxf>
      <numFmt numFmtId="13" formatCode="0%"/>
    </dxf>
    <dxf>
      <numFmt numFmtId="14" formatCode="0.00%"/>
    </dxf>
    <dxf>
      <numFmt numFmtId="13" formatCode="0%"/>
    </dxf>
    <dxf>
      <alignment wrapText="1"/>
    </dxf>
    <dxf>
      <numFmt numFmtId="1" formatCode="0"/>
    </dxf>
    <dxf>
      <numFmt numFmtId="13" formatCode="0%"/>
    </dxf>
    <dxf>
      <numFmt numFmtId="14" formatCode="0.00%"/>
    </dxf>
    <dxf>
      <numFmt numFmtId="13" formatCode="0%"/>
    </dxf>
    <dxf>
      <alignment wrapText="1"/>
    </dxf>
    <dxf>
      <numFmt numFmtId="1" formatCode="0"/>
    </dxf>
    <dxf>
      <numFmt numFmtId="13" formatCode="0%"/>
    </dxf>
    <dxf>
      <numFmt numFmtId="14" formatCode="0.00%"/>
    </dxf>
    <dxf>
      <alignment wrapText="1"/>
    </dxf>
    <dxf>
      <numFmt numFmtId="1" formatCode="0"/>
    </dxf>
    <dxf>
      <numFmt numFmtId="13" formatCode="0%"/>
    </dxf>
    <dxf>
      <numFmt numFmtId="14" formatCode="0.00%"/>
    </dxf>
    <dxf>
      <alignment wrapText="1"/>
    </dxf>
    <dxf>
      <numFmt numFmtId="1" formatCode="0"/>
    </dxf>
    <dxf>
      <numFmt numFmtId="13" formatCode="0%"/>
    </dxf>
    <dxf>
      <numFmt numFmtId="14" formatCode="0.00%"/>
    </dxf>
    <dxf>
      <numFmt numFmtId="13" formatCode="0%"/>
    </dxf>
    <dxf>
      <alignment wrapText="1"/>
    </dxf>
    <dxf>
      <numFmt numFmtId="1" formatCode="0"/>
    </dxf>
    <dxf>
      <numFmt numFmtId="13" formatCode="0%"/>
    </dxf>
    <dxf>
      <numFmt numFmtId="14" formatCode="0.00%"/>
    </dxf>
    <dxf>
      <alignment wrapText="1"/>
    </dxf>
    <dxf>
      <numFmt numFmtId="1" formatCode="0"/>
    </dxf>
    <dxf>
      <numFmt numFmtId="2" formatCode="0.00"/>
    </dxf>
    <dxf>
      <numFmt numFmtId="13" formatCode="0%"/>
    </dxf>
    <dxf>
      <numFmt numFmtId="14" formatCode="0.00%"/>
    </dxf>
    <dxf>
      <alignment wrapText="1"/>
    </dxf>
    <dxf>
      <numFmt numFmtId="1" formatCode="0"/>
    </dxf>
    <dxf>
      <numFmt numFmtId="13" formatCode="0%"/>
    </dxf>
    <dxf>
      <numFmt numFmtId="14" formatCode="0.00%"/>
    </dxf>
    <dxf>
      <alignment wrapText="1"/>
    </dxf>
    <dxf>
      <numFmt numFmtId="1" formatCode="0"/>
    </dxf>
    <dxf>
      <numFmt numFmtId="2" formatCode="0.00"/>
    </dxf>
    <dxf>
      <numFmt numFmtId="13" formatCode="0%"/>
    </dxf>
    <dxf>
      <numFmt numFmtId="14" formatCode="0.00%"/>
    </dxf>
    <dxf>
      <numFmt numFmtId="14" formatCode="0.00%"/>
    </dxf>
    <dxf>
      <alignment wrapText="1"/>
    </dxf>
    <dxf>
      <numFmt numFmtId="13" formatCode="0%"/>
    </dxf>
    <dxf>
      <numFmt numFmtId="14" formatCode="0.00%"/>
    </dxf>
    <dxf>
      <alignment wrapText="1"/>
    </dxf>
    <dxf>
      <numFmt numFmtId="1" formatCode="0"/>
    </dxf>
    <dxf>
      <numFmt numFmtId="13" formatCode="0%"/>
    </dxf>
    <dxf>
      <numFmt numFmtId="14" formatCode="0.00%"/>
    </dxf>
    <dxf>
      <numFmt numFmtId="13" formatCode="0%"/>
    </dxf>
    <dxf>
      <alignment wrapText="1"/>
    </dxf>
    <dxf>
      <numFmt numFmtId="1" formatCode="0"/>
    </dxf>
    <dxf>
      <numFmt numFmtId="13" formatCode="0%"/>
    </dxf>
    <dxf>
      <numFmt numFmtId="14" formatCode="0.00%"/>
    </dxf>
    <dxf>
      <numFmt numFmtId="14" formatCode="0.00%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[DIME Proj Data 9.19.xlsx]Post-Survey Pivots!PivotTable1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2023 Student Rated Importance of Taking Environmental Health History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'Post-Survey Pivots'!$K$3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'Post-Survey Pivots'!$J$4:$J$11</c:f>
              <c:strCache>
                <c:ptCount val="7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strCache>
            </c:strRef>
          </c:cat>
          <c:val>
            <c:numRef>
              <c:f>'Post-Survey Pivots'!$K$4:$K$11</c:f>
              <c:numCache>
                <c:formatCode>0%</c:formatCode>
                <c:ptCount val="7"/>
                <c:pt idx="0">
                  <c:v>1.5151515151515152E-2</c:v>
                </c:pt>
                <c:pt idx="1">
                  <c:v>1.5151515151515152E-2</c:v>
                </c:pt>
                <c:pt idx="2">
                  <c:v>4.5454545454545456E-2</c:v>
                </c:pt>
                <c:pt idx="3">
                  <c:v>3.0303030303030304E-2</c:v>
                </c:pt>
                <c:pt idx="4">
                  <c:v>0.22727272727272727</c:v>
                </c:pt>
                <c:pt idx="5">
                  <c:v>0.24242424242424243</c:v>
                </c:pt>
                <c:pt idx="6">
                  <c:v>0.42424242424242425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0-4AB3-BAC3-CDD316E20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1920704"/>
        <c:axId val="1182145920"/>
      </c:barChart>
      <c:catAx>
        <c:axId val="118192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Importance</a:t>
                </a:r>
                <a:r>
                  <a:rPr lang="en-US" sz="1200" baseline="0"/>
                  <a:t> from 1 = "Not at All" to 10 = "Ask Every Relevant Pt"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145920"/>
        <c:crosses val="autoZero"/>
        <c:auto val="1"/>
        <c:lblAlgn val="ctr"/>
        <c:lblOffset val="100"/>
        <c:noMultiLvlLbl val="0"/>
      </c:catAx>
      <c:valAx>
        <c:axId val="118214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Count</a:t>
                </a:r>
                <a:r>
                  <a:rPr lang="en-US" sz="1100" baseline="0"/>
                  <a:t> of Responses (66 Total)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92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Question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'Post-Survey Pivots'!$A$16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'Post-Survey Pivots'!$B$15:$G$15</c:f>
              <c:strCache>
                <c:ptCount val="6"/>
                <c:pt idx="0">
                  <c:v>Source of Drinking</c:v>
                </c:pt>
                <c:pt idx="1">
                  <c:v>Forest Fire Exposure</c:v>
                </c:pt>
                <c:pt idx="2">
                  <c:v>Access to Air Conditioning</c:v>
                </c:pt>
                <c:pt idx="3">
                  <c:v>Power Back-up</c:v>
                </c:pt>
                <c:pt idx="4">
                  <c:v>Access to Heat in Winter</c:v>
                </c:pt>
                <c:pt idx="5">
                  <c:v>Rural vs. Urban Living</c:v>
                </c:pt>
              </c:strCache>
            </c:strRef>
          </c:cat>
          <c:val>
            <c:numRef>
              <c:f>'Post-Survey Pivots'!$B$16:$G$16</c:f>
              <c:numCache>
                <c:formatCode>0%</c:formatCode>
                <c:ptCount val="6"/>
                <c:pt idx="0">
                  <c:v>5.9701492537313432E-2</c:v>
                </c:pt>
                <c:pt idx="1">
                  <c:v>7.575757575757576E-2</c:v>
                </c:pt>
                <c:pt idx="2">
                  <c:v>2.9850746268656716E-2</c:v>
                </c:pt>
                <c:pt idx="3">
                  <c:v>0.14925373134328357</c:v>
                </c:pt>
                <c:pt idx="4">
                  <c:v>4.4776119402985072E-2</c:v>
                </c:pt>
                <c:pt idx="5">
                  <c:v>1.4925373134328358E-2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B6-4410-9197-FFDEEED4F7FC}"/>
            </c:ext>
          </c:extLst>
        </c:ser>
        <c:ser>
          <c:idx val="1"/>
          <c:order val="1"/>
          <c:tx>
            <c:strRef>
              <c:f>'Post-Survey Pivots'!$A$17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'Post-Survey Pivots'!$B$15:$G$15</c:f>
              <c:strCache>
                <c:ptCount val="6"/>
                <c:pt idx="0">
                  <c:v>Source of Drinking</c:v>
                </c:pt>
                <c:pt idx="1">
                  <c:v>Forest Fire Exposure</c:v>
                </c:pt>
                <c:pt idx="2">
                  <c:v>Access to Air Conditioning</c:v>
                </c:pt>
                <c:pt idx="3">
                  <c:v>Power Back-up</c:v>
                </c:pt>
                <c:pt idx="4">
                  <c:v>Access to Heat in Winter</c:v>
                </c:pt>
                <c:pt idx="5">
                  <c:v>Rural vs. Urban Living</c:v>
                </c:pt>
              </c:strCache>
            </c:strRef>
          </c:cat>
          <c:val>
            <c:numRef>
              <c:f>'Post-Survey Pivots'!$B$17:$G$17</c:f>
              <c:numCache>
                <c:formatCode>0%</c:formatCode>
                <c:ptCount val="6"/>
                <c:pt idx="0">
                  <c:v>7.4626865671641784E-2</c:v>
                </c:pt>
                <c:pt idx="1">
                  <c:v>9.0909090909090912E-2</c:v>
                </c:pt>
                <c:pt idx="2">
                  <c:v>0.11940298507462686</c:v>
                </c:pt>
                <c:pt idx="3">
                  <c:v>0.11940298507462686</c:v>
                </c:pt>
                <c:pt idx="4">
                  <c:v>4.4776119402985072E-2</c:v>
                </c:pt>
                <c:pt idx="5">
                  <c:v>2.9850746268656716E-2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B6-4410-9197-FFDEEED4F7FC}"/>
            </c:ext>
          </c:extLst>
        </c:ser>
        <c:ser>
          <c:idx val="2"/>
          <c:order val="2"/>
          <c:tx>
            <c:strRef>
              <c:f>'Post-Survey Pivots'!$A$18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'Post-Survey Pivots'!$B$15:$G$15</c:f>
              <c:strCache>
                <c:ptCount val="6"/>
                <c:pt idx="0">
                  <c:v>Source of Drinking</c:v>
                </c:pt>
                <c:pt idx="1">
                  <c:v>Forest Fire Exposure</c:v>
                </c:pt>
                <c:pt idx="2">
                  <c:v>Access to Air Conditioning</c:v>
                </c:pt>
                <c:pt idx="3">
                  <c:v>Power Back-up</c:v>
                </c:pt>
                <c:pt idx="4">
                  <c:v>Access to Heat in Winter</c:v>
                </c:pt>
                <c:pt idx="5">
                  <c:v>Rural vs. Urban Living</c:v>
                </c:pt>
              </c:strCache>
            </c:strRef>
          </c:cat>
          <c:val>
            <c:numRef>
              <c:f>'Post-Survey Pivots'!$B$18:$G$18</c:f>
              <c:numCache>
                <c:formatCode>0%</c:formatCode>
                <c:ptCount val="6"/>
                <c:pt idx="0">
                  <c:v>0.11940298507462686</c:v>
                </c:pt>
                <c:pt idx="1">
                  <c:v>0.16666666666666666</c:v>
                </c:pt>
                <c:pt idx="2">
                  <c:v>0.16417910447761194</c:v>
                </c:pt>
                <c:pt idx="3">
                  <c:v>0.16417910447761194</c:v>
                </c:pt>
                <c:pt idx="4">
                  <c:v>0.14925373134328357</c:v>
                </c:pt>
                <c:pt idx="5">
                  <c:v>0.13432835820895522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B6-4410-9197-FFDEEED4F7FC}"/>
            </c:ext>
          </c:extLst>
        </c:ser>
        <c:ser>
          <c:idx val="3"/>
          <c:order val="3"/>
          <c:tx>
            <c:strRef>
              <c:f>'Post-Survey Pivots'!$A$19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'Post-Survey Pivots'!$B$15:$G$15</c:f>
              <c:strCache>
                <c:ptCount val="6"/>
                <c:pt idx="0">
                  <c:v>Source of Drinking</c:v>
                </c:pt>
                <c:pt idx="1">
                  <c:v>Forest Fire Exposure</c:v>
                </c:pt>
                <c:pt idx="2">
                  <c:v>Access to Air Conditioning</c:v>
                </c:pt>
                <c:pt idx="3">
                  <c:v>Power Back-up</c:v>
                </c:pt>
                <c:pt idx="4">
                  <c:v>Access to Heat in Winter</c:v>
                </c:pt>
                <c:pt idx="5">
                  <c:v>Rural vs. Urban Living</c:v>
                </c:pt>
              </c:strCache>
            </c:strRef>
          </c:cat>
          <c:val>
            <c:numRef>
              <c:f>'Post-Survey Pivots'!$B$19:$G$19</c:f>
              <c:numCache>
                <c:formatCode>0%</c:formatCode>
                <c:ptCount val="6"/>
                <c:pt idx="0">
                  <c:v>0.28358208955223879</c:v>
                </c:pt>
                <c:pt idx="1">
                  <c:v>0.22727272727272727</c:v>
                </c:pt>
                <c:pt idx="2">
                  <c:v>0.28358208955223879</c:v>
                </c:pt>
                <c:pt idx="3">
                  <c:v>0.26865671641791045</c:v>
                </c:pt>
                <c:pt idx="4">
                  <c:v>0.31343283582089554</c:v>
                </c:pt>
                <c:pt idx="5">
                  <c:v>0.20895522388059701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B6-4410-9197-FFDEEED4F7FC}"/>
            </c:ext>
          </c:extLst>
        </c:ser>
        <c:ser>
          <c:idx val="4"/>
          <c:order val="4"/>
          <c:tx>
            <c:strRef>
              <c:f>'Post-Survey Pivots'!$A$20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'Post-Survey Pivots'!$B$15:$G$15</c:f>
              <c:strCache>
                <c:ptCount val="6"/>
                <c:pt idx="0">
                  <c:v>Source of Drinking</c:v>
                </c:pt>
                <c:pt idx="1">
                  <c:v>Forest Fire Exposure</c:v>
                </c:pt>
                <c:pt idx="2">
                  <c:v>Access to Air Conditioning</c:v>
                </c:pt>
                <c:pt idx="3">
                  <c:v>Power Back-up</c:v>
                </c:pt>
                <c:pt idx="4">
                  <c:v>Access to Heat in Winter</c:v>
                </c:pt>
                <c:pt idx="5">
                  <c:v>Rural vs. Urban Living</c:v>
                </c:pt>
              </c:strCache>
            </c:strRef>
          </c:cat>
          <c:val>
            <c:numRef>
              <c:f>'Post-Survey Pivots'!$B$20:$G$20</c:f>
              <c:numCache>
                <c:formatCode>0%</c:formatCode>
                <c:ptCount val="6"/>
                <c:pt idx="0">
                  <c:v>0.46268656716417911</c:v>
                </c:pt>
                <c:pt idx="1">
                  <c:v>0.43939393939393939</c:v>
                </c:pt>
                <c:pt idx="2">
                  <c:v>0.40298507462686567</c:v>
                </c:pt>
                <c:pt idx="3">
                  <c:v>0.29850746268656714</c:v>
                </c:pt>
                <c:pt idx="4">
                  <c:v>0.44776119402985076</c:v>
                </c:pt>
                <c:pt idx="5">
                  <c:v>0.61194029850746268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B6-4410-9197-FFDEEED4F7F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61401824"/>
        <c:axId val="2062947920"/>
      </c:barChart>
      <c:catAx>
        <c:axId val="206140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947920"/>
        <c:crosses val="autoZero"/>
        <c:auto val="1"/>
        <c:lblAlgn val="ctr"/>
        <c:lblOffset val="100"/>
        <c:noMultiLvlLbl val="0"/>
      </c:catAx>
      <c:valAx>
        <c:axId val="206294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40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5844342014323225"/>
          <c:y val="0.42235405533064224"/>
          <c:w val="4.155657985676775E-2"/>
          <c:h val="0.215353367830077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Question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'Post-Survey Pivots'!$A$26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6">
                        <a:lumMod val="40000"/>
                        <a:lumOff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'Post-Survey Pivots'!$B$25:$H$25</c:f>
              <c:strCache>
                <c:ptCount val="7"/>
                <c:pt idx="0">
                  <c:v>Cardiology</c:v>
                </c:pt>
                <c:pt idx="1">
                  <c:v>Dermatology</c:v>
                </c:pt>
                <c:pt idx="2">
                  <c:v>Infectious Disease</c:v>
                </c:pt>
                <c:pt idx="3">
                  <c:v>Neurology</c:v>
                </c:pt>
                <c:pt idx="4">
                  <c:v>Psychiatry</c:v>
                </c:pt>
                <c:pt idx="5">
                  <c:v>Pulmonology</c:v>
                </c:pt>
                <c:pt idx="6">
                  <c:v>Surgery</c:v>
                </c:pt>
              </c:strCache>
            </c:strRef>
          </c:cat>
          <c:val>
            <c:numRef>
              <c:f>'Post-Survey Pivots'!$B$26:$H$26</c:f>
              <c:numCache>
                <c:formatCode>0%</c:formatCode>
                <c:ptCount val="7"/>
                <c:pt idx="1">
                  <c:v>1.4925373134328358E-2</c:v>
                </c:pt>
                <c:pt idx="3">
                  <c:v>1.5151515151515152E-2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70-4E67-97F3-EACE9F598239}"/>
            </c:ext>
          </c:extLst>
        </c:ser>
        <c:ser>
          <c:idx val="1"/>
          <c:order val="1"/>
          <c:tx>
            <c:strRef>
              <c:f>'Post-Survey Pivots'!$A$27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'Post-Survey Pivots'!$B$25:$H$25</c:f>
              <c:strCache>
                <c:ptCount val="7"/>
                <c:pt idx="0">
                  <c:v>Cardiology</c:v>
                </c:pt>
                <c:pt idx="1">
                  <c:v>Dermatology</c:v>
                </c:pt>
                <c:pt idx="2">
                  <c:v>Infectious Disease</c:v>
                </c:pt>
                <c:pt idx="3">
                  <c:v>Neurology</c:v>
                </c:pt>
                <c:pt idx="4">
                  <c:v>Psychiatry</c:v>
                </c:pt>
                <c:pt idx="5">
                  <c:v>Pulmonology</c:v>
                </c:pt>
                <c:pt idx="6">
                  <c:v>Surgery</c:v>
                </c:pt>
              </c:strCache>
            </c:strRef>
          </c:cat>
          <c:val>
            <c:numRef>
              <c:f>'Post-Survey Pivots'!$B$27:$H$27</c:f>
              <c:numCache>
                <c:formatCode>0%</c:formatCode>
                <c:ptCount val="7"/>
                <c:pt idx="1">
                  <c:v>2.9850746268656716E-2</c:v>
                </c:pt>
                <c:pt idx="3">
                  <c:v>6.0606060606060608E-2</c:v>
                </c:pt>
                <c:pt idx="4">
                  <c:v>1.5151515151515152E-2</c:v>
                </c:pt>
                <c:pt idx="6">
                  <c:v>0.12121212121212122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70-4E67-97F3-EACE9F598239}"/>
            </c:ext>
          </c:extLst>
        </c:ser>
        <c:ser>
          <c:idx val="2"/>
          <c:order val="2"/>
          <c:tx>
            <c:strRef>
              <c:f>'Post-Survey Pivots'!$A$28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'Post-Survey Pivots'!$B$25:$H$25</c:f>
              <c:strCache>
                <c:ptCount val="7"/>
                <c:pt idx="0">
                  <c:v>Cardiology</c:v>
                </c:pt>
                <c:pt idx="1">
                  <c:v>Dermatology</c:v>
                </c:pt>
                <c:pt idx="2">
                  <c:v>Infectious Disease</c:v>
                </c:pt>
                <c:pt idx="3">
                  <c:v>Neurology</c:v>
                </c:pt>
                <c:pt idx="4">
                  <c:v>Psychiatry</c:v>
                </c:pt>
                <c:pt idx="5">
                  <c:v>Pulmonology</c:v>
                </c:pt>
                <c:pt idx="6">
                  <c:v>Surgery</c:v>
                </c:pt>
              </c:strCache>
            </c:strRef>
          </c:cat>
          <c:val>
            <c:numRef>
              <c:f>'Post-Survey Pivots'!$B$28:$H$28</c:f>
              <c:numCache>
                <c:formatCode>0%</c:formatCode>
                <c:ptCount val="7"/>
                <c:pt idx="0">
                  <c:v>7.4626865671641784E-2</c:v>
                </c:pt>
                <c:pt idx="1">
                  <c:v>5.9701492537313432E-2</c:v>
                </c:pt>
                <c:pt idx="3">
                  <c:v>0.18181818181818182</c:v>
                </c:pt>
                <c:pt idx="4">
                  <c:v>0.13636363636363635</c:v>
                </c:pt>
                <c:pt idx="6">
                  <c:v>0.19696969696969696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70-4E67-97F3-EACE9F598239}"/>
            </c:ext>
          </c:extLst>
        </c:ser>
        <c:ser>
          <c:idx val="3"/>
          <c:order val="3"/>
          <c:tx>
            <c:strRef>
              <c:f>'Post-Survey Pivots'!$A$29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'Post-Survey Pivots'!$B$25:$H$25</c:f>
              <c:strCache>
                <c:ptCount val="7"/>
                <c:pt idx="0">
                  <c:v>Cardiology</c:v>
                </c:pt>
                <c:pt idx="1">
                  <c:v>Dermatology</c:v>
                </c:pt>
                <c:pt idx="2">
                  <c:v>Infectious Disease</c:v>
                </c:pt>
                <c:pt idx="3">
                  <c:v>Neurology</c:v>
                </c:pt>
                <c:pt idx="4">
                  <c:v>Psychiatry</c:v>
                </c:pt>
                <c:pt idx="5">
                  <c:v>Pulmonology</c:v>
                </c:pt>
                <c:pt idx="6">
                  <c:v>Surgery</c:v>
                </c:pt>
              </c:strCache>
            </c:strRef>
          </c:cat>
          <c:val>
            <c:numRef>
              <c:f>'Post-Survey Pivots'!$B$29:$H$29</c:f>
              <c:numCache>
                <c:formatCode>0%</c:formatCode>
                <c:ptCount val="7"/>
                <c:pt idx="0">
                  <c:v>0.1044776119402985</c:v>
                </c:pt>
                <c:pt idx="1">
                  <c:v>0.13432835820895522</c:v>
                </c:pt>
                <c:pt idx="2">
                  <c:v>0.1044776119402985</c:v>
                </c:pt>
                <c:pt idx="3">
                  <c:v>0.21212121212121213</c:v>
                </c:pt>
                <c:pt idx="4">
                  <c:v>0.22727272727272727</c:v>
                </c:pt>
                <c:pt idx="5">
                  <c:v>1.5151515151515152E-2</c:v>
                </c:pt>
                <c:pt idx="6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70-4E67-97F3-EACE9F598239}"/>
            </c:ext>
          </c:extLst>
        </c:ser>
        <c:ser>
          <c:idx val="4"/>
          <c:order val="4"/>
          <c:tx>
            <c:strRef>
              <c:f>'Post-Survey Pivots'!$A$30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'Post-Survey Pivots'!$B$25:$H$25</c:f>
              <c:strCache>
                <c:ptCount val="7"/>
                <c:pt idx="0">
                  <c:v>Cardiology</c:v>
                </c:pt>
                <c:pt idx="1">
                  <c:v>Dermatology</c:v>
                </c:pt>
                <c:pt idx="2">
                  <c:v>Infectious Disease</c:v>
                </c:pt>
                <c:pt idx="3">
                  <c:v>Neurology</c:v>
                </c:pt>
                <c:pt idx="4">
                  <c:v>Psychiatry</c:v>
                </c:pt>
                <c:pt idx="5">
                  <c:v>Pulmonology</c:v>
                </c:pt>
                <c:pt idx="6">
                  <c:v>Surgery</c:v>
                </c:pt>
              </c:strCache>
            </c:strRef>
          </c:cat>
          <c:val>
            <c:numRef>
              <c:f>'Post-Survey Pivots'!$B$30:$H$30</c:f>
              <c:numCache>
                <c:formatCode>0%</c:formatCode>
                <c:ptCount val="7"/>
                <c:pt idx="0">
                  <c:v>0.34328358208955223</c:v>
                </c:pt>
                <c:pt idx="1">
                  <c:v>0.37313432835820898</c:v>
                </c:pt>
                <c:pt idx="2">
                  <c:v>0.22388059701492538</c:v>
                </c:pt>
                <c:pt idx="3">
                  <c:v>0.19696969696969696</c:v>
                </c:pt>
                <c:pt idx="4">
                  <c:v>0.2878787878787879</c:v>
                </c:pt>
                <c:pt idx="5">
                  <c:v>0.15151515151515152</c:v>
                </c:pt>
                <c:pt idx="6">
                  <c:v>0.15151515151515152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70-4E67-97F3-EACE9F598239}"/>
            </c:ext>
          </c:extLst>
        </c:ser>
        <c:ser>
          <c:idx val="5"/>
          <c:order val="5"/>
          <c:tx>
            <c:strRef>
              <c:f>'Post-Survey Pivots'!$A$31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'Post-Survey Pivots'!$B$25:$H$25</c:f>
              <c:strCache>
                <c:ptCount val="7"/>
                <c:pt idx="0">
                  <c:v>Cardiology</c:v>
                </c:pt>
                <c:pt idx="1">
                  <c:v>Dermatology</c:v>
                </c:pt>
                <c:pt idx="2">
                  <c:v>Infectious Disease</c:v>
                </c:pt>
                <c:pt idx="3">
                  <c:v>Neurology</c:v>
                </c:pt>
                <c:pt idx="4">
                  <c:v>Psychiatry</c:v>
                </c:pt>
                <c:pt idx="5">
                  <c:v>Pulmonology</c:v>
                </c:pt>
                <c:pt idx="6">
                  <c:v>Surgery</c:v>
                </c:pt>
              </c:strCache>
            </c:strRef>
          </c:cat>
          <c:val>
            <c:numRef>
              <c:f>'Post-Survey Pivots'!$B$31:$H$31</c:f>
              <c:numCache>
                <c:formatCode>0%</c:formatCode>
                <c:ptCount val="7"/>
                <c:pt idx="0">
                  <c:v>0.47761194029850745</c:v>
                </c:pt>
                <c:pt idx="1">
                  <c:v>0.38805970149253732</c:v>
                </c:pt>
                <c:pt idx="2">
                  <c:v>0.67164179104477617</c:v>
                </c:pt>
                <c:pt idx="3">
                  <c:v>0.33333333333333331</c:v>
                </c:pt>
                <c:pt idx="4">
                  <c:v>0.33333333333333331</c:v>
                </c:pt>
                <c:pt idx="5">
                  <c:v>0.83333333333333337</c:v>
                </c:pt>
                <c:pt idx="6">
                  <c:v>0.19696969696969696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70-4E67-97F3-EACE9F59823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18743824"/>
        <c:axId val="2087644608"/>
      </c:barChart>
      <c:catAx>
        <c:axId val="211874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644608"/>
        <c:crosses val="autoZero"/>
        <c:auto val="1"/>
        <c:lblAlgn val="ctr"/>
        <c:lblOffset val="100"/>
        <c:noMultiLvlLbl val="0"/>
      </c:catAx>
      <c:valAx>
        <c:axId val="208764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74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Pre-Survey Perceived Impact of CC on Each</a:t>
            </a:r>
            <a:r>
              <a:rPr lang="en-US" baseline="0"/>
              <a:t> Specialty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'Survey Summary Table Unmatched'!$L$1</c:f>
              <c:strCache>
                <c:ptCount val="1"/>
                <c:pt idx="0">
                  <c:v>Pre-Survey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'Survey Summary Table Unmatched'!$K$2:$K$8</c:f>
              <c:strCache>
                <c:ptCount val="7"/>
                <c:pt idx="0">
                  <c:v>Cardiology</c:v>
                </c:pt>
                <c:pt idx="1">
                  <c:v>Dermatology</c:v>
                </c:pt>
                <c:pt idx="2">
                  <c:v>Infectious Disease</c:v>
                </c:pt>
                <c:pt idx="3">
                  <c:v>Neurology</c:v>
                </c:pt>
                <c:pt idx="4">
                  <c:v>Psychiatry</c:v>
                </c:pt>
                <c:pt idx="5">
                  <c:v>Pulmonology</c:v>
                </c:pt>
                <c:pt idx="6">
                  <c:v>Surgery &amp; Subspecialties</c:v>
                </c:pt>
              </c:strCache>
            </c:strRef>
          </c:cat>
          <c:val>
            <c:numRef>
              <c:f>'Survey Summary Table Unmatched'!$L$2:$L$8</c:f>
              <c:numCache>
                <c:formatCode>0.000</c:formatCode>
                <c:ptCount val="7"/>
                <c:pt idx="0">
                  <c:v>3.7755102040816326</c:v>
                </c:pt>
                <c:pt idx="1">
                  <c:v>3.9183673469387754</c:v>
                </c:pt>
                <c:pt idx="2">
                  <c:v>4.3979591836734695</c:v>
                </c:pt>
                <c:pt idx="3">
                  <c:v>3.0412371134020617</c:v>
                </c:pt>
                <c:pt idx="4">
                  <c:v>3.5625</c:v>
                </c:pt>
                <c:pt idx="5">
                  <c:v>4.6020408163265305</c:v>
                </c:pt>
                <c:pt idx="6">
                  <c:v>2.795698924731183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D5-1D4E-A784-7248767D4F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761656223"/>
        <c:axId val="762132255"/>
      </c:barChart>
      <c:barChart>
        <c:barDir val="col"/>
        <c:grouping val="clustered"/>
        <c:varyColors val="0"/>
        <c:ser>
          <c:idx val="2"/>
          <c:order val="1"/>
          <c:tx>
            <c:strRef>
              <c:f>'Survey Summary Table Unmatched'!$P$1</c:f>
              <c:strCache>
                <c:ptCount val="1"/>
                <c:pt idx="0">
                  <c:v>% Possible Increase*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'Survey Summary Table Unmatched'!$K$2:$K$8</c:f>
              <c:strCache>
                <c:ptCount val="7"/>
                <c:pt idx="0">
                  <c:v>Cardiology</c:v>
                </c:pt>
                <c:pt idx="1">
                  <c:v>Dermatology</c:v>
                </c:pt>
                <c:pt idx="2">
                  <c:v>Infectious Disease</c:v>
                </c:pt>
                <c:pt idx="3">
                  <c:v>Neurology</c:v>
                </c:pt>
                <c:pt idx="4">
                  <c:v>Psychiatry</c:v>
                </c:pt>
                <c:pt idx="5">
                  <c:v>Pulmonology</c:v>
                </c:pt>
                <c:pt idx="6">
                  <c:v>Surgery &amp; Subspecialties</c:v>
                </c:pt>
              </c:strCache>
            </c:strRef>
          </c:cat>
          <c:val>
            <c:numRef>
              <c:f>'Survey Summary Table Unmatched'!$P$2:$P$8</c:f>
              <c:numCache>
                <c:formatCode>0%</c:formatCode>
                <c:ptCount val="7"/>
                <c:pt idx="0">
                  <c:v>0.3661691542288561</c:v>
                </c:pt>
                <c:pt idx="1">
                  <c:v>6.1672768234300443E-2</c:v>
                </c:pt>
                <c:pt idx="2">
                  <c:v>0.28105236529218353</c:v>
                </c:pt>
                <c:pt idx="3">
                  <c:v>0.24194577352472094</c:v>
                </c:pt>
                <c:pt idx="4">
                  <c:v>0.15678524374176561</c:v>
                </c:pt>
                <c:pt idx="5">
                  <c:v>0.54312354312354361</c:v>
                </c:pt>
                <c:pt idx="6">
                  <c:v>0.14079822616407972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D5-1D4E-A784-7248767D4F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839770575"/>
        <c:axId val="839008207"/>
      </c:barChart>
      <c:catAx>
        <c:axId val="76165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132255"/>
        <c:crosses val="autoZero"/>
        <c:auto val="1"/>
        <c:lblAlgn val="ctr"/>
        <c:lblOffset val="100"/>
        <c:noMultiLvlLbl val="0"/>
      </c:catAx>
      <c:valAx>
        <c:axId val="76213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656223"/>
        <c:crosses val="autoZero"/>
        <c:crossBetween val="between"/>
      </c:valAx>
      <c:valAx>
        <c:axId val="839008207"/>
        <c:scaling>
          <c:orientation val="minMax"/>
          <c:max val="1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770575"/>
        <c:crosses val="max"/>
        <c:crossBetween val="between"/>
      </c:valAx>
      <c:catAx>
        <c:axId val="8397705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90082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</a:t>
            </a:r>
            <a:r>
              <a:rPr lang="en-US" baseline="0"/>
              <a:t>-Survey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'Survey Summary Table Unmatched'!$M$1</c:f>
              <c:strCache>
                <c:ptCount val="1"/>
                <c:pt idx="0">
                  <c:v>Post-Survey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'Survey Summary Table Unmatched'!$K$2:$K$8</c:f>
              <c:strCache>
                <c:ptCount val="7"/>
                <c:pt idx="0">
                  <c:v>Cardiology</c:v>
                </c:pt>
                <c:pt idx="1">
                  <c:v>Dermatology</c:v>
                </c:pt>
                <c:pt idx="2">
                  <c:v>Infectious Disease</c:v>
                </c:pt>
                <c:pt idx="3">
                  <c:v>Neurology</c:v>
                </c:pt>
                <c:pt idx="4">
                  <c:v>Psychiatry</c:v>
                </c:pt>
                <c:pt idx="5">
                  <c:v>Pulmonology</c:v>
                </c:pt>
                <c:pt idx="6">
                  <c:v>Surgery &amp; Subspecialties</c:v>
                </c:pt>
              </c:strCache>
            </c:strRef>
          </c:cat>
          <c:val>
            <c:numRef>
              <c:f>'Survey Summary Table Unmatched'!$M$2:$M$8</c:f>
              <c:numCache>
                <c:formatCode>0.00</c:formatCode>
                <c:ptCount val="7"/>
                <c:pt idx="0">
                  <c:v>4.2238805970149258</c:v>
                </c:pt>
                <c:pt idx="1">
                  <c:v>3.9850746268656718</c:v>
                </c:pt>
                <c:pt idx="2">
                  <c:v>4.5671641791044779</c:v>
                </c:pt>
                <c:pt idx="3">
                  <c:v>3.5151515151515151</c:v>
                </c:pt>
                <c:pt idx="4">
                  <c:v>3.7878787878787881</c:v>
                </c:pt>
                <c:pt idx="5">
                  <c:v>4.8181818181818183</c:v>
                </c:pt>
                <c:pt idx="6">
                  <c:v>3.106060606060606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70-4C75-B4C1-D10981939E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100"/>
        <c:axId val="1586653952"/>
        <c:axId val="1848149360"/>
      </c:barChart>
      <c:barChart>
        <c:barDir val="col"/>
        <c:grouping val="stacked"/>
        <c:varyColors val="0"/>
        <c:ser>
          <c:idx val="1"/>
          <c:order val="1"/>
          <c:tx>
            <c:strRef>
              <c:f>'Survey Summary Table Unmatched'!$P$1</c:f>
              <c:strCache>
                <c:ptCount val="1"/>
                <c:pt idx="0">
                  <c:v>% Possible Increase*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'Survey Summary Table Unmatched'!$K$2:$K$8</c:f>
              <c:strCache>
                <c:ptCount val="7"/>
                <c:pt idx="0">
                  <c:v>Cardiology</c:v>
                </c:pt>
                <c:pt idx="1">
                  <c:v>Dermatology</c:v>
                </c:pt>
                <c:pt idx="2">
                  <c:v>Infectious Disease</c:v>
                </c:pt>
                <c:pt idx="3">
                  <c:v>Neurology</c:v>
                </c:pt>
                <c:pt idx="4">
                  <c:v>Psychiatry</c:v>
                </c:pt>
                <c:pt idx="5">
                  <c:v>Pulmonology</c:v>
                </c:pt>
                <c:pt idx="6">
                  <c:v>Surgery &amp; Subspecialties</c:v>
                </c:pt>
              </c:strCache>
            </c:strRef>
          </c:cat>
          <c:val>
            <c:numRef>
              <c:f>'Survey Summary Table Unmatched'!$P$2:$P$8</c:f>
              <c:numCache>
                <c:formatCode>0%</c:formatCode>
                <c:ptCount val="7"/>
                <c:pt idx="0">
                  <c:v>0.3661691542288561</c:v>
                </c:pt>
                <c:pt idx="1">
                  <c:v>6.1672768234300443E-2</c:v>
                </c:pt>
                <c:pt idx="2">
                  <c:v>0.28105236529218353</c:v>
                </c:pt>
                <c:pt idx="3">
                  <c:v>0.24194577352472094</c:v>
                </c:pt>
                <c:pt idx="4">
                  <c:v>0.15678524374176561</c:v>
                </c:pt>
                <c:pt idx="5">
                  <c:v>0.54312354312354361</c:v>
                </c:pt>
                <c:pt idx="6">
                  <c:v>0.14079822616407972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70-4C75-B4C1-D10981939E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100"/>
        <c:axId val="1845101632"/>
        <c:axId val="1848163280"/>
      </c:barChart>
      <c:catAx>
        <c:axId val="158665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149360"/>
        <c:crosses val="autoZero"/>
        <c:auto val="1"/>
        <c:lblAlgn val="ctr"/>
        <c:lblOffset val="100"/>
        <c:noMultiLvlLbl val="0"/>
      </c:catAx>
      <c:valAx>
        <c:axId val="1848149360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653952"/>
        <c:crosses val="autoZero"/>
        <c:crossBetween val="between"/>
      </c:valAx>
      <c:valAx>
        <c:axId val="1848163280"/>
        <c:scaling>
          <c:orientation val="minMax"/>
          <c:max val="1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101632"/>
        <c:crosses val="max"/>
        <c:crossBetween val="between"/>
      </c:valAx>
      <c:catAx>
        <c:axId val="1845101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48163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Perceived</a:t>
            </a:r>
            <a:r>
              <a:rPr lang="en-US" baseline="0"/>
              <a:t> Importance of EHH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'Survey Summary Table Unmatched'!$B$9</c:f>
              <c:strCache>
                <c:ptCount val="1"/>
                <c:pt idx="0">
                  <c:v>Pre-Survey 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'Survey Summary Table Unmatched'!$A$10:$A$15</c:f>
              <c:strCache>
                <c:ptCount val="6"/>
                <c:pt idx="0">
                  <c:v>Source of Drinking Water</c:v>
                </c:pt>
                <c:pt idx="1">
                  <c:v>Forest Fire Exposure</c:v>
                </c:pt>
                <c:pt idx="2">
                  <c:v>Access to Air Conditioning</c:v>
                </c:pt>
                <c:pt idx="3">
                  <c:v>Back-up for Power Outage</c:v>
                </c:pt>
                <c:pt idx="4">
                  <c:v>Access of Heat in Winter</c:v>
                </c:pt>
                <c:pt idx="5">
                  <c:v>Rural vs. Urban Living</c:v>
                </c:pt>
              </c:strCache>
            </c:strRef>
          </c:cat>
          <c:val>
            <c:numRef>
              <c:f>'Survey Summary Table Unmatched'!$B$10:$B$15</c:f>
              <c:numCache>
                <c:formatCode>0.000</c:formatCode>
                <c:ptCount val="6"/>
                <c:pt idx="0">
                  <c:v>3.2371134020618557</c:v>
                </c:pt>
                <c:pt idx="1">
                  <c:v>2.6736842105263157</c:v>
                </c:pt>
                <c:pt idx="2">
                  <c:v>3.1894736842105265</c:v>
                </c:pt>
                <c:pt idx="3">
                  <c:v>2.7311827956989245</c:v>
                </c:pt>
                <c:pt idx="4">
                  <c:v>3.59375</c:v>
                </c:pt>
                <c:pt idx="5">
                  <c:v>3.6631578947368419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FE-4DF9-AF2E-D0EE8915963C}"/>
            </c:ext>
          </c:extLst>
        </c:ser>
        <c:ser>
          <c:idx val="1"/>
          <c:order val="1"/>
          <c:tx>
            <c:strRef>
              <c:f>'Survey Summary Table Unmatched'!$C$9</c:f>
              <c:strCache>
                <c:ptCount val="1"/>
                <c:pt idx="0">
                  <c:v>Post-Survey 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'Survey Summary Table Unmatched'!$A$10:$A$15</c:f>
              <c:strCache>
                <c:ptCount val="6"/>
                <c:pt idx="0">
                  <c:v>Source of Drinking Water</c:v>
                </c:pt>
                <c:pt idx="1">
                  <c:v>Forest Fire Exposure</c:v>
                </c:pt>
                <c:pt idx="2">
                  <c:v>Access to Air Conditioning</c:v>
                </c:pt>
                <c:pt idx="3">
                  <c:v>Back-up for Power Outage</c:v>
                </c:pt>
                <c:pt idx="4">
                  <c:v>Access of Heat in Winter</c:v>
                </c:pt>
                <c:pt idx="5">
                  <c:v>Rural vs. Urban Living</c:v>
                </c:pt>
              </c:strCache>
            </c:strRef>
          </c:cat>
          <c:val>
            <c:numRef>
              <c:f>'Survey Summary Table Unmatched'!$C$10:$C$15</c:f>
              <c:numCache>
                <c:formatCode>0.00</c:formatCode>
                <c:ptCount val="6"/>
                <c:pt idx="0">
                  <c:v>4.0149253731343286</c:v>
                </c:pt>
                <c:pt idx="1">
                  <c:v>3.8636363636363638</c:v>
                </c:pt>
                <c:pt idx="2">
                  <c:v>3.91044776119403</c:v>
                </c:pt>
                <c:pt idx="3">
                  <c:v>3.4477611940298507</c:v>
                </c:pt>
                <c:pt idx="4">
                  <c:v>4.0746268656716422</c:v>
                </c:pt>
                <c:pt idx="5">
                  <c:v>4.3731343283582094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FE-4DF9-AF2E-D0EE89159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8000592"/>
        <c:axId val="1240247216"/>
      </c:barChart>
      <c:lineChart>
        <c:grouping val="standard"/>
        <c:varyColors val="0"/>
        <c:ser>
          <c:idx val="2"/>
          <c:order val="2"/>
          <c:tx>
            <c:strRef>
              <c:f>'Survey Summary Table Unmatched'!$F$9</c:f>
              <c:strCache>
                <c:ptCount val="1"/>
                <c:pt idx="0">
                  <c:v>Possible Improvement 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'Survey Summary Table Unmatched'!$A$10:$A$15</c:f>
              <c:strCache>
                <c:ptCount val="6"/>
                <c:pt idx="0">
                  <c:v>Source of Drinking Water</c:v>
                </c:pt>
                <c:pt idx="1">
                  <c:v>Forest Fire Exposure</c:v>
                </c:pt>
                <c:pt idx="2">
                  <c:v>Access to Air Conditioning</c:v>
                </c:pt>
                <c:pt idx="3">
                  <c:v>Back-up for Power Outage</c:v>
                </c:pt>
                <c:pt idx="4">
                  <c:v>Access of Heat in Winter</c:v>
                </c:pt>
                <c:pt idx="5">
                  <c:v>Rural vs. Urban Living</c:v>
                </c:pt>
              </c:strCache>
            </c:strRef>
          </c:cat>
          <c:val>
            <c:numRef>
              <c:f>'Survey Summary Table Unmatched'!$F$10:$F$15</c:f>
              <c:numCache>
                <c:formatCode>0%</c:formatCode>
                <c:ptCount val="6"/>
                <c:pt idx="0">
                  <c:v>0.44121497774286478</c:v>
                </c:pt>
                <c:pt idx="1">
                  <c:v>0.51151789387083513</c:v>
                </c:pt>
                <c:pt idx="2">
                  <c:v>0.39821242624088865</c:v>
                </c:pt>
                <c:pt idx="3">
                  <c:v>0.31583787225012383</c:v>
                </c:pt>
                <c:pt idx="4">
                  <c:v>0.34195688225539</c:v>
                </c:pt>
                <c:pt idx="5">
                  <c:v>0.53108473381125898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FE-4DF9-AF2E-D0EE89159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018368"/>
        <c:axId val="1240193456"/>
      </c:lineChart>
      <c:catAx>
        <c:axId val="192800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247216"/>
        <c:crosses val="autoZero"/>
        <c:auto val="1"/>
        <c:lblAlgn val="ctr"/>
        <c:lblOffset val="100"/>
        <c:noMultiLvlLbl val="0"/>
      </c:catAx>
      <c:valAx>
        <c:axId val="124024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000592"/>
        <c:crosses val="autoZero"/>
        <c:crossBetween val="between"/>
      </c:valAx>
      <c:valAx>
        <c:axId val="124019345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018368"/>
        <c:crosses val="max"/>
        <c:crossBetween val="between"/>
      </c:valAx>
      <c:catAx>
        <c:axId val="1926018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40193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Knowledge-Based Questions % Correct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'Survey Summary Table Unmatched'!$B$1</c:f>
              <c:strCache>
                <c:ptCount val="1"/>
                <c:pt idx="0">
                  <c:v>Pre-Survey 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'Survey Summary Table Unmatched'!$A$3:$A$5</c:f>
              <c:strCache>
                <c:ptCount val="3"/>
                <c:pt idx="0">
                  <c:v>Q4_1 - What is the approximate relative risk (RR) for developing asthma in children living in urban areas compared to those living in rural areas?</c:v>
                </c:pt>
                <c:pt idx="1">
                  <c:v>Q5 - Particulates of all sizes are suspended in the air we breathe. Which PM size is most dangerous to human health?</c:v>
                </c:pt>
                <c:pt idx="2">
                  <c:v>Q6 - What happens to particles that are &gt; 25 μm in diameter (PM &gt; 25) when we breath them in?</c:v>
                </c:pt>
              </c:strCache>
            </c:strRef>
          </c:cat>
          <c:val>
            <c:numRef>
              <c:f>'Survey Summary Table Unmatched'!$B$3:$B$5</c:f>
              <c:numCache>
                <c:formatCode>0%</c:formatCode>
                <c:ptCount val="3"/>
                <c:pt idx="0">
                  <c:v>0.31632653061224492</c:v>
                </c:pt>
                <c:pt idx="1">
                  <c:v>0.18367346938775511</c:v>
                </c:pt>
                <c:pt idx="2">
                  <c:v>0.2857142857142857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31-4590-B4EE-7C6AF26E002D}"/>
            </c:ext>
          </c:extLst>
        </c:ser>
        <c:ser>
          <c:idx val="1"/>
          <c:order val="1"/>
          <c:tx>
            <c:strRef>
              <c:f>'Survey Summary Table Unmatched'!$C$1</c:f>
              <c:strCache>
                <c:ptCount val="1"/>
                <c:pt idx="0">
                  <c:v>Post-Survey 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'Survey Summary Table Unmatched'!$A$3:$A$5</c:f>
              <c:strCache>
                <c:ptCount val="3"/>
                <c:pt idx="0">
                  <c:v>Q4_1 - What is the approximate relative risk (RR) for developing asthma in children living in urban areas compared to those living in rural areas?</c:v>
                </c:pt>
                <c:pt idx="1">
                  <c:v>Q5 - Particulates of all sizes are suspended in the air we breathe. Which PM size is most dangerous to human health?</c:v>
                </c:pt>
                <c:pt idx="2">
                  <c:v>Q6 - What happens to particles that are &gt; 25 μm in diameter (PM &gt; 25) when we breath them in?</c:v>
                </c:pt>
              </c:strCache>
            </c:strRef>
          </c:cat>
          <c:val>
            <c:numRef>
              <c:f>'Survey Summary Table Unmatched'!$C$3:$C$5</c:f>
              <c:numCache>
                <c:formatCode>0%</c:formatCode>
                <c:ptCount val="3"/>
                <c:pt idx="0">
                  <c:v>0.61194029850746268</c:v>
                </c:pt>
                <c:pt idx="1">
                  <c:v>0.68656716417910446</c:v>
                </c:pt>
                <c:pt idx="2">
                  <c:v>0.56716417910447758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31-4590-B4EE-7C6AF26E002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3435999"/>
        <c:axId val="769406335"/>
      </c:barChart>
      <c:catAx>
        <c:axId val="60343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406335"/>
        <c:crosses val="autoZero"/>
        <c:auto val="1"/>
        <c:lblAlgn val="ctr"/>
        <c:lblOffset val="100"/>
        <c:noMultiLvlLbl val="0"/>
      </c:catAx>
      <c:valAx>
        <c:axId val="76940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43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497417</xdr:colOff>
      <xdr:row>0</xdr:row>
      <xdr:rowOff>0</xdr:rowOff>
    </xdr:from>
    <xdr:to>
      <xdr:col>17</xdr:col>
      <xdr:colOff>738188</xdr:colOff>
      <xdr:row>13</xdr:row>
      <xdr:rowOff>158749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70C2E4-DBC1-A93B-9B54-A0A7343D0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7174</xdr:colOff>
      <xdr:row>0</xdr:row>
      <xdr:rowOff>189960</xdr:rowOff>
    </xdr:from>
    <xdr:to>
      <xdr:col>46</xdr:col>
      <xdr:colOff>755182</xdr:colOff>
      <xdr:row>25</xdr:row>
      <xdr:rowOff>66191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5C43C5-FC2C-1A8E-291E-19F674529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767560</xdr:colOff>
      <xdr:row>26</xdr:row>
      <xdr:rowOff>181640</xdr:rowOff>
    </xdr:from>
    <xdr:to>
      <xdr:col>47</xdr:col>
      <xdr:colOff>65474</xdr:colOff>
      <xdr:row>51</xdr:row>
      <xdr:rowOff>66012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89CEB5E-A474-1844-7E15-38E7863B8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1585</xdr:colOff>
      <xdr:row>0</xdr:row>
      <xdr:rowOff>4537</xdr:rowOff>
    </xdr:from>
    <xdr:to>
      <xdr:col>23</xdr:col>
      <xdr:colOff>526143</xdr:colOff>
      <xdr:row>4</xdr:row>
      <xdr:rowOff>90714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A1C346-B81C-221E-FFD1-9C0C89CD7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1166811</xdr:colOff>
      <xdr:row>4</xdr:row>
      <xdr:rowOff>263072</xdr:rowOff>
    </xdr:from>
    <xdr:to>
      <xdr:col>23</xdr:col>
      <xdr:colOff>525009</xdr:colOff>
      <xdr:row>8</xdr:row>
      <xdr:rowOff>144010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E14C38-1481-280D-B2DE-72A7A82333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349248</xdr:colOff>
      <xdr:row>8</xdr:row>
      <xdr:rowOff>41274</xdr:rowOff>
    </xdr:from>
    <xdr:to>
      <xdr:col>12</xdr:col>
      <xdr:colOff>47623</xdr:colOff>
      <xdr:row>15</xdr:row>
      <xdr:rowOff>920749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589346F-5839-B6FF-0D90-5F8FA9AAA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492124</xdr:colOff>
      <xdr:row>1</xdr:row>
      <xdr:rowOff>412750</xdr:rowOff>
    </xdr:from>
    <xdr:to>
      <xdr:col>9</xdr:col>
      <xdr:colOff>436562</xdr:colOff>
      <xdr:row>5</xdr:row>
      <xdr:rowOff>319882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1C1853-4B42-84DE-D5DA-3587BA61A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Garyantes" refreshedDate="45181.688216898146" createdVersion="8" refreshedVersion="8" minRefreshableVersion="3" recordCount="70" xr:uid="{1627F0A1-E119-4B4C-9320-673EE82969F2}">
  <cacheSource type="worksheet">
    <worksheetSource name="Table_EH_Post_Survey_May_22__2023_11_00"/>
  </cacheSource>
  <cacheFields count="44">
    <cacheField name="StartDate - Start Date" numFmtId="0">
      <sharedItems/>
    </cacheField>
    <cacheField name="EndDate - End Date" numFmtId="0">
      <sharedItems/>
    </cacheField>
    <cacheField name="Status - Response Type" numFmtId="0">
      <sharedItems/>
    </cacheField>
    <cacheField name="IPAddress - IP Address" numFmtId="0">
      <sharedItems/>
    </cacheField>
    <cacheField name="Progress - Progress" numFmtId="0">
      <sharedItems/>
    </cacheField>
    <cacheField name="Duration (in seconds) - Duration (in seconds)" numFmtId="0">
      <sharedItems containsMixedTypes="1" containsNumber="1" containsInteger="1" minValue="49" maxValue="3436"/>
    </cacheField>
    <cacheField name="Column1" numFmtId="0">
      <sharedItems containsString="0" containsBlank="1" containsNumber="1" containsInteger="1" minValue="49" maxValue="3436"/>
    </cacheField>
    <cacheField name="Finished - Finished" numFmtId="0">
      <sharedItems/>
    </cacheField>
    <cacheField name="RecordedDate - Recorded Date" numFmtId="0">
      <sharedItems/>
    </cacheField>
    <cacheField name="ResponseId - Response ID" numFmtId="0">
      <sharedItems/>
    </cacheField>
    <cacheField name="RecipientLastName - Recipient Last Name" numFmtId="0">
      <sharedItems/>
    </cacheField>
    <cacheField name="RecipientFirstName - Recipient First Name" numFmtId="0">
      <sharedItems/>
    </cacheField>
    <cacheField name="RecipientEmail - Recipient Email" numFmtId="0">
      <sharedItems/>
    </cacheField>
    <cacheField name="ExternalReference - External Data Reference" numFmtId="0">
      <sharedItems/>
    </cacheField>
    <cacheField name="LocationLatitude - Location Latitude" numFmtId="0">
      <sharedItems/>
    </cacheField>
    <cacheField name="LocationLongitude - Location Longitude" numFmtId="0">
      <sharedItems/>
    </cacheField>
    <cacheField name="DistributionChannel - Distribution Channel" numFmtId="0">
      <sharedItems/>
    </cacheField>
    <cacheField name="UserLanguage - User Language" numFmtId="0">
      <sharedItems/>
    </cacheField>
    <cacheField name="Q1 - NetID" numFmtId="0">
      <sharedItems/>
    </cacheField>
    <cacheField name="Q2" numFmtId="0">
      <sharedItems containsMixedTypes="1" containsNumber="1" containsInteger="1" minValue="2" maxValue="5"/>
    </cacheField>
    <cacheField name="Q3_1" numFmtId="0">
      <sharedItems containsMixedTypes="1" containsNumber="1" containsInteger="1" minValue="2" maxValue="5" count="7">
        <s v="Q3_1 - For each of the following specialties,  impacted by climate change, do you believe each of the following specialties will be? (Please rank on a scale of 0 - 5) - Cardiology"/>
        <s v="Q3_1"/>
        <s v="For each of the following specialties,  impacted by climate change, do you believe each of the following specialties will be? (Please rank on a scale of 0 - 5) - Cardiology"/>
        <n v="5"/>
        <n v="3"/>
        <n v="2"/>
        <n v="4"/>
      </sharedItems>
    </cacheField>
    <cacheField name="Q3_2" numFmtId="0">
      <sharedItems containsMixedTypes="1" containsNumber="1" containsInteger="1" minValue="0" maxValue="5" count="9">
        <s v="Q3_2 - For each of the following specialties,  impacted by climate change, do you believe each of the following specialties will be? (Please rank on a scale of 0 - 5) - Dermatology"/>
        <s v="Q3_2"/>
        <s v="For each of the following specialties,  impacted by climate change, do you believe each of the following specialties will be? (Please rank on a scale of 0 - 5) - Dermatology"/>
        <n v="5"/>
        <n v="3"/>
        <n v="4"/>
        <n v="2"/>
        <n v="1"/>
        <n v="0"/>
      </sharedItems>
    </cacheField>
    <cacheField name="Q3_3" numFmtId="0">
      <sharedItems containsMixedTypes="1" containsNumber="1" containsInteger="1" minValue="3" maxValue="5" count="6">
        <s v="Q3_3 - For each of the following specialties,  impacted by climate change, do you believe each of the following specialties will be? (Please rank on a scale of 0 - 5) - Infectious Disease"/>
        <s v="Q3_3"/>
        <s v="For each of the following specialties,  impacted by climate change, do you believe each of the following specialties will be? (Please rank on a scale of 0 - 5) - Infectious Disease"/>
        <n v="5"/>
        <n v="4"/>
        <n v="3"/>
      </sharedItems>
    </cacheField>
    <cacheField name="Q3_4" numFmtId="0">
      <sharedItems containsBlank="1" containsMixedTypes="1" containsNumber="1" containsInteger="1" minValue="0" maxValue="5" count="10">
        <s v="Q3_4 - For each of the following specialties,  impacted by climate change, do you believe each of the following specialties will be? (Please rank on a scale of 0 - 5) - Neurology"/>
        <s v="Q3_4"/>
        <s v="For each of the following specialties,  impacted by climate change, do you believe each of the following specialties will be? (Please rank on a scale of 0 - 5) - Neurology"/>
        <n v="5"/>
        <n v="4"/>
        <n v="3"/>
        <n v="2"/>
        <n v="1"/>
        <m/>
        <n v="0"/>
      </sharedItems>
    </cacheField>
    <cacheField name="Q3_5" numFmtId="0">
      <sharedItems containsBlank="1" containsMixedTypes="1" containsNumber="1" containsInteger="1" minValue="1" maxValue="5" count="9">
        <s v="Q3_5 - For each of the following specialties,  impacted by climate change, do you believe each of the following specialties will be? (Please rank on a scale of 0 - 5) - Psychiatry"/>
        <s v="Q3_5"/>
        <s v="For each of the following specialties,  impacted by climate change, do you believe each of the following specialties will be? (Please rank on a scale of 0 - 5) - Psychiatry"/>
        <n v="5"/>
        <n v="4"/>
        <n v="3"/>
        <n v="2"/>
        <n v="1"/>
        <m/>
      </sharedItems>
    </cacheField>
    <cacheField name="Q3_6" numFmtId="0">
      <sharedItems containsBlank="1" containsMixedTypes="1" containsNumber="1" containsInteger="1" minValue="3" maxValue="5" count="7">
        <s v="Q3_6 - For each of the following specialties,  impacted by climate change, do you believe each of the following specialties will be? (Please rank on a scale of 0 - 5) - Pulmonology"/>
        <s v="Q3_6"/>
        <s v="For each of the following specialties,  impacted by climate change, do you believe each of the following specialties will be? (Please rank on a scale of 0 - 5) - Pulmonology"/>
        <n v="5"/>
        <n v="4"/>
        <m/>
        <n v="3"/>
      </sharedItems>
    </cacheField>
    <cacheField name="Q3_7" numFmtId="0">
      <sharedItems containsBlank="1" containsMixedTypes="1" containsNumber="1" containsInteger="1" minValue="1" maxValue="5" count="9">
        <s v="Q3_7 - For each of the following specialties,  impacted by climate change, do you believe each of the following specialties will be? (Please rank on a scale of 0 - 5) - Surgery &amp; Subspecialties"/>
        <s v="Q3_7"/>
        <s v="For each of the following specialties,  impacted by climate change, do you believe each of the following specialties will be? (Please rank on a scale of 0 - 5) - Surgery &amp; Subspecialties"/>
        <n v="5"/>
        <n v="3"/>
        <n v="2"/>
        <n v="1"/>
        <m/>
        <n v="4"/>
      </sharedItems>
    </cacheField>
    <cacheField name="Q4_1" numFmtId="0">
      <sharedItems containsBlank="1" containsMixedTypes="1" containsNumber="1" minValue="1" maxValue="5"/>
    </cacheField>
    <cacheField name="Q4 Responses Coded" numFmtId="0">
      <sharedItems containsSemiMixedTypes="0" containsString="0" containsNumber="1" minValue="0" maxValue="1"/>
    </cacheField>
    <cacheField name="Q5 " numFmtId="0">
      <sharedItems longText="1"/>
    </cacheField>
    <cacheField name="Q5 Responses Coded" numFmtId="0">
      <sharedItems containsSemiMixedTypes="0" containsString="0" containsNumber="1" containsInteger="1" minValue="0" maxValue="1"/>
    </cacheField>
    <cacheField name="Q6" numFmtId="0">
      <sharedItems/>
    </cacheField>
    <cacheField name="Q6 Responses Coded" numFmtId="0">
      <sharedItems containsSemiMixedTypes="0" containsString="0" containsNumber="1" containsInteger="1" minValue="0" maxValue="1"/>
    </cacheField>
    <cacheField name="Q7" numFmtId="0">
      <sharedItems/>
    </cacheField>
    <cacheField name="Q7 Responses Coded" numFmtId="0">
      <sharedItems containsSemiMixedTypes="0" containsString="0" containsNumber="1" containsInteger="1" minValue="0" maxValue="4"/>
    </cacheField>
    <cacheField name="Q8_1" numFmtId="0">
      <sharedItems containsMixedTypes="1" containsNumber="1" containsInteger="1" minValue="1" maxValue="5" count="8">
        <s v="Q8_1 - Please rate how likely you are to ascertaining exposure to each of the following potential environmental health risk factors in your future patients? - Source of Drinking Water"/>
        <s v="Q8_1"/>
        <s v="Please rate how likely you are to ascertaining exposure to each of the following potential environmental health risk factors in your future patients? - Source of Drinking Water"/>
        <n v="2"/>
        <n v="5"/>
        <n v="3"/>
        <n v="4"/>
        <n v="1"/>
      </sharedItems>
    </cacheField>
    <cacheField name="Q8_2" numFmtId="0">
      <sharedItems containsBlank="1" containsMixedTypes="1" containsNumber="1" containsInteger="1" minValue="1" maxValue="5" count="9">
        <s v="Q8_2 - Please rate how likely you are to ascertaining exposure to each of the following potential environmental health risk factors in your future patients? - Forest Fire Exposure"/>
        <s v="Q8_2"/>
        <s v="Please rate how likely you are to ascertaining exposure to each of the following potential environmental health risk factors in your future patients? - Forest Fire Exposure"/>
        <n v="1"/>
        <n v="5"/>
        <n v="3"/>
        <n v="4"/>
        <n v="2"/>
        <m/>
      </sharedItems>
    </cacheField>
    <cacheField name="Q8_3" numFmtId="0">
      <sharedItems containsMixedTypes="1" containsNumber="1" containsInteger="1" minValue="1" maxValue="5" count="8">
        <s v="Q8_3 - Please rate how likely you are to ascertaining exposure to each of the following potential environmental health risk factors in your future patients? - Access to Air Conditioning"/>
        <s v="Q8_3"/>
        <s v="Please rate how likely you are to ascertaining exposure to each of the following potential environmental health risk factors in your future patients? - Access to Air Conditioning"/>
        <n v="3"/>
        <n v="5"/>
        <n v="4"/>
        <n v="2"/>
        <n v="1"/>
      </sharedItems>
    </cacheField>
    <cacheField name="Q8_4" numFmtId="0">
      <sharedItems containsMixedTypes="1" containsNumber="1" containsInteger="1" minValue="1" maxValue="5" count="8">
        <s v="Q8_4 - Please rate how likely you are to ascertaining exposure to each of the following potential environmental health risk factors in your future patients? - Back-up for Power Outage"/>
        <s v="Q8_4"/>
        <s v="Please rate how likely you are to ascertaining exposure to each of the following potential environmental health risk factors in your future patients? - Back-up for Power Outage"/>
        <n v="2"/>
        <n v="5"/>
        <n v="4"/>
        <n v="3"/>
        <n v="1"/>
      </sharedItems>
    </cacheField>
    <cacheField name="Q8_5" numFmtId="0">
      <sharedItems containsMixedTypes="1" containsNumber="1" containsInteger="1" minValue="1" maxValue="5" count="8">
        <s v="Q8_5 - Please rate how likely you are to ascertaining exposure to each of the following potential environmental health risk factors in your future patients? - Access of Heat in Winter"/>
        <s v="Q8_5"/>
        <s v="Please rate how likely you are to ascertaining exposure to each of the following potential environmental health risk factors in your future patients? - Access of Heat in Winter"/>
        <n v="3"/>
        <n v="5"/>
        <n v="4"/>
        <n v="1"/>
        <n v="2"/>
      </sharedItems>
    </cacheField>
    <cacheField name="Q8_6" numFmtId="0">
      <sharedItems containsMixedTypes="1" containsNumber="1" containsInteger="1" minValue="1" maxValue="5" count="8">
        <s v="Q8_6 - Please rate how likely you are to ascertaining exposure to each of the following potential environmental health risk factors in your future patients? - Rural vs. Urban Living"/>
        <s v="Q8_6"/>
        <s v="Please rate how likely you are to ascertaining exposure to each of the following potential environmental health risk factors in your future patients? - Rural vs. Urban Living"/>
        <n v="2"/>
        <n v="5"/>
        <n v="4"/>
        <n v="3"/>
        <n v="1"/>
      </sharedItems>
    </cacheField>
    <cacheField name="Q9_1" numFmtId="0">
      <sharedItems containsBlank="1" containsMixedTypes="1" containsNumber="1" containsInteger="1" minValue="3" maxValue="10" count="11">
        <s v="Q9_1 - How important do you believe that taking an environmental health history (please reference previous question) is for primary care physicians? - Not at all important"/>
        <s v="Q9_1"/>
        <s v="How important do you believe that taking an environmental health history (please reference previous question) is for primary care physicians? - Not at all important"/>
        <n v="10"/>
        <n v="9"/>
        <n v="8"/>
        <n v="6"/>
        <n v="7"/>
        <n v="3"/>
        <m/>
        <n v="5"/>
      </sharedItems>
    </cacheField>
    <cacheField name="Q10 (Pre-Survey)" numFmtId="0">
      <sharedItems containsBlank="1"/>
    </cacheField>
    <cacheField name="Column4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s v="StartDate - Start Date"/>
    <s v="EndDate - End Date"/>
    <s v="Status - Response Type"/>
    <s v="IPAddress - IP Address"/>
    <s v="Progress - Progress"/>
    <s v="Duration (in seconds) - Duration (in seconds)"/>
    <m/>
    <s v="Finished - Finished"/>
    <s v="RecordedDate - Recorded Date"/>
    <s v="ResponseId - Response ID"/>
    <s v="RecipientLastName - Recipient Last Name"/>
    <s v="RecipientFirstName - Recipient First Name"/>
    <s v="RecipientEmail - Recipient Email"/>
    <s v="ExternalReference - External Data Reference"/>
    <s v="LocationLatitude - Location Latitude"/>
    <s v="LocationLongitude - Location Longitude"/>
    <s v="DistributionChannel - Distribution Channel"/>
    <s v="UserLanguage - User Language"/>
    <s v="Q1 - NetID"/>
    <s v="Q2_1 - How much of an impact do you believe that climate change will have on human health in your lifetime? - Impact"/>
    <x v="0"/>
    <x v="0"/>
    <x v="0"/>
    <x v="0"/>
    <x v="0"/>
    <x v="0"/>
    <x v="0"/>
    <s v="Q4_1 - What is the approximate relative risk (RR) for developing asthma in children living in urban areas compared to those living in rural areas? (RR = Urban Risk/Rural Risk) - Relative Risk"/>
    <n v="0"/>
    <s v="Q5 - Particulates of all sizes are suspended in the air we breathe. “PM #” indicates all particulate matter (PM) below a certain diameter (#).  So, PM 70 would indicate all particulates _x000a__x000a_ Which PM size is most dangerous to human health?_x000a__x000a__x000a_ **Halfway…it’s all down hill from here**"/>
    <n v="0"/>
    <s v="Q6 - What happens to particles that are &gt; 25 μm in diameter (PM &gt; 25) when we breath them in?"/>
    <n v="0"/>
    <s v="Q7 - Which of the following sources can emit PM 2.5? (check all that apply)"/>
    <n v="0"/>
    <x v="0"/>
    <x v="0"/>
    <x v="0"/>
    <x v="0"/>
    <x v="0"/>
    <x v="0"/>
    <x v="0"/>
    <s v="Q10 - Please describe any area of environmental medicine you would be interested in learning more about! (Can include topics covered in the EH lecture)"/>
    <m/>
  </r>
  <r>
    <s v="StartDate"/>
    <s v="EndDate"/>
    <s v="Status"/>
    <s v="IPAddress"/>
    <s v="Progress"/>
    <s v="Duration (in seconds)"/>
    <m/>
    <s v="Finished"/>
    <s v="RecordedDate"/>
    <s v="ResponseId"/>
    <s v="RecipientLastName"/>
    <s v="RecipientFirstName"/>
    <s v="RecipientEmail"/>
    <s v="ExternalReference"/>
    <s v="LocationLatitude"/>
    <s v="LocationLongitude"/>
    <s v="DistributionChannel"/>
    <s v="UserLanguage"/>
    <s v="Q1"/>
    <s v="Q2_1"/>
    <x v="1"/>
    <x v="1"/>
    <x v="1"/>
    <x v="1"/>
    <x v="1"/>
    <x v="1"/>
    <x v="1"/>
    <s v="Q4_1"/>
    <n v="0"/>
    <s v="Q5"/>
    <n v="0"/>
    <s v="Q6"/>
    <n v="0"/>
    <s v="Q7"/>
    <n v="0"/>
    <x v="1"/>
    <x v="1"/>
    <x v="1"/>
    <x v="1"/>
    <x v="1"/>
    <x v="1"/>
    <x v="1"/>
    <s v="Q10"/>
    <m/>
  </r>
  <r>
    <s v="Start Date"/>
    <s v="End Date"/>
    <s v="Response Type"/>
    <s v="IP Address"/>
    <s v="Progress"/>
    <s v="Duration (in seconds)"/>
    <m/>
    <s v="Finished"/>
    <s v="Recorded Date"/>
    <s v="Response ID"/>
    <s v="Recipient Last Name"/>
    <s v="Recipient First Name"/>
    <s v="Recipient Email"/>
    <s v="External Data Reference"/>
    <s v="Location Latitude"/>
    <s v="Location Longitude"/>
    <s v="Distribution Channel"/>
    <s v="User Language"/>
    <s v="NetID"/>
    <s v="How much of an impact do you believe that climate change will have on human health in your lifetime? - Impact"/>
    <x v="2"/>
    <x v="2"/>
    <x v="2"/>
    <x v="2"/>
    <x v="2"/>
    <x v="2"/>
    <x v="2"/>
    <s v="What is the approximate relative risk (RR) for developing asthma in children living in urban areas compared to those living in rural areas? (RR = Urban Risk/Rural Risk) - Relative Risk"/>
    <n v="0"/>
    <s v="Particulates of all sizes are suspended in the air we breathe. “PM #” indicates all particulate matter (PM) below a certain diameter (#).  So, PM 70 would indicate all particulates _x000a__x000a_ Which PM size is most dangerous to human health?_x000a__x000a__x000a_ **Halfway…it’s all down hill from here**"/>
    <n v="0"/>
    <s v="What happens to particles that are &gt; 25 μm in diameter (PM &gt; 25) when we breath them in?"/>
    <n v="0"/>
    <s v="Which of the following sources can emit PM 2.5? (check all that apply)"/>
    <n v="0"/>
    <x v="2"/>
    <x v="2"/>
    <x v="2"/>
    <x v="2"/>
    <x v="2"/>
    <x v="2"/>
    <x v="2"/>
    <s v="Please describe any area of environmental medicine you would be interested in learning more about! (Can include topics covered in the EH lecture)"/>
    <m/>
  </r>
  <r>
    <s v="2023-04-11 10:46:36"/>
    <s v="2023-04-11 10:57:34"/>
    <s v="IP Address"/>
    <s v="130.219.10.90"/>
    <s v="100"/>
    <n v="658"/>
    <n v="658"/>
    <s v="True"/>
    <s v="2023-04-11 10:57:35"/>
    <s v="R_37zKeZNZaxh3pKx"/>
    <s v=""/>
    <s v=""/>
    <s v=""/>
    <s v=""/>
    <s v="40.7337"/>
    <s v="-74.1939"/>
    <s v="qr"/>
    <s v="EN"/>
    <s v="Ym484"/>
    <n v="5"/>
    <x v="3"/>
    <x v="3"/>
    <x v="3"/>
    <x v="3"/>
    <x v="3"/>
    <x v="3"/>
    <x v="3"/>
    <n v="3"/>
    <n v="1"/>
    <s v="PM &lt; 0.25 μm"/>
    <n v="0"/>
    <s v="Particles of this size are generally absorbed in the respiratory tract and safely excreted in mucus."/>
    <n v="1"/>
    <s v="Cars,Dirt Roads,Electric Vehicles,Fireplaces,Pollen,Trucks"/>
    <n v="2"/>
    <x v="3"/>
    <x v="3"/>
    <x v="3"/>
    <x v="3"/>
    <x v="3"/>
    <x v="3"/>
    <x v="3"/>
    <s v="Microplastics!"/>
    <s v="Environmental Exposures"/>
  </r>
  <r>
    <s v="2023-04-11 14:14:19"/>
    <s v="2023-04-11 14:15:40"/>
    <s v="IP Address"/>
    <s v="128.6.37.194"/>
    <s v="100"/>
    <n v="81"/>
    <n v="81"/>
    <s v="True"/>
    <s v="2023-04-11 14:15:41"/>
    <s v="R_217fgu7pDTjNTko"/>
    <s v=""/>
    <s v=""/>
    <s v=""/>
    <s v=""/>
    <s v="40.488"/>
    <s v="-74.4544"/>
    <s v="anonymous"/>
    <s v="EN"/>
    <s v="yh645"/>
    <n v="5"/>
    <x v="3"/>
    <x v="3"/>
    <x v="3"/>
    <x v="3"/>
    <x v="3"/>
    <x v="3"/>
    <x v="3"/>
    <n v="2.5"/>
    <n v="0.5"/>
    <s v="PM &lt; 0.25 μm"/>
    <n v="0"/>
    <s v="Particles of this size are generally absorbed in the respiratory tract and safely excreted in mucus."/>
    <n v="1"/>
    <s v="Cars,Electric Vehicles,Fireplaces,Trucks"/>
    <n v="2"/>
    <x v="4"/>
    <x v="4"/>
    <x v="4"/>
    <x v="4"/>
    <x v="4"/>
    <x v="4"/>
    <x v="3"/>
    <m/>
    <m/>
  </r>
  <r>
    <s v="2023-04-12 12:39:34"/>
    <s v="2023-04-12 12:42:01"/>
    <s v="IP Address"/>
    <s v="130.219.10.90"/>
    <s v="100"/>
    <n v="146"/>
    <n v="146"/>
    <s v="True"/>
    <s v="2023-04-12 12:42:01"/>
    <s v="R_2Svq6QRlIwooHgN"/>
    <s v=""/>
    <s v=""/>
    <s v=""/>
    <s v=""/>
    <s v="40.7337"/>
    <s v="-74.1939"/>
    <s v="anonymous"/>
    <s v="EN"/>
    <s v="uz14"/>
    <n v="5"/>
    <x v="3"/>
    <x v="3"/>
    <x v="3"/>
    <x v="3"/>
    <x v="3"/>
    <x v="3"/>
    <x v="4"/>
    <n v="3"/>
    <n v="1"/>
    <s v="PM &lt; 0.25 μm"/>
    <n v="0"/>
    <s v="Particles of this size reach the bronchial tree where they corrode the alveolar parenchyma."/>
    <n v="0"/>
    <s v="Cars,Electric Vehicles,Fireplaces,Trucks"/>
    <n v="2"/>
    <x v="4"/>
    <x v="5"/>
    <x v="5"/>
    <x v="5"/>
    <x v="5"/>
    <x v="4"/>
    <x v="4"/>
    <s v=""/>
    <m/>
  </r>
  <r>
    <s v="2023-04-13 09:58:33"/>
    <s v="2023-04-13 10:00:22"/>
    <s v="IP Address"/>
    <s v="24.186.211.30"/>
    <s v="100"/>
    <n v="108"/>
    <n v="108"/>
    <s v="True"/>
    <s v="2023-04-13 10:00:23"/>
    <s v="R_D29OVQinA0uzcVX"/>
    <s v=""/>
    <s v=""/>
    <s v=""/>
    <s v=""/>
    <s v="40.9129"/>
    <s v="-74.1627"/>
    <s v="anonymous"/>
    <s v="EN"/>
    <s v="tw592"/>
    <n v="4"/>
    <x v="4"/>
    <x v="4"/>
    <x v="3"/>
    <x v="4"/>
    <x v="4"/>
    <x v="3"/>
    <x v="4"/>
    <n v="4"/>
    <n v="0"/>
    <s v="PM &lt; 2.5 μm"/>
    <n v="1"/>
    <s v="Particles of this size reach the bronchial tree where they corrode the alveolar parenchyma."/>
    <n v="0"/>
    <s v="Cars,Fireplaces,Trucks"/>
    <n v="3"/>
    <x v="4"/>
    <x v="5"/>
    <x v="4"/>
    <x v="5"/>
    <x v="4"/>
    <x v="5"/>
    <x v="5"/>
    <s v=""/>
    <m/>
  </r>
  <r>
    <s v="2023-04-13 10:21:58"/>
    <s v="2023-04-13 10:25:21"/>
    <s v="IP Address"/>
    <s v="128.6.36.198"/>
    <s v="100"/>
    <n v="203"/>
    <n v="203"/>
    <s v="True"/>
    <s v="2023-04-13 10:25:22"/>
    <s v="R_XmL3TjQciZxGjrb"/>
    <s v=""/>
    <s v=""/>
    <s v=""/>
    <s v=""/>
    <s v="40.488"/>
    <s v="-74.4544"/>
    <s v="anonymous"/>
    <s v="EN"/>
    <s v="Sph108"/>
    <n v="4"/>
    <x v="5"/>
    <x v="5"/>
    <x v="3"/>
    <x v="5"/>
    <x v="5"/>
    <x v="3"/>
    <x v="5"/>
    <n v="3.5"/>
    <n v="0.5"/>
    <s v="PM &lt; 0.25 μm"/>
    <n v="0"/>
    <s v="Particles of this size reach the bronchial tree where they corrode the alveolar parenchyma."/>
    <n v="0"/>
    <s v="Cars,Dirt Roads,Fireplaces,Trucks"/>
    <n v="4"/>
    <x v="5"/>
    <x v="3"/>
    <x v="6"/>
    <x v="3"/>
    <x v="6"/>
    <x v="5"/>
    <x v="5"/>
    <s v="N/A"/>
    <m/>
  </r>
  <r>
    <s v="2023-04-13 11:17:45"/>
    <s v="2023-04-13 11:18:58"/>
    <s v="IP Address"/>
    <s v="128.6.37.158"/>
    <s v="100"/>
    <n v="72"/>
    <n v="72"/>
    <s v="True"/>
    <s v="2023-04-13 11:18:58"/>
    <s v="R_1hGZD5uzjn1noL8"/>
    <s v=""/>
    <s v=""/>
    <s v=""/>
    <s v=""/>
    <s v="40.7265"/>
    <s v="-74.1782"/>
    <s v="anonymous"/>
    <s v="EN"/>
    <s v="Sp2098"/>
    <n v="5"/>
    <x v="6"/>
    <x v="3"/>
    <x v="3"/>
    <x v="4"/>
    <x v="4"/>
    <x v="3"/>
    <x v="4"/>
    <n v="3"/>
    <n v="1"/>
    <s v="PM &lt; 2.5 μm"/>
    <n v="1"/>
    <s v="Particles of this size are generally absorbed in the respiratory tract and safely excreted in mucus."/>
    <n v="1"/>
    <s v="Cars,Dirt Roads,Electric Vehicles,Fireplaces,Pollen,Trucks"/>
    <n v="2"/>
    <x v="6"/>
    <x v="6"/>
    <x v="5"/>
    <x v="5"/>
    <x v="4"/>
    <x v="4"/>
    <x v="3"/>
    <s v=""/>
    <m/>
  </r>
  <r>
    <s v="2023-04-13 11:08:39"/>
    <s v="2023-04-13 11:18:21"/>
    <s v="IP Address"/>
    <s v="130.219.10.90"/>
    <s v="100"/>
    <n v="581"/>
    <n v="581"/>
    <s v="True"/>
    <s v="2023-04-13 11:18:21"/>
    <s v="R_2uPS1j9gpQcBtY4"/>
    <s v=""/>
    <s v=""/>
    <s v=""/>
    <s v=""/>
    <s v="40.7337"/>
    <s v="-74.1939"/>
    <s v="anonymous"/>
    <s v="EN"/>
    <s v="Sm2718"/>
    <n v="5"/>
    <x v="4"/>
    <x v="3"/>
    <x v="3"/>
    <x v="5"/>
    <x v="4"/>
    <x v="4"/>
    <x v="4"/>
    <n v="3"/>
    <n v="1"/>
    <s v="PM &lt; 2.5 μm"/>
    <n v="1"/>
    <s v="Particles of this diameter are unable to be suspended in air."/>
    <n v="0"/>
    <s v="Dirt Roads,Fireplaces"/>
    <n v="2"/>
    <x v="5"/>
    <x v="4"/>
    <x v="3"/>
    <x v="5"/>
    <x v="5"/>
    <x v="6"/>
    <x v="3"/>
    <s v=""/>
    <m/>
  </r>
  <r>
    <s v="2023-04-11 10:47:56"/>
    <s v="2023-04-11 10:48:51"/>
    <s v="IP Address"/>
    <s v="128.6.36.126"/>
    <s v="100"/>
    <n v="54"/>
    <n v="54"/>
    <s v="True"/>
    <s v="2023-04-11 10:48:51"/>
    <s v="R_R49baP8IxTxvX8J"/>
    <s v=""/>
    <s v=""/>
    <s v=""/>
    <s v=""/>
    <s v="40.488"/>
    <s v="-74.4544"/>
    <s v="qr"/>
    <s v="EN"/>
    <s v="Sje67"/>
    <n v="5"/>
    <x v="3"/>
    <x v="5"/>
    <x v="3"/>
    <x v="3"/>
    <x v="3"/>
    <x v="3"/>
    <x v="4"/>
    <n v="2.5"/>
    <n v="0.5"/>
    <s v="PM &lt; 2.5 μm"/>
    <n v="1"/>
    <s v="Particles of this size include dust and pollen and are the main source of seasonal rhinitis"/>
    <n v="0"/>
    <s v="Cars,Dirt Roads,Electric Vehicles,Fireplaces,Pollen,Trucks"/>
    <n v="2"/>
    <x v="6"/>
    <x v="6"/>
    <x v="5"/>
    <x v="6"/>
    <x v="3"/>
    <x v="5"/>
    <x v="4"/>
    <s v=""/>
    <m/>
  </r>
  <r>
    <s v="2023-04-13 09:51:01"/>
    <s v="2023-04-13 09:52:18"/>
    <s v="IP Address"/>
    <s v="24.186.211.30"/>
    <s v="100"/>
    <n v="76"/>
    <n v="76"/>
    <s v="True"/>
    <s v="2023-04-13 09:52:18"/>
    <s v="R_27lK3bi9TrstfKU"/>
    <s v=""/>
    <s v=""/>
    <s v=""/>
    <s v=""/>
    <s v="40.9129"/>
    <s v="-74.1627"/>
    <s v="anonymous"/>
    <s v="EN"/>
    <s v="Sef122"/>
    <n v="4"/>
    <x v="6"/>
    <x v="4"/>
    <x v="3"/>
    <x v="5"/>
    <x v="4"/>
    <x v="3"/>
    <x v="4"/>
    <n v="4"/>
    <n v="0"/>
    <s v="PM &lt; 2.5 μm"/>
    <n v="1"/>
    <s v="Particles of this size are generally absorbed in the respiratory tract and safely excreted in mucus."/>
    <n v="1"/>
    <s v="Cars,Dirt Roads,Fireplaces,Pollen,Trucks"/>
    <n v="3"/>
    <x v="4"/>
    <x v="4"/>
    <x v="4"/>
    <x v="4"/>
    <x v="4"/>
    <x v="4"/>
    <x v="4"/>
    <s v=""/>
    <m/>
  </r>
  <r>
    <s v="2023-04-12 13:29:22"/>
    <s v="2023-04-12 13:32:23"/>
    <s v="IP Address"/>
    <s v="108.35.253.186"/>
    <s v="100"/>
    <n v="180"/>
    <n v="180"/>
    <s v="True"/>
    <s v="2023-04-12 13:32:23"/>
    <s v="R_1NF8phonwnH4oLZ"/>
    <s v=""/>
    <s v=""/>
    <s v=""/>
    <s v=""/>
    <s v="40.4992"/>
    <s v="-74.4996"/>
    <s v="qr"/>
    <s v="EN"/>
    <s v="Sc1700"/>
    <n v="5"/>
    <x v="6"/>
    <x v="5"/>
    <x v="4"/>
    <x v="6"/>
    <x v="5"/>
    <x v="3"/>
    <x v="4"/>
    <n v="3"/>
    <n v="1"/>
    <s v="PM &lt; 2.5 μm"/>
    <n v="1"/>
    <s v="Particles of this size include dust and pollen and are the main source of seasonal rhinitis"/>
    <n v="0"/>
    <s v="Cars,Trucks"/>
    <n v="2"/>
    <x v="6"/>
    <x v="6"/>
    <x v="5"/>
    <x v="5"/>
    <x v="5"/>
    <x v="4"/>
    <x v="4"/>
    <s v="Loved this!"/>
    <s v="Thanks"/>
  </r>
  <r>
    <s v="2023-04-11 10:46:38"/>
    <s v="2023-04-11 10:50:39"/>
    <s v="IP Address"/>
    <s v="107.77.202.131"/>
    <s v="100"/>
    <n v="241"/>
    <n v="241"/>
    <s v="True"/>
    <s v="2023-04-11 10:50:40"/>
    <s v="R_2xVR3nHopRw1Any"/>
    <s v=""/>
    <s v=""/>
    <s v=""/>
    <s v=""/>
    <s v="38.9522"/>
    <s v="-77.0253"/>
    <s v="qr"/>
    <s v="EN"/>
    <s v="rnb62@rwjms.rutgers.edu"/>
    <n v="4"/>
    <x v="6"/>
    <x v="6"/>
    <x v="4"/>
    <x v="6"/>
    <x v="6"/>
    <x v="3"/>
    <x v="5"/>
    <n v="4"/>
    <n v="0"/>
    <s v="PM &lt; 2.5 μm"/>
    <n v="1"/>
    <s v="Particles of this size are generally absorbed in the respiratory tract and safely excreted in mucus."/>
    <n v="1"/>
    <s v="Cars,Dirt Roads,Fireplaces,Trucks"/>
    <n v="4"/>
    <x v="5"/>
    <x v="6"/>
    <x v="5"/>
    <x v="6"/>
    <x v="4"/>
    <x v="4"/>
    <x v="5"/>
    <s v="Preventive measures we can take on the cardio side to prevent acute MIs as the temperature increases"/>
    <s v="Other Specialties (Cardio)"/>
  </r>
  <r>
    <s v="2023-04-11 10:46:04"/>
    <s v="2023-04-11 11:06:19"/>
    <s v="IP Address"/>
    <s v="130.219.10.90"/>
    <s v="100"/>
    <n v="1214"/>
    <n v="1214"/>
    <s v="True"/>
    <s v="2023-04-11 11:06:19"/>
    <s v="R_2AF3Owqub1qNr4r"/>
    <s v=""/>
    <s v=""/>
    <s v=""/>
    <s v=""/>
    <s v="40.7337"/>
    <s v="-74.1939"/>
    <s v="qr"/>
    <s v="EN"/>
    <s v="rd968"/>
    <n v="4"/>
    <x v="6"/>
    <x v="6"/>
    <x v="3"/>
    <x v="6"/>
    <x v="6"/>
    <x v="3"/>
    <x v="5"/>
    <n v="1"/>
    <n v="0"/>
    <s v="PM &lt; 0.05 μm"/>
    <n v="0"/>
    <s v="Particles of this size are generally absorbed in the respiratory tract and safely excreted in mucus."/>
    <n v="1"/>
    <s v="Cars,Dirt Roads,Fireplaces,Trucks"/>
    <n v="4"/>
    <x v="7"/>
    <x v="4"/>
    <x v="6"/>
    <x v="3"/>
    <x v="3"/>
    <x v="6"/>
    <x v="3"/>
    <s v="Occupational exposures"/>
    <s v="Environmental Exposures"/>
  </r>
  <r>
    <s v="2023-04-13 17:32:41"/>
    <s v="2023-04-13 17:35:16"/>
    <s v="IP Address"/>
    <s v="72.88.214.37"/>
    <s v="100"/>
    <n v="155"/>
    <n v="155"/>
    <s v="True"/>
    <s v="2023-04-13 17:35:17"/>
    <s v="R_2WMv0yqPGyJOL3c"/>
    <s v=""/>
    <s v=""/>
    <s v=""/>
    <s v=""/>
    <s v="40.4999"/>
    <s v="-74.4247"/>
    <s v="anonymous"/>
    <s v="EN"/>
    <s v="pmg128"/>
    <n v="5"/>
    <x v="3"/>
    <x v="3"/>
    <x v="3"/>
    <x v="4"/>
    <x v="3"/>
    <x v="3"/>
    <x v="3"/>
    <n v="3"/>
    <n v="1"/>
    <s v="PM &lt; 2.5 μm"/>
    <n v="1"/>
    <s v="Particles of this size are generally absorbed in the respiratory tract and safely excreted in mucus."/>
    <n v="1"/>
    <s v="Cars,Dirt Roads,Electric Vehicles,Fireplaces,Pollen,Trucks"/>
    <n v="2"/>
    <x v="4"/>
    <x v="7"/>
    <x v="3"/>
    <x v="6"/>
    <x v="4"/>
    <x v="5"/>
    <x v="4"/>
    <s v=""/>
    <m/>
  </r>
  <r>
    <s v="2023-04-11 10:46:45"/>
    <s v="2023-04-11 11:08:02"/>
    <s v="IP Address"/>
    <s v="128.6.37.128"/>
    <s v="100"/>
    <n v="1277"/>
    <n v="1277"/>
    <s v="True"/>
    <s v="2023-04-11 11:08:02"/>
    <s v="R_1obCDjvqBgWHKkn"/>
    <s v=""/>
    <s v=""/>
    <s v=""/>
    <s v=""/>
    <s v="40.7265"/>
    <s v="-74.1782"/>
    <s v="qr"/>
    <s v="EN"/>
    <s v="Phl28"/>
    <n v="5"/>
    <x v="6"/>
    <x v="5"/>
    <x v="4"/>
    <x v="5"/>
    <x v="5"/>
    <x v="4"/>
    <x v="4"/>
    <n v="4.5"/>
    <n v="0"/>
    <s v="PM &lt; 0.25 μm"/>
    <n v="0"/>
    <s v="Particles of this size include dust and pollen and are the main source of seasonal rhinitis"/>
    <n v="0"/>
    <s v="Cars,Dirt Roads,Fireplaces,Pollen,Trucks"/>
    <n v="3"/>
    <x v="6"/>
    <x v="5"/>
    <x v="3"/>
    <x v="6"/>
    <x v="5"/>
    <x v="6"/>
    <x v="5"/>
    <s v=""/>
    <m/>
  </r>
  <r>
    <s v="2023-04-11 15:34:36"/>
    <s v="2023-04-11 15:37:40"/>
    <s v="IP Address"/>
    <s v="69.124.48.3"/>
    <s v="100"/>
    <n v="184"/>
    <n v="184"/>
    <s v="True"/>
    <s v="2023-04-11 15:37:41"/>
    <s v="R_9EK0IjhwHHJt2Ol"/>
    <s v=""/>
    <s v=""/>
    <s v=""/>
    <s v=""/>
    <s v="40.5511"/>
    <s v="-74.4606"/>
    <s v="anonymous"/>
    <s v="EN"/>
    <s v="Pfa13"/>
    <n v="4"/>
    <x v="3"/>
    <x v="4"/>
    <x v="4"/>
    <x v="7"/>
    <x v="7"/>
    <x v="4"/>
    <x v="6"/>
    <n v="2.5"/>
    <n v="0.5"/>
    <s v="PM &lt; 2.5 μm"/>
    <n v="1"/>
    <s v="Particles of this size are generally absorbed in the respiratory tract and safely excreted in mucus."/>
    <n v="1"/>
    <s v="Dirt Roads,Fireplaces,Pollen"/>
    <n v="1"/>
    <x v="6"/>
    <x v="5"/>
    <x v="3"/>
    <x v="3"/>
    <x v="3"/>
    <x v="4"/>
    <x v="3"/>
    <s v="Gas vs electric stoves and their health effects on a family, especially children."/>
    <s v="Environmental Exposures"/>
  </r>
  <r>
    <s v="2023-04-11 10:46:03"/>
    <s v="2023-04-11 10:49:56"/>
    <s v="IP Address"/>
    <s v="128.6.36.233"/>
    <s v="100"/>
    <n v="233"/>
    <n v="233"/>
    <s v="True"/>
    <s v="2023-04-11 10:49:57"/>
    <s v="R_2y2gJVcsHNM0InI"/>
    <s v=""/>
    <s v=""/>
    <s v=""/>
    <s v=""/>
    <s v="40.488"/>
    <s v="-74.4544"/>
    <s v="qr"/>
    <s v="EN"/>
    <s v="Pb658"/>
    <n v="3"/>
    <x v="6"/>
    <x v="5"/>
    <x v="3"/>
    <x v="8"/>
    <x v="8"/>
    <x v="3"/>
    <x v="7"/>
    <n v="4"/>
    <n v="0"/>
    <s v="PM &lt; 2.5 μm"/>
    <n v="1"/>
    <s v="Particles of this size are generally absorbed in the respiratory tract and safely excreted in mucus."/>
    <n v="1"/>
    <s v="Cars,Dirt Roads,Pollen,Trucks"/>
    <n v="2"/>
    <x v="6"/>
    <x v="6"/>
    <x v="5"/>
    <x v="5"/>
    <x v="5"/>
    <x v="5"/>
    <x v="6"/>
    <s v=""/>
    <m/>
  </r>
  <r>
    <s v="2023-04-11 17:55:27"/>
    <s v="2023-04-11 17:57:47"/>
    <s v="IP Address"/>
    <s v="130.219.10.90"/>
    <s v="100"/>
    <n v="139"/>
    <n v="139"/>
    <s v="True"/>
    <s v="2023-04-11 17:57:47"/>
    <s v="R_UQN30ADsJQeMRY5"/>
    <s v=""/>
    <s v=""/>
    <s v=""/>
    <s v=""/>
    <s v="40.7337"/>
    <s v="-74.1939"/>
    <s v="anonymous"/>
    <s v="EN"/>
    <s v="oam38"/>
    <n v="4"/>
    <x v="3"/>
    <x v="5"/>
    <x v="5"/>
    <x v="3"/>
    <x v="4"/>
    <x v="3"/>
    <x v="4"/>
    <n v="3"/>
    <n v="1"/>
    <s v="PM &lt; 2.5 μm"/>
    <n v="1"/>
    <s v="Particles of this size are generally absorbed in the respiratory tract and safely excreted in mucus."/>
    <n v="1"/>
    <s v="Cars,Fireplaces,Trucks"/>
    <n v="3"/>
    <x v="4"/>
    <x v="6"/>
    <x v="5"/>
    <x v="5"/>
    <x v="5"/>
    <x v="4"/>
    <x v="3"/>
    <s v=""/>
    <m/>
  </r>
  <r>
    <s v="2023-04-11 12:23:41"/>
    <s v="2023-04-11 12:27:58"/>
    <s v="IP Address"/>
    <s v="130.219.10.90"/>
    <s v="100"/>
    <n v="256"/>
    <n v="256"/>
    <s v="True"/>
    <s v="2023-04-11 12:27:58"/>
    <s v="R_1feBaa3MTRZaahE"/>
    <s v=""/>
    <s v=""/>
    <s v=""/>
    <s v=""/>
    <s v="40.7337"/>
    <s v="-74.1939"/>
    <s v="anonymous"/>
    <s v="EN"/>
    <s v="Nsa86"/>
    <n v="5"/>
    <x v="3"/>
    <x v="3"/>
    <x v="3"/>
    <x v="4"/>
    <x v="4"/>
    <x v="3"/>
    <x v="8"/>
    <n v="3"/>
    <n v="1"/>
    <s v="PM &lt; 2.5 μm"/>
    <n v="1"/>
    <s v="Particles of this size reach the bronchial tree where they corrode the alveolar parenchyma."/>
    <n v="0"/>
    <s v="Cars,Fireplaces,Pollen,Trucks"/>
    <n v="2"/>
    <x v="4"/>
    <x v="4"/>
    <x v="5"/>
    <x v="5"/>
    <x v="5"/>
    <x v="4"/>
    <x v="5"/>
    <s v="What will the future of health look like given current trends in global warming"/>
    <s v="Future Impact"/>
  </r>
  <r>
    <s v="2023-04-11 10:46:07"/>
    <s v="2023-04-11 10:47:33"/>
    <s v="IP Address"/>
    <s v="128.6.37.34"/>
    <s v="100"/>
    <n v="85"/>
    <n v="85"/>
    <s v="True"/>
    <s v="2023-04-11 10:47:33"/>
    <s v="R_2xLA9z6aF1ZWBNO"/>
    <s v=""/>
    <s v=""/>
    <s v=""/>
    <s v=""/>
    <s v="40.5511"/>
    <s v="-74.4606"/>
    <s v="qr"/>
    <s v="EN"/>
    <s v="Nf250"/>
    <n v="5"/>
    <x v="6"/>
    <x v="7"/>
    <x v="3"/>
    <x v="7"/>
    <x v="3"/>
    <x v="3"/>
    <x v="6"/>
    <n v="3"/>
    <n v="1"/>
    <s v="PM &lt; 2.5 μm"/>
    <n v="1"/>
    <s v="Particles of this size are generally absorbed in the respiratory tract and safely excreted in mucus."/>
    <n v="1"/>
    <s v="Cars,Fireplaces,Trucks"/>
    <n v="3"/>
    <x v="6"/>
    <x v="7"/>
    <x v="6"/>
    <x v="7"/>
    <x v="5"/>
    <x v="4"/>
    <x v="4"/>
    <s v=""/>
    <m/>
  </r>
  <r>
    <s v="2023-04-13 09:51:29"/>
    <s v="2023-04-13 09:53:05"/>
    <s v="IP Address"/>
    <s v="130.219.10.90"/>
    <s v="100"/>
    <n v="96"/>
    <n v="96"/>
    <s v="True"/>
    <s v="2023-04-13 09:53:06"/>
    <s v="R_1mDDVkEYXsmjLWB"/>
    <s v=""/>
    <s v=""/>
    <s v=""/>
    <s v=""/>
    <s v="40.7337"/>
    <s v="-74.1939"/>
    <s v="anonymous"/>
    <s v="EN"/>
    <s v="mr1832"/>
    <n v="5"/>
    <x v="6"/>
    <x v="5"/>
    <x v="3"/>
    <x v="5"/>
    <x v="4"/>
    <x v="3"/>
    <x v="4"/>
    <n v="4"/>
    <n v="0"/>
    <s v="PM &lt; 2.5 μm"/>
    <n v="1"/>
    <s v="Particles of this size are generally absorbed in the respiratory tract and safely excreted in mucus."/>
    <n v="1"/>
    <s v="Cars,Dirt Roads,Fireplaces,Pollen,Trucks"/>
    <n v="3"/>
    <x v="6"/>
    <x v="5"/>
    <x v="5"/>
    <x v="7"/>
    <x v="5"/>
    <x v="5"/>
    <x v="4"/>
    <s v=""/>
    <m/>
  </r>
  <r>
    <s v="2023-04-11 13:07:03"/>
    <s v="2023-04-11 13:08:34"/>
    <s v="IP Address"/>
    <s v="68.199.156.210"/>
    <s v="100"/>
    <n v="90"/>
    <n v="90"/>
    <s v="True"/>
    <s v="2023-04-11 13:08:34"/>
    <s v="R_vj0lk1f0C7J6tUZ"/>
    <s v=""/>
    <s v=""/>
    <s v=""/>
    <s v=""/>
    <s v="40.5175"/>
    <s v="-74.3991"/>
    <s v="anonymous"/>
    <s v="EN"/>
    <s v="mmw171"/>
    <n v="5"/>
    <x v="3"/>
    <x v="5"/>
    <x v="3"/>
    <x v="4"/>
    <x v="3"/>
    <x v="3"/>
    <x v="4"/>
    <n v="3"/>
    <n v="1"/>
    <s v="PM &lt; 0.25 μm"/>
    <n v="0"/>
    <s v="Particles of this size include dust and pollen and are the main source of seasonal rhinitis"/>
    <n v="0"/>
    <s v="Cars,Fireplaces,Trucks"/>
    <n v="3"/>
    <x v="4"/>
    <x v="4"/>
    <x v="3"/>
    <x v="6"/>
    <x v="5"/>
    <x v="4"/>
    <x v="4"/>
    <s v=""/>
    <m/>
  </r>
  <r>
    <s v="2023-04-11 18:15:37"/>
    <s v="2023-04-11 18:16:54"/>
    <s v="IP Address"/>
    <s v="72.88.214.37"/>
    <s v="100"/>
    <n v="76"/>
    <n v="76"/>
    <s v="True"/>
    <s v="2023-04-11 18:16:55"/>
    <s v="R_3HAMwi32VbzHLj8"/>
    <s v=""/>
    <s v=""/>
    <s v=""/>
    <s v=""/>
    <s v="40.4999"/>
    <s v="-74.4247"/>
    <s v="anonymous"/>
    <s v="EN"/>
    <s v="mmm564"/>
    <n v="4"/>
    <x v="6"/>
    <x v="4"/>
    <x v="5"/>
    <x v="6"/>
    <x v="5"/>
    <x v="4"/>
    <x v="5"/>
    <n v="4"/>
    <n v="0"/>
    <s v="PM &lt; 25 μm"/>
    <n v="0"/>
    <s v="Particles of this size reach the bronchial tree where they corrode the alveolar parenchyma."/>
    <n v="0"/>
    <s v="Cars,Fireplaces,Pollen,Trucks"/>
    <n v="2"/>
    <x v="6"/>
    <x v="7"/>
    <x v="6"/>
    <x v="3"/>
    <x v="3"/>
    <x v="5"/>
    <x v="7"/>
    <s v=""/>
    <m/>
  </r>
  <r>
    <s v="2023-04-13 10:13:24"/>
    <s v="2023-04-13 10:14:47"/>
    <s v="IP Address"/>
    <s v="172.56.37.61"/>
    <s v="100"/>
    <n v="82"/>
    <n v="82"/>
    <s v="True"/>
    <s v="2023-04-13 10:14:47"/>
    <s v="R_1PYkedDptHiyc9D"/>
    <s v=""/>
    <s v=""/>
    <s v=""/>
    <s v=""/>
    <s v="40.7523"/>
    <s v="-74.2172"/>
    <s v="anonymous"/>
    <s v="EN"/>
    <s v="mml236"/>
    <n v="4"/>
    <x v="6"/>
    <x v="3"/>
    <x v="3"/>
    <x v="6"/>
    <x v="6"/>
    <x v="3"/>
    <x v="4"/>
    <n v="5"/>
    <n v="0"/>
    <s v="PM &lt; 0.25 μm"/>
    <n v="0"/>
    <s v="Particles of this diameter are unable to be suspended in air."/>
    <n v="0"/>
    <s v="Cars"/>
    <n v="1"/>
    <x v="4"/>
    <x v="6"/>
    <x v="4"/>
    <x v="4"/>
    <x v="4"/>
    <x v="4"/>
    <x v="4"/>
    <s v=""/>
    <m/>
  </r>
  <r>
    <s v="2023-04-13 11:27:53"/>
    <s v="2023-04-13 11:32:13"/>
    <s v="IP Address"/>
    <s v="130.219.10.90"/>
    <s v="100"/>
    <n v="259"/>
    <n v="259"/>
    <s v="True"/>
    <s v="2023-04-13 11:32:13"/>
    <s v="R_31bLfYauSrVjAW7"/>
    <s v=""/>
    <s v=""/>
    <s v=""/>
    <s v=""/>
    <s v="40.7337"/>
    <s v="-74.1939"/>
    <s v="anonymous"/>
    <s v="EN"/>
    <s v="Lmg324"/>
    <n v="5"/>
    <x v="3"/>
    <x v="5"/>
    <x v="4"/>
    <x v="5"/>
    <x v="4"/>
    <x v="5"/>
    <x v="4"/>
    <n v="3"/>
    <n v="1"/>
    <s v="PM &lt; 25 μm"/>
    <n v="0"/>
    <s v=""/>
    <n v="0"/>
    <s v="Cars,Dirt Roads,Electric Vehicles,Fireplaces,Pollen,Trucks"/>
    <n v="2"/>
    <x v="4"/>
    <x v="4"/>
    <x v="4"/>
    <x v="4"/>
    <x v="4"/>
    <x v="4"/>
    <x v="3"/>
    <s v="I would like to learn more about disparities across the United States and how states differ with environmental exposures "/>
    <s v="Demographics"/>
  </r>
  <r>
    <s v="2023-04-11 10:46:37"/>
    <s v="2023-04-11 11:43:53"/>
    <s v="IP Address"/>
    <s v="130.219.10.90"/>
    <s v="100"/>
    <n v="3436"/>
    <n v="3436"/>
    <s v="True"/>
    <s v="2023-04-11 11:43:53"/>
    <s v="R_1f7wj6oeblC6fYj"/>
    <s v=""/>
    <s v=""/>
    <s v=""/>
    <s v=""/>
    <s v="40.7337"/>
    <s v="-74.1939"/>
    <s v="qr"/>
    <s v="EN"/>
    <s v="Lma216"/>
    <n v="5"/>
    <x v="3"/>
    <x v="3"/>
    <x v="3"/>
    <x v="4"/>
    <x v="5"/>
    <x v="3"/>
    <x v="5"/>
    <n v="3"/>
    <n v="1"/>
    <s v="PM &lt; 2.5 μm"/>
    <n v="1"/>
    <s v="Particles of this size include dust and pollen and are the main source of seasonal rhinitis"/>
    <n v="0"/>
    <s v="Cars,Fireplaces,Pollen,Trucks"/>
    <n v="2"/>
    <x v="6"/>
    <x v="6"/>
    <x v="6"/>
    <x v="6"/>
    <x v="4"/>
    <x v="5"/>
    <x v="3"/>
    <s v="Projected climate change effect on health. "/>
    <s v="Future Impact"/>
  </r>
  <r>
    <s v="2023-04-11 10:47:11"/>
    <s v="2023-04-11 10:49:00"/>
    <s v="IP Address"/>
    <s v="128.6.37.252"/>
    <s v="100"/>
    <n v="109"/>
    <n v="109"/>
    <s v="True"/>
    <s v="2023-04-11 10:49:01"/>
    <s v="R_1jYRAaHfptQ42C6"/>
    <s v=""/>
    <s v=""/>
    <s v=""/>
    <s v=""/>
    <s v="40.488"/>
    <s v="-74.4544"/>
    <s v="qr"/>
    <s v="EN"/>
    <s v="ks1403"/>
    <n v="5"/>
    <x v="3"/>
    <x v="5"/>
    <x v="4"/>
    <x v="3"/>
    <x v="3"/>
    <x v="3"/>
    <x v="8"/>
    <n v="3"/>
    <n v="1"/>
    <s v="PM &lt; 2.5 μm"/>
    <n v="1"/>
    <s v="Particles of this size are generally absorbed in the respiratory tract and safely excreted in mucus."/>
    <n v="1"/>
    <s v="Cars,Dirt Roads,Electric Vehicles,Fireplaces,Pollen,Trucks"/>
    <n v="2"/>
    <x v="3"/>
    <x v="5"/>
    <x v="6"/>
    <x v="7"/>
    <x v="7"/>
    <x v="6"/>
    <x v="5"/>
    <s v="How to integrate these into our histories"/>
    <s v="Patient Care"/>
  </r>
  <r>
    <s v="2023-04-11 10:46:32"/>
    <s v="2023-04-11 10:48:07"/>
    <s v="IP Address"/>
    <s v="128.6.36.76"/>
    <s v="100"/>
    <n v="94"/>
    <n v="94"/>
    <s v="True"/>
    <s v="2023-04-11 10:48:07"/>
    <s v="R_2QgmirWUniPIfjO"/>
    <s v=""/>
    <s v=""/>
    <s v=""/>
    <s v=""/>
    <s v="40.488"/>
    <s v="-74.4544"/>
    <s v="qr"/>
    <s v="EN"/>
    <s v="Krb195"/>
    <n v="5"/>
    <x v="3"/>
    <x v="3"/>
    <x v="3"/>
    <x v="3"/>
    <x v="3"/>
    <x v="3"/>
    <x v="5"/>
    <n v="5"/>
    <n v="0"/>
    <s v="PM &lt; 2.5 μm"/>
    <n v="1"/>
    <s v="Particles of this diameter are unable to be suspended in air."/>
    <n v="0"/>
    <s v="Cars,Dirt Roads,Fireplaces,Pollen,Trucks"/>
    <n v="3"/>
    <x v="4"/>
    <x v="4"/>
    <x v="4"/>
    <x v="4"/>
    <x v="4"/>
    <x v="4"/>
    <x v="3"/>
    <s v="City vs suburb living "/>
    <s v="Demographics"/>
  </r>
  <r>
    <s v="2023-04-11 19:22:26"/>
    <s v="2023-04-11 19:26:15"/>
    <s v="IP Address"/>
    <s v="47.18.111.45"/>
    <s v="100"/>
    <n v="229"/>
    <n v="229"/>
    <s v="True"/>
    <s v="2023-04-11 19:26:15"/>
    <s v="R_26aa1hqmMHcmk1P"/>
    <s v=""/>
    <s v=""/>
    <s v=""/>
    <s v=""/>
    <s v="40.5802"/>
    <s v="-74.3594"/>
    <s v="anonymous"/>
    <s v="EN"/>
    <s v="Kl798"/>
    <n v="5"/>
    <x v="3"/>
    <x v="3"/>
    <x v="3"/>
    <x v="3"/>
    <x v="3"/>
    <x v="3"/>
    <x v="3"/>
    <n v="3"/>
    <n v="1"/>
    <s v="PM &lt; 2.5 μm"/>
    <n v="1"/>
    <s v="Particles of this diameter are unable to be suspended in air."/>
    <n v="0"/>
    <s v="Cars,Fireplaces,Trucks"/>
    <n v="3"/>
    <x v="4"/>
    <x v="5"/>
    <x v="4"/>
    <x v="5"/>
    <x v="4"/>
    <x v="4"/>
    <x v="4"/>
    <s v=""/>
    <m/>
  </r>
  <r>
    <s v="2023-04-11 10:45:08"/>
    <s v="2023-04-11 10:47:02"/>
    <s v="IP Address"/>
    <s v="130.219.10.90"/>
    <s v="100"/>
    <n v="113"/>
    <n v="113"/>
    <s v="True"/>
    <s v="2023-04-11 10:47:03"/>
    <s v="R_DoDo5p25H3kQymB"/>
    <s v=""/>
    <s v=""/>
    <s v=""/>
    <s v=""/>
    <s v="40.7337"/>
    <s v="-74.1939"/>
    <s v="qr"/>
    <s v="EN"/>
    <s v="kf511"/>
    <n v="3"/>
    <x v="5"/>
    <x v="6"/>
    <x v="4"/>
    <x v="7"/>
    <x v="4"/>
    <x v="3"/>
    <x v="6"/>
    <n v="3"/>
    <n v="1"/>
    <s v="PM &lt; 2.5 μm"/>
    <n v="1"/>
    <s v="Particles of this diameter are unable to be suspended in air."/>
    <n v="0"/>
    <s v="Cars,Dirt Roads,Fireplaces,Pollen,Trucks"/>
    <n v="3"/>
    <x v="6"/>
    <x v="5"/>
    <x v="5"/>
    <x v="7"/>
    <x v="5"/>
    <x v="4"/>
    <x v="5"/>
    <s v="Impact of different interventions on individual health"/>
    <s v="Patient Care"/>
  </r>
  <r>
    <s v="2023-04-11 10:46:40"/>
    <s v="2023-04-11 10:55:51"/>
    <s v="IP Address"/>
    <s v="130.219.10.90"/>
    <s v="100"/>
    <n v="551"/>
    <n v="551"/>
    <s v="True"/>
    <s v="2023-04-11 10:55:52"/>
    <s v="R_3kNWEUZ8TbqMd5A"/>
    <s v=""/>
    <s v=""/>
    <s v=""/>
    <s v=""/>
    <s v="40.7337"/>
    <s v="-74.1939"/>
    <s v="qr"/>
    <s v="EN"/>
    <s v="Jm2722"/>
    <n v="4"/>
    <x v="3"/>
    <x v="5"/>
    <x v="3"/>
    <x v="5"/>
    <x v="5"/>
    <x v="3"/>
    <x v="5"/>
    <n v="3"/>
    <n v="1"/>
    <s v="PM &lt; 2.5 μm"/>
    <n v="1"/>
    <s v="Particles of this size are generally absorbed in the respiratory tract and safely excreted in mucus."/>
    <n v="1"/>
    <s v="Cars,Electric Vehicles,Trucks"/>
    <n v="1"/>
    <x v="5"/>
    <x v="3"/>
    <x v="3"/>
    <x v="4"/>
    <x v="4"/>
    <x v="4"/>
    <x v="5"/>
    <s v="Environmental medicine as it relates to pregnancy "/>
    <s v="Other Specialties (OB)"/>
  </r>
  <r>
    <s v="2023-04-11 10:46:03"/>
    <s v="2023-04-11 11:08:06"/>
    <s v="IP Address"/>
    <s v="130.219.10.90"/>
    <s v="100"/>
    <n v="1323"/>
    <n v="1323"/>
    <s v="True"/>
    <s v="2023-04-11 11:08:07"/>
    <s v="R_5AUKrNN7CvYi3xD"/>
    <s v=""/>
    <s v=""/>
    <s v=""/>
    <s v=""/>
    <s v="40.7337"/>
    <s v="-74.1939"/>
    <s v="qr"/>
    <s v="EN"/>
    <s v="Ige8"/>
    <n v="5"/>
    <x v="6"/>
    <x v="3"/>
    <x v="3"/>
    <x v="6"/>
    <x v="5"/>
    <x v="3"/>
    <x v="5"/>
    <n v="3"/>
    <n v="1"/>
    <s v="PM &lt; 2.5 μm"/>
    <n v="1"/>
    <s v="Particles of this size include dust and pollen and are the main source of seasonal rhinitis"/>
    <n v="0"/>
    <s v="Cars,Dirt Roads,Electric Vehicles,Fireplaces,Trucks"/>
    <n v="3"/>
    <x v="4"/>
    <x v="4"/>
    <x v="3"/>
    <x v="6"/>
    <x v="3"/>
    <x v="6"/>
    <x v="3"/>
    <s v="More about environmental risk factors vs. the block we sre on. So integrated in each block as 1 lecture "/>
    <s v="Other Specialties"/>
  </r>
  <r>
    <s v="2023-04-13 10:29:41"/>
    <s v="2023-04-13 10:35:57"/>
    <s v="IP Address"/>
    <s v="130.219.10.90"/>
    <s v="100"/>
    <n v="375"/>
    <n v="375"/>
    <s v="True"/>
    <s v="2023-04-13 10:35:57"/>
    <s v="R_27VgLcP3y9qJ0XM"/>
    <s v=""/>
    <s v=""/>
    <s v=""/>
    <s v=""/>
    <s v="40.7337"/>
    <s v="-74.1939"/>
    <s v="anonymous"/>
    <s v="EN"/>
    <s v="ht372"/>
    <n v="5"/>
    <x v="4"/>
    <x v="3"/>
    <x v="5"/>
    <x v="6"/>
    <x v="6"/>
    <x v="3"/>
    <x v="5"/>
    <n v="3"/>
    <n v="1"/>
    <s v="PM &lt; 2.5 μm"/>
    <n v="1"/>
    <s v="Particles of this size reach the bronchial tree where they corrode the alveolar parenchyma."/>
    <n v="0"/>
    <s v="Cars,Fireplaces,Trucks"/>
    <n v="3"/>
    <x v="5"/>
    <x v="6"/>
    <x v="5"/>
    <x v="3"/>
    <x v="3"/>
    <x v="4"/>
    <x v="5"/>
    <s v="The impact of pesticides on human health"/>
    <s v="Environmental Exposures"/>
  </r>
  <r>
    <s v="2023-04-13 17:11:21"/>
    <s v="2023-04-13 17:12:29"/>
    <s v="IP Address"/>
    <s v="24.47.183.98"/>
    <s v="100"/>
    <n v="68"/>
    <n v="68"/>
    <s v="True"/>
    <s v="2023-04-13 17:12:30"/>
    <s v="R_qRsE0YMp5NP5GOl"/>
    <s v=""/>
    <s v=""/>
    <s v=""/>
    <s v=""/>
    <s v="40.488"/>
    <s v="-74.4544"/>
    <s v="anonymous"/>
    <s v="EN"/>
    <s v="hg295"/>
    <n v="4"/>
    <x v="3"/>
    <x v="3"/>
    <x v="3"/>
    <x v="3"/>
    <x v="4"/>
    <x v="3"/>
    <x v="8"/>
    <n v="3"/>
    <n v="1"/>
    <s v="PM &lt; 2.5 μm"/>
    <n v="1"/>
    <s v="Particles of this size are generally absorbed in the respiratory tract and safely excreted in mucus."/>
    <n v="1"/>
    <s v="Cars,Dirt Roads,Electric Vehicles,Fireplaces,Pollen,Trucks"/>
    <n v="2"/>
    <x v="4"/>
    <x v="4"/>
    <x v="4"/>
    <x v="4"/>
    <x v="4"/>
    <x v="4"/>
    <x v="3"/>
    <s v=""/>
    <m/>
  </r>
  <r>
    <s v="2023-04-11 13:57:21"/>
    <s v="2023-04-11 14:11:39"/>
    <s v="IP Address"/>
    <s v="72.88.210.209"/>
    <s v="100"/>
    <n v="858"/>
    <n v="858"/>
    <s v="True"/>
    <s v="2023-04-11 14:11:40"/>
    <s v="R_26liubCeitEF7KW"/>
    <s v=""/>
    <s v=""/>
    <s v=""/>
    <s v=""/>
    <s v="40.4999"/>
    <s v="-74.4247"/>
    <s v="anonymous"/>
    <s v="EN"/>
    <s v="gmh100"/>
    <n v="4"/>
    <x v="4"/>
    <x v="3"/>
    <x v="3"/>
    <x v="3"/>
    <x v="4"/>
    <x v="3"/>
    <x v="3"/>
    <n v="3"/>
    <n v="1"/>
    <s v="PM &lt; 2.5 μm"/>
    <n v="1"/>
    <s v="Particles of this size are generally absorbed in the respiratory tract and safely excreted in mucus."/>
    <n v="1"/>
    <s v="Cars,Electric Vehicles,Trucks"/>
    <n v="1"/>
    <x v="7"/>
    <x v="8"/>
    <x v="7"/>
    <x v="7"/>
    <x v="6"/>
    <x v="3"/>
    <x v="7"/>
    <s v="radiation exposure of physicians and x-ray techs"/>
    <s v="Occupational Exposures"/>
  </r>
  <r>
    <s v="2023-04-15 10:55:55"/>
    <s v="2023-04-15 11:01:37"/>
    <s v="IP Address"/>
    <s v="173.54.228.110"/>
    <s v="100"/>
    <n v="341"/>
    <n v="341"/>
    <s v="True"/>
    <s v="2023-04-15 11:01:37"/>
    <s v="R_DeO8RcVWLuDQ8aB"/>
    <s v=""/>
    <s v=""/>
    <s v=""/>
    <s v=""/>
    <s v="40.5704"/>
    <s v="-74.5369"/>
    <s v="anonymous"/>
    <s v="EN"/>
    <s v="Ep692"/>
    <n v="5"/>
    <x v="6"/>
    <x v="4"/>
    <x v="3"/>
    <x v="4"/>
    <x v="5"/>
    <x v="3"/>
    <x v="5"/>
    <n v="3"/>
    <n v="1"/>
    <s v="PM &lt; 2.5 μm"/>
    <n v="1"/>
    <s v="Particles of this size reach the bronchial tree where they corrode the alveolar parenchyma."/>
    <n v="0"/>
    <s v="Cars,Dirt Roads,Fireplaces,Trucks"/>
    <n v="4"/>
    <x v="3"/>
    <x v="4"/>
    <x v="4"/>
    <x v="6"/>
    <x v="3"/>
    <x v="5"/>
    <x v="5"/>
    <s v="Any emerging links between climate change and autoimmune diseases; impact of exposure to BPAs, microplastics, endocrine disruptors on maternal/fetal health, endo/repro function, gut microbiome"/>
    <s v="Environmental Exposures, Other Topics"/>
  </r>
  <r>
    <s v="2023-04-13 12:42:36"/>
    <s v="2023-04-13 12:45:32"/>
    <s v="IP Address"/>
    <s v="128.6.36.253"/>
    <s v="100"/>
    <n v="176"/>
    <n v="176"/>
    <s v="True"/>
    <s v="2023-04-13 12:45:33"/>
    <s v="R_zfozisT99owdpUR"/>
    <s v=""/>
    <s v=""/>
    <s v=""/>
    <s v=""/>
    <s v="40.488"/>
    <s v="-74.4544"/>
    <s v="anonymous"/>
    <s v="EN"/>
    <s v="eia16"/>
    <n v="5"/>
    <x v="3"/>
    <x v="3"/>
    <x v="3"/>
    <x v="3"/>
    <x v="3"/>
    <x v="3"/>
    <x v="3"/>
    <n v="3"/>
    <n v="1"/>
    <s v="PM &lt; 0.05 μm"/>
    <n v="0"/>
    <s v="Particles of this size are generally absorbed in the respiratory tract and safely excreted in mucus."/>
    <n v="1"/>
    <s v="Cars,Dirt Roads,Fireplaces,Trucks"/>
    <n v="4"/>
    <x v="4"/>
    <x v="5"/>
    <x v="5"/>
    <x v="5"/>
    <x v="4"/>
    <x v="4"/>
    <x v="3"/>
    <s v="Common household animals that contribute "/>
    <s v="Environmental Exposures"/>
  </r>
  <r>
    <s v="2023-04-13 11:06:10"/>
    <s v="2023-04-13 11:07:32"/>
    <s v="IP Address"/>
    <s v="130.219.10.90"/>
    <s v="100"/>
    <n v="81"/>
    <n v="81"/>
    <s v="True"/>
    <s v="2023-04-13 11:07:32"/>
    <s v="R_30vo7sqxjiJN2yD"/>
    <s v=""/>
    <s v=""/>
    <s v=""/>
    <s v=""/>
    <s v="40.7337"/>
    <s v="-74.1939"/>
    <s v="anonymous"/>
    <s v="EN"/>
    <s v="ebm87"/>
    <n v="5"/>
    <x v="3"/>
    <x v="3"/>
    <x v="3"/>
    <x v="3"/>
    <x v="3"/>
    <x v="3"/>
    <x v="3"/>
    <n v="3"/>
    <n v="1"/>
    <s v="PM &lt; 2.5 μm"/>
    <n v="1"/>
    <s v="Particles of this size are generally absorbed in the respiratory tract and safely excreted in mucus."/>
    <n v="1"/>
    <s v="Cars,Fireplaces,Trucks"/>
    <n v="3"/>
    <x v="4"/>
    <x v="4"/>
    <x v="4"/>
    <x v="4"/>
    <x v="4"/>
    <x v="4"/>
    <x v="3"/>
    <s v=""/>
    <m/>
  </r>
  <r>
    <s v="2023-04-13 11:30:11"/>
    <s v="2023-04-13 11:31:41"/>
    <s v="IP Address"/>
    <s v="128.6.36.147"/>
    <s v="100"/>
    <n v="90"/>
    <n v="90"/>
    <s v="True"/>
    <s v="2023-04-13 11:31:41"/>
    <s v="R_12rwK6o8j8gcJhL"/>
    <s v=""/>
    <s v=""/>
    <s v=""/>
    <s v=""/>
    <s v="40.488"/>
    <s v="-74.4544"/>
    <s v="anonymous"/>
    <s v="EN"/>
    <s v="djs481"/>
    <n v="5"/>
    <x v="6"/>
    <x v="5"/>
    <x v="3"/>
    <x v="5"/>
    <x v="5"/>
    <x v="3"/>
    <x v="5"/>
    <n v="3.5"/>
    <n v="0.5"/>
    <s v="PM &lt; 0.25 μm"/>
    <n v="0"/>
    <s v="Particles of this size are generally absorbed in the respiratory tract and safely excreted in mucus."/>
    <n v="1"/>
    <s v="Cars"/>
    <n v="1"/>
    <x v="3"/>
    <x v="7"/>
    <x v="6"/>
    <x v="7"/>
    <x v="7"/>
    <x v="6"/>
    <x v="6"/>
    <s v=""/>
    <m/>
  </r>
  <r>
    <s v="2023-04-11 10:46:55"/>
    <s v="2023-04-11 10:59:59"/>
    <s v="IP Address"/>
    <s v="107.127.42.141"/>
    <s v="100"/>
    <n v="783"/>
    <n v="783"/>
    <s v="True"/>
    <s v="2023-04-11 11:00:00"/>
    <s v="R_11d5suesyaf6JVo"/>
    <s v=""/>
    <s v=""/>
    <s v=""/>
    <s v=""/>
    <s v="40.7597"/>
    <s v="-73.981"/>
    <s v="qr"/>
    <s v="EN"/>
    <s v="Dj472"/>
    <n v="2"/>
    <x v="5"/>
    <x v="8"/>
    <x v="4"/>
    <x v="9"/>
    <x v="6"/>
    <x v="6"/>
    <x v="6"/>
    <n v="2.5"/>
    <n v="0.5"/>
    <s v="PM &lt; 2.5 μm"/>
    <n v="1"/>
    <s v="Particles of this size are generally absorbed in the respiratory tract and safely excreted in mucus."/>
    <n v="1"/>
    <s v="Cars,Fireplaces,Trucks"/>
    <n v="3"/>
    <x v="3"/>
    <x v="7"/>
    <x v="5"/>
    <x v="7"/>
    <x v="5"/>
    <x v="6"/>
    <x v="8"/>
    <s v=""/>
    <m/>
  </r>
  <r>
    <s v="2023-04-11 12:21:01"/>
    <s v="2023-04-11 12:23:58"/>
    <s v="IP Address"/>
    <s v="69.113.82.163"/>
    <s v="100"/>
    <n v="177"/>
    <n v="177"/>
    <s v="True"/>
    <s v="2023-04-11 12:23:59"/>
    <s v="R_31bdUPD7oYDhKSN"/>
    <s v=""/>
    <s v=""/>
    <s v=""/>
    <s v=""/>
    <s v="40.5269"/>
    <s v="-74.3374"/>
    <s v="anonymous"/>
    <s v="EN"/>
    <s v="Crk117"/>
    <n v="5"/>
    <x v="3"/>
    <x v="3"/>
    <x v="3"/>
    <x v="3"/>
    <x v="3"/>
    <x v="3"/>
    <x v="8"/>
    <n v="3"/>
    <n v="1"/>
    <s v="PM &lt; 0.25 μm"/>
    <n v="0"/>
    <s v="Particles of this size are generally absorbed in the respiratory tract and safely excreted in mucus."/>
    <n v="1"/>
    <s v="Cars,Electric Vehicles,Fireplaces,Trucks"/>
    <n v="2"/>
    <x v="6"/>
    <x v="4"/>
    <x v="4"/>
    <x v="5"/>
    <x v="4"/>
    <x v="4"/>
    <x v="3"/>
    <s v="What poisons/toxins we are exposed to on a regular basis, such as Round-Up and other pesticides, and what we can do about it!"/>
    <s v="Pesticides"/>
  </r>
  <r>
    <s v="2023-04-11 10:46:42"/>
    <s v="2023-04-11 10:48:00"/>
    <s v="IP Address"/>
    <s v="128.6.36.72"/>
    <s v="100"/>
    <n v="77"/>
    <n v="77"/>
    <s v="True"/>
    <s v="2023-04-11 10:48:00"/>
    <s v="R_3MlpeEvdhTSfSYf"/>
    <s v=""/>
    <s v=""/>
    <s v=""/>
    <s v=""/>
    <s v="40.488"/>
    <s v="-74.4544"/>
    <s v="qr"/>
    <s v="EN"/>
    <s v="ar1522"/>
    <n v="5"/>
    <x v="3"/>
    <x v="3"/>
    <x v="3"/>
    <x v="5"/>
    <x v="5"/>
    <x v="3"/>
    <x v="4"/>
    <n v="5"/>
    <n v="0"/>
    <s v="PM &lt; 2.5 μm"/>
    <n v="1"/>
    <s v="Particles of this size are generally absorbed in the respiratory tract and safely excreted in mucus."/>
    <n v="1"/>
    <s v="Cars,Dirt Roads,Electric Vehicles,Fireplaces,Pollen,Trucks"/>
    <n v="2"/>
    <x v="4"/>
    <x v="4"/>
    <x v="4"/>
    <x v="4"/>
    <x v="4"/>
    <x v="4"/>
    <x v="3"/>
    <s v="Companies, government "/>
    <m/>
  </r>
  <r>
    <s v="2023-04-11 12:35:03"/>
    <s v="2023-04-11 12:36:22"/>
    <s v="IP Address"/>
    <s v="24.47.228.164"/>
    <s v="100"/>
    <n v="78"/>
    <n v="78"/>
    <s v="True"/>
    <s v="2023-04-11 12:36:22"/>
    <s v="R_3hxtJ5AsitmvsPB"/>
    <s v=""/>
    <s v=""/>
    <s v=""/>
    <s v=""/>
    <s v="40.488"/>
    <s v="-74.4544"/>
    <s v="anonymous"/>
    <s v="EN"/>
    <s v="anp158"/>
    <n v="4"/>
    <x v="3"/>
    <x v="4"/>
    <x v="5"/>
    <x v="5"/>
    <x v="4"/>
    <x v="3"/>
    <x v="4"/>
    <n v="2.5"/>
    <n v="0.5"/>
    <s v="PM &lt; 2.5 μm"/>
    <n v="1"/>
    <s v="Particles of this size reach the bronchial tree where they corrode the alveolar parenchyma."/>
    <n v="0"/>
    <s v="Cars,Dirt Roads,Electric Vehicles,Fireplaces,Trucks"/>
    <n v="3"/>
    <x v="4"/>
    <x v="4"/>
    <x v="4"/>
    <x v="4"/>
    <x v="4"/>
    <x v="4"/>
    <x v="9"/>
    <s v=""/>
    <m/>
  </r>
  <r>
    <s v="2023-04-11 10:46:40"/>
    <s v="2023-04-11 10:48:14"/>
    <s v="IP Address"/>
    <s v="174.206.233.204"/>
    <s v="100"/>
    <n v="93"/>
    <n v="93"/>
    <s v="True"/>
    <s v="2023-04-11 10:48:14"/>
    <s v="R_40IF3qq0EWOHbIB"/>
    <s v=""/>
    <s v=""/>
    <s v=""/>
    <s v=""/>
    <s v="40.8022"/>
    <s v="-74.1914"/>
    <s v="qr"/>
    <s v="EN"/>
    <s v="Amc754"/>
    <n v="5"/>
    <x v="3"/>
    <x v="3"/>
    <x v="3"/>
    <x v="4"/>
    <x v="4"/>
    <x v="3"/>
    <x v="8"/>
    <n v="2.5"/>
    <n v="0.5"/>
    <s v="PM &lt; 2.5 μm"/>
    <n v="1"/>
    <s v="Particles of this size are generally absorbed in the respiratory tract and safely excreted in mucus."/>
    <n v="1"/>
    <s v="Cars,Dirt Roads,Electric Vehicles,Fireplaces,Pollen,Trucks"/>
    <n v="2"/>
    <x v="4"/>
    <x v="4"/>
    <x v="4"/>
    <x v="4"/>
    <x v="4"/>
    <x v="4"/>
    <x v="3"/>
    <s v=""/>
    <m/>
  </r>
  <r>
    <s v="2023-04-13 11:00:27"/>
    <s v="2023-04-13 11:02:44"/>
    <s v="IP Address"/>
    <s v="130.219.10.90"/>
    <s v="100"/>
    <n v="136"/>
    <n v="136"/>
    <s v="True"/>
    <s v="2023-04-13 11:02:45"/>
    <s v="R_bHgnhTQVimrHdMl"/>
    <s v=""/>
    <s v=""/>
    <s v=""/>
    <s v=""/>
    <s v="40.7337"/>
    <s v="-74.1939"/>
    <s v="anonymous"/>
    <s v="EN"/>
    <s v="am2520"/>
    <n v="5"/>
    <x v="3"/>
    <x v="3"/>
    <x v="3"/>
    <x v="3"/>
    <x v="3"/>
    <x v="3"/>
    <x v="3"/>
    <n v="4"/>
    <n v="0"/>
    <s v="PM &lt; 2.5 μm"/>
    <n v="1"/>
    <s v="Particles of this size include dust and pollen and are the main source of seasonal rhinitis"/>
    <n v="0"/>
    <s v="Cars,Dirt Roads,Fireplaces,Trucks"/>
    <n v="4"/>
    <x v="4"/>
    <x v="4"/>
    <x v="4"/>
    <x v="4"/>
    <x v="4"/>
    <x v="4"/>
    <x v="4"/>
    <s v="Infectious disease!"/>
    <s v="Other Specialties (ID)"/>
  </r>
  <r>
    <s v="2023-04-11 15:21:25"/>
    <s v="2023-04-11 15:22:19"/>
    <s v="IP Address"/>
    <s v="69.113.82.163"/>
    <s v="100"/>
    <n v="53"/>
    <n v="53"/>
    <s v="True"/>
    <s v="2023-04-11 15:22:19"/>
    <s v="R_1LGc9jndJuAhvqP"/>
    <s v=""/>
    <s v=""/>
    <s v=""/>
    <s v=""/>
    <s v="40.5269"/>
    <s v="-74.3374"/>
    <s v="anonymous"/>
    <s v="EN"/>
    <s v="agg108"/>
    <n v="5"/>
    <x v="4"/>
    <x v="5"/>
    <x v="4"/>
    <x v="6"/>
    <x v="6"/>
    <x v="3"/>
    <x v="5"/>
    <n v="2.5"/>
    <n v="0.5"/>
    <s v="PM &lt; 0.05 μm"/>
    <n v="0"/>
    <s v="Particles of this size are generally absorbed in the respiratory tract and safely excreted in mucus."/>
    <n v="1"/>
    <s v="Cars,Dirt Roads,Electric Vehicles,Fireplaces,Pollen,Trucks"/>
    <n v="2"/>
    <x v="6"/>
    <x v="6"/>
    <x v="5"/>
    <x v="5"/>
    <x v="5"/>
    <x v="5"/>
    <x v="5"/>
    <s v="thank u!"/>
    <s v="Thanks"/>
  </r>
  <r>
    <s v="2023-04-11 13:50:07"/>
    <s v="2023-04-11 13:52:33"/>
    <s v="IP Address"/>
    <s v="24.188.55.249"/>
    <s v="100"/>
    <n v="145"/>
    <n v="145"/>
    <s v="True"/>
    <s v="2023-04-11 13:52:33"/>
    <s v="R_3sd071nyje7wTvL"/>
    <s v=""/>
    <s v=""/>
    <s v=""/>
    <s v=""/>
    <s v="40.488"/>
    <s v="-74.4544"/>
    <s v="anonymous"/>
    <s v="EN"/>
    <s v="ae453"/>
    <n v="3"/>
    <x v="5"/>
    <x v="4"/>
    <x v="3"/>
    <x v="6"/>
    <x v="5"/>
    <x v="3"/>
    <x v="6"/>
    <n v="2.5"/>
    <n v="0.5"/>
    <s v="PM &lt; 2.5 μm"/>
    <n v="1"/>
    <s v="Particles of this size are generally absorbed in the respiratory tract and safely excreted in mucus."/>
    <n v="1"/>
    <s v="Cars,Trucks"/>
    <n v="2"/>
    <x v="7"/>
    <x v="3"/>
    <x v="7"/>
    <x v="7"/>
    <x v="6"/>
    <x v="7"/>
    <x v="6"/>
    <s v="how climate change will affect infectious disease"/>
    <s v="Other Specialties (ID)"/>
  </r>
  <r>
    <s v="2023-04-13 10:15:59"/>
    <s v="2023-04-13 10:18:00"/>
    <s v="IP Address"/>
    <s v="69.115.57.154"/>
    <s v="100"/>
    <n v="120"/>
    <n v="120"/>
    <s v="True"/>
    <s v="2023-04-13 10:18:01"/>
    <s v="R_UoTdYdx2mmJgoNP"/>
    <s v=""/>
    <s v=""/>
    <s v=""/>
    <s v=""/>
    <s v="40.5802"/>
    <s v="-74.3594"/>
    <s v="anonymous"/>
    <s v="EN"/>
    <s v="ac2409"/>
    <n v="5"/>
    <x v="6"/>
    <x v="5"/>
    <x v="3"/>
    <x v="3"/>
    <x v="3"/>
    <x v="3"/>
    <x v="8"/>
    <n v="4.5"/>
    <n v="0"/>
    <s v="PM &lt; 1 μm"/>
    <n v="0"/>
    <s v="Particles of this size include dust and pollen and are the main source of seasonal rhinitis"/>
    <n v="0"/>
    <s v="Cars,Dirt Roads,Electric Vehicles,Fireplaces,Pollen,Trucks"/>
    <n v="2"/>
    <x v="4"/>
    <x v="6"/>
    <x v="4"/>
    <x v="5"/>
    <x v="5"/>
    <x v="5"/>
    <x v="4"/>
    <s v="Those that relate to natural disasters and emergency situations (such as 9/11)"/>
    <s v="Natural Disasters"/>
  </r>
  <r>
    <s v="2023-04-13 09:52:48"/>
    <s v="2023-04-13 09:54:05"/>
    <s v="IP Address"/>
    <s v="69.113.82.163"/>
    <s v="100"/>
    <n v="77"/>
    <n v="77"/>
    <s v="True"/>
    <s v="2023-04-13 09:54:06"/>
    <s v="R_2wnr1KWtshwaS3W"/>
    <s v=""/>
    <s v=""/>
    <s v=""/>
    <s v=""/>
    <s v="40.5269"/>
    <s v="-74.3374"/>
    <s v="anonymous"/>
    <s v="EN"/>
    <s v="aar258"/>
    <n v="5"/>
    <x v="3"/>
    <x v="3"/>
    <x v="3"/>
    <x v="3"/>
    <x v="3"/>
    <x v="3"/>
    <x v="3"/>
    <n v="4.5"/>
    <n v="0"/>
    <s v="PM &lt; 2.5 μm"/>
    <n v="1"/>
    <s v="Particles of this size include dust and pollen and are the main source of seasonal rhinitis"/>
    <n v="0"/>
    <s v="Cars,Dirt Roads,Fireplaces,Pollen,Trucks"/>
    <n v="3"/>
    <x v="4"/>
    <x v="4"/>
    <x v="4"/>
    <x v="4"/>
    <x v="4"/>
    <x v="4"/>
    <x v="3"/>
    <s v="Pesticides and Glyphosate in the Agriculture Industry"/>
    <s v="Pesticides"/>
  </r>
  <r>
    <s v="2023-04-11 10:46:41"/>
    <s v="2023-04-11 10:53:31"/>
    <s v="IP Address"/>
    <s v="128.6.36.72"/>
    <s v="100"/>
    <n v="409"/>
    <n v="409"/>
    <s v="True"/>
    <s v="2023-04-11 10:53:32"/>
    <s v="R_YaxXaIexnyEKMQp"/>
    <s v=""/>
    <s v=""/>
    <s v=""/>
    <s v=""/>
    <s v="40.488"/>
    <s v="-74.4544"/>
    <s v="qr"/>
    <s v="EN"/>
    <s v="aac195"/>
    <n v="5"/>
    <x v="6"/>
    <x v="3"/>
    <x v="3"/>
    <x v="6"/>
    <x v="4"/>
    <x v="3"/>
    <x v="8"/>
    <n v="3"/>
    <n v="1"/>
    <s v="PM &lt; 0.25 μm"/>
    <n v="0"/>
    <s v="Particles of this size are generally absorbed in the respiratory tract and safely excreted in mucus."/>
    <n v="1"/>
    <s v="Cars,Dirt Roads,Pollen,Trucks"/>
    <n v="2"/>
    <x v="6"/>
    <x v="6"/>
    <x v="4"/>
    <x v="5"/>
    <x v="4"/>
    <x v="4"/>
    <x v="3"/>
    <s v="Environmental justice and how physicians can be on the preventative side rather than reactive "/>
    <s v="Patient Care"/>
  </r>
  <r>
    <s v="2023-04-11 12:11:58"/>
    <s v="2023-04-11 12:13:27"/>
    <s v="IP Address"/>
    <s v="130.219.10.90"/>
    <s v="100"/>
    <n v="88"/>
    <n v="88"/>
    <s v="True"/>
    <s v="2023-04-11 12:13:27"/>
    <s v="R_3n8zx7weDh4tJud"/>
    <s v=""/>
    <s v=""/>
    <s v=""/>
    <s v=""/>
    <s v="40.7337"/>
    <s v="-74.1939"/>
    <s v="anonymous"/>
    <s v="EN"/>
    <s v="aa2204"/>
    <n v="5"/>
    <x v="3"/>
    <x v="3"/>
    <x v="3"/>
    <x v="3"/>
    <x v="3"/>
    <x v="3"/>
    <x v="3"/>
    <n v="3"/>
    <n v="1"/>
    <s v="PM &lt; 2.5 μm"/>
    <n v="1"/>
    <s v="Particles of this size are generally absorbed in the respiratory tract and safely excreted in mucus."/>
    <n v="1"/>
    <s v="Cars,Fireplaces,Trucks"/>
    <n v="3"/>
    <x v="4"/>
    <x v="4"/>
    <x v="5"/>
    <x v="5"/>
    <x v="5"/>
    <x v="4"/>
    <x v="3"/>
    <s v="thanks for this!!"/>
    <s v="Thanks"/>
  </r>
  <r>
    <s v="2023-04-11 10:45:58"/>
    <s v="2023-04-11 10:46:47"/>
    <s v="IP Address"/>
    <s v="104.28.78.148"/>
    <s v="100"/>
    <n v="49"/>
    <n v="49"/>
    <s v="True"/>
    <s v="2023-04-11 10:46:47"/>
    <s v="R_2pL8PspLy1rr7sv"/>
    <s v=""/>
    <s v=""/>
    <s v=""/>
    <s v=""/>
    <s v="39.2889"/>
    <s v="-76.623"/>
    <s v="qr"/>
    <s v="EN"/>
    <s v=""/>
    <n v="3"/>
    <x v="6"/>
    <x v="5"/>
    <x v="4"/>
    <x v="4"/>
    <x v="3"/>
    <x v="4"/>
    <x v="8"/>
    <n v="4"/>
    <n v="0"/>
    <s v="PM &lt; 0.25 μm"/>
    <n v="0"/>
    <s v="Particles of this size reach the bronchial tree where they corrode the alveolar parenchyma."/>
    <n v="0"/>
    <s v="Cars,Dirt Roads,Electric Vehicles,Fireplaces,Trucks"/>
    <n v="3"/>
    <x v="4"/>
    <x v="4"/>
    <x v="4"/>
    <x v="4"/>
    <x v="4"/>
    <x v="4"/>
    <x v="3"/>
    <s v=""/>
    <m/>
  </r>
  <r>
    <s v="2023-04-11 10:46:43"/>
    <s v="2023-04-11 10:47:40"/>
    <s v="IP Address"/>
    <s v="130.219.10.90"/>
    <s v="100"/>
    <n v="57"/>
    <n v="57"/>
    <s v="True"/>
    <s v="2023-04-11 10:47:41"/>
    <s v="R_UlHqf9Ap3NfqOad"/>
    <s v=""/>
    <s v=""/>
    <s v=""/>
    <s v=""/>
    <s v="40.7337"/>
    <s v="-74.1939"/>
    <s v="qr"/>
    <s v="EN"/>
    <s v=""/>
    <n v="5"/>
    <x v="3"/>
    <x v="5"/>
    <x v="3"/>
    <x v="4"/>
    <x v="4"/>
    <x v="3"/>
    <x v="8"/>
    <n v="3"/>
    <n v="1"/>
    <s v="PM &lt; 2.5 μm"/>
    <n v="1"/>
    <s v="Particles of this size are generally absorbed in the respiratory tract and safely excreted in mucus."/>
    <n v="1"/>
    <s v="Cars,Fireplaces,Trucks"/>
    <n v="3"/>
    <x v="4"/>
    <x v="4"/>
    <x v="4"/>
    <x v="4"/>
    <x v="4"/>
    <x v="4"/>
    <x v="4"/>
    <s v="SES"/>
    <s v="Demographics"/>
  </r>
  <r>
    <s v="2023-04-11 10:46:47"/>
    <s v="2023-04-11 10:48:08"/>
    <s v="IP Address"/>
    <s v="130.219.10.90"/>
    <s v="100"/>
    <n v="81"/>
    <n v="81"/>
    <s v="True"/>
    <s v="2023-04-11 10:48:09"/>
    <s v="R_C17wIxfQwtaEvdv"/>
    <s v=""/>
    <s v=""/>
    <s v=""/>
    <s v=""/>
    <s v="40.7337"/>
    <s v="-74.1939"/>
    <s v="qr"/>
    <s v="EN"/>
    <s v=""/>
    <n v="4"/>
    <x v="6"/>
    <x v="5"/>
    <x v="4"/>
    <x v="4"/>
    <x v="4"/>
    <x v="4"/>
    <x v="8"/>
    <n v="3"/>
    <n v="1"/>
    <s v="PM &lt; 2.5 μm"/>
    <n v="1"/>
    <s v="Particles of this size reach the bronchial tree where they corrode the alveolar parenchyma."/>
    <n v="0"/>
    <s v="Cars,Dirt Roads,Fireplaces,Trucks"/>
    <n v="4"/>
    <x v="4"/>
    <x v="4"/>
    <x v="4"/>
    <x v="4"/>
    <x v="4"/>
    <x v="4"/>
    <x v="3"/>
    <s v="n/a"/>
    <m/>
  </r>
  <r>
    <s v="2023-04-11 10:46:39"/>
    <s v="2023-04-11 10:48:23"/>
    <s v="IP Address"/>
    <s v="130.219.10.90"/>
    <s v="100"/>
    <n v="104"/>
    <n v="104"/>
    <s v="True"/>
    <s v="2023-04-11 10:48:24"/>
    <s v="R_2P1CagkKPyxnmCS"/>
    <s v=""/>
    <s v=""/>
    <s v=""/>
    <s v=""/>
    <s v="40.7337"/>
    <s v="-74.1939"/>
    <s v="qr"/>
    <s v="EN"/>
    <s v=""/>
    <n v="4"/>
    <x v="3"/>
    <x v="5"/>
    <x v="4"/>
    <x v="3"/>
    <x v="4"/>
    <x v="3"/>
    <x v="3"/>
    <n v="3"/>
    <n v="1"/>
    <s v="PM &lt; 2.5 μm"/>
    <n v="1"/>
    <s v="Particles of this size are generally absorbed in the respiratory tract and safely excreted in mucus."/>
    <n v="1"/>
    <s v="Cars,Dirt Roads,Electric Vehicles,Fireplaces,Pollen,Trucks"/>
    <n v="2"/>
    <x v="4"/>
    <x v="4"/>
    <x v="4"/>
    <x v="4"/>
    <x v="4"/>
    <x v="4"/>
    <x v="3"/>
    <s v="Skin"/>
    <s v="Other Specialties (Derm)"/>
  </r>
  <r>
    <s v="2023-04-11 10:46:36"/>
    <s v="2023-04-11 10:48:44"/>
    <s v="IP Address"/>
    <s v="128.6.37.253"/>
    <s v="100"/>
    <n v="127"/>
    <n v="127"/>
    <s v="True"/>
    <s v="2023-04-11 10:48:44"/>
    <s v="R_1DAU8qnx61HO18G"/>
    <s v=""/>
    <s v=""/>
    <s v=""/>
    <s v=""/>
    <s v="40.488"/>
    <s v="-74.4544"/>
    <s v="qr"/>
    <s v="EN"/>
    <s v=""/>
    <n v="4"/>
    <x v="6"/>
    <x v="5"/>
    <x v="4"/>
    <x v="6"/>
    <x v="5"/>
    <x v="3"/>
    <x v="4"/>
    <n v="3"/>
    <n v="1"/>
    <s v="PM &lt; 2.5 μm"/>
    <n v="1"/>
    <s v="Particles of this size are generally absorbed in the respiratory tract and safely excreted in mucus."/>
    <n v="1"/>
    <s v="Cars,Fireplaces"/>
    <n v="2"/>
    <x v="5"/>
    <x v="6"/>
    <x v="3"/>
    <x v="6"/>
    <x v="3"/>
    <x v="6"/>
    <x v="3"/>
    <s v=""/>
    <m/>
  </r>
  <r>
    <s v="2023-04-11 10:46:36"/>
    <s v="2023-04-11 10:49:01"/>
    <s v="IP Address"/>
    <s v="174.206.235.247"/>
    <s v="100"/>
    <n v="144"/>
    <n v="144"/>
    <s v="True"/>
    <s v="2023-04-11 10:49:01"/>
    <s v="R_2OPSq2hP4fcRKWe"/>
    <s v=""/>
    <s v=""/>
    <s v=""/>
    <s v=""/>
    <s v="40.6129"/>
    <s v="-74.416"/>
    <s v="qr"/>
    <s v="EN"/>
    <s v=""/>
    <n v="5"/>
    <x v="3"/>
    <x v="5"/>
    <x v="3"/>
    <x v="5"/>
    <x v="6"/>
    <x v="3"/>
    <x v="4"/>
    <n v="3"/>
    <n v="1"/>
    <s v="PM &lt; 2.5 μm"/>
    <n v="1"/>
    <s v="Particles of this size are generally absorbed in the respiratory tract and safely excreted in mucus."/>
    <n v="1"/>
    <s v="Cars,Fireplaces"/>
    <n v="2"/>
    <x v="6"/>
    <x v="4"/>
    <x v="5"/>
    <x v="5"/>
    <x v="5"/>
    <x v="4"/>
    <x v="4"/>
    <s v=""/>
    <m/>
  </r>
  <r>
    <s v="2023-04-11 10:46:39"/>
    <s v="2023-04-11 10:49:56"/>
    <s v="IP Address"/>
    <s v="130.219.10.90"/>
    <s v="100"/>
    <n v="196"/>
    <n v="196"/>
    <s v="True"/>
    <s v="2023-04-11 10:49:56"/>
    <s v="R_1ITvS6yG3zqCMwO"/>
    <s v=""/>
    <s v=""/>
    <s v=""/>
    <s v=""/>
    <s v="40.7337"/>
    <s v="-74.1939"/>
    <s v="qr"/>
    <s v="EN"/>
    <s v=""/>
    <n v="5"/>
    <x v="6"/>
    <x v="5"/>
    <x v="4"/>
    <x v="3"/>
    <x v="3"/>
    <x v="4"/>
    <x v="6"/>
    <n v="3.5"/>
    <n v="0.5"/>
    <s v="PM &lt; 0.05 μm"/>
    <n v="0"/>
    <s v="Particles of this size are generally absorbed in the respiratory tract and safely excreted in mucus."/>
    <n v="1"/>
    <s v="Dirt Roads"/>
    <n v="1"/>
    <x v="5"/>
    <x v="5"/>
    <x v="3"/>
    <x v="3"/>
    <x v="7"/>
    <x v="6"/>
    <x v="10"/>
    <s v="Impacts of smog on MI incidence "/>
    <s v="Other Specialties (Cardio)"/>
  </r>
  <r>
    <s v="2023-04-11 10:46:36"/>
    <s v="2023-04-11 10:49:57"/>
    <s v="IP Address"/>
    <s v="128.6.36.129"/>
    <s v="100"/>
    <n v="200"/>
    <n v="200"/>
    <s v="True"/>
    <s v="2023-04-11 10:49:57"/>
    <s v="R_1LwKy0h1A0wkWuY"/>
    <s v=""/>
    <s v=""/>
    <s v=""/>
    <s v=""/>
    <s v="40.488"/>
    <s v="-74.4544"/>
    <s v="qr"/>
    <s v="EN"/>
    <s v=""/>
    <n v="4"/>
    <x v="6"/>
    <x v="5"/>
    <x v="4"/>
    <x v="4"/>
    <x v="4"/>
    <x v="4"/>
    <x v="4"/>
    <n v="3"/>
    <n v="1"/>
    <s v="PM &lt; 2.5 μm"/>
    <n v="1"/>
    <s v="Particles of this size are generally absorbed in the respiratory tract and safely excreted in mucus."/>
    <n v="1"/>
    <s v="Cars,Dirt Roads,Fireplaces,Trucks"/>
    <n v="4"/>
    <x v="6"/>
    <x v="6"/>
    <x v="5"/>
    <x v="5"/>
    <x v="5"/>
    <x v="5"/>
    <x v="5"/>
    <s v="Asbestos"/>
    <s v="Other Specialties (Pulm)"/>
  </r>
  <r>
    <s v="2023-04-11 10:51:00"/>
    <s v="2023-04-11 10:52:28"/>
    <s v="IP Address"/>
    <s v="130.219.10.90"/>
    <s v="100"/>
    <n v="87"/>
    <n v="87"/>
    <s v="True"/>
    <s v="2023-04-11 10:52:28"/>
    <s v="R_3z9yOLPkrPEpwJ3"/>
    <s v=""/>
    <s v=""/>
    <s v=""/>
    <s v=""/>
    <s v="40.7337"/>
    <s v="-74.1939"/>
    <s v="qr"/>
    <s v="EN"/>
    <s v=""/>
    <n v="5"/>
    <x v="3"/>
    <x v="3"/>
    <x v="3"/>
    <x v="3"/>
    <x v="3"/>
    <x v="3"/>
    <x v="3"/>
    <m/>
    <n v="0"/>
    <s v="PM &lt; 0.25 μm"/>
    <n v="0"/>
    <s v="Particles of this size are generally absorbed in the respiratory tract and safely excreted in mucus."/>
    <n v="1"/>
    <s v="Cars,Dirt Roads,Fireplaces,Trucks"/>
    <n v="4"/>
    <x v="4"/>
    <x v="4"/>
    <x v="4"/>
    <x v="4"/>
    <x v="4"/>
    <x v="4"/>
    <x v="3"/>
    <s v=""/>
    <m/>
  </r>
  <r>
    <s v="2023-04-11 10:50:57"/>
    <s v="2023-04-11 10:54:26"/>
    <s v="IP Address"/>
    <s v="174.206.171.225"/>
    <s v="100"/>
    <n v="208"/>
    <n v="208"/>
    <s v="True"/>
    <s v="2023-04-11 10:54:26"/>
    <s v="R_3lQEXMdm7EzmlZ7"/>
    <s v=""/>
    <s v=""/>
    <s v=""/>
    <s v=""/>
    <s v="40.7182"/>
    <s v="-74.0476"/>
    <s v="qr"/>
    <s v="EN"/>
    <s v=""/>
    <n v="5"/>
    <x v="4"/>
    <x v="4"/>
    <x v="3"/>
    <x v="6"/>
    <x v="4"/>
    <x v="3"/>
    <x v="6"/>
    <n v="3"/>
    <n v="1"/>
    <s v="PM &lt; 2.5 μm"/>
    <n v="1"/>
    <s v="Particles of this size are generally absorbed in the respiratory tract and safely excreted in mucus."/>
    <n v="1"/>
    <s v="Cars,Trucks"/>
    <n v="2"/>
    <x v="5"/>
    <x v="7"/>
    <x v="6"/>
    <x v="7"/>
    <x v="3"/>
    <x v="4"/>
    <x v="4"/>
    <s v="More about how to advise patients to ensure they are working in a safe environment. They should be able to safely demand a non-harmful working environment without fear of termination"/>
    <s v="Patient Care"/>
  </r>
  <r>
    <s v="2023-04-11 10:46:29"/>
    <s v="2023-04-11 11:15:01"/>
    <s v="IP Address"/>
    <s v="128.6.36.67"/>
    <s v="100"/>
    <n v="1712"/>
    <n v="1712"/>
    <s v="True"/>
    <s v="2023-04-11 11:15:01"/>
    <s v="R_1kH1VQuTYbscnCe"/>
    <s v=""/>
    <s v=""/>
    <s v=""/>
    <s v=""/>
    <s v="40.488"/>
    <s v="-74.4544"/>
    <s v="qr"/>
    <s v="EN"/>
    <s v=""/>
    <n v="4"/>
    <x v="6"/>
    <x v="4"/>
    <x v="3"/>
    <x v="5"/>
    <x v="5"/>
    <x v="4"/>
    <x v="4"/>
    <n v="3"/>
    <n v="1"/>
    <s v="PM &lt; 2.5 μm"/>
    <n v="1"/>
    <s v="Particles of this diameter are unable to be suspended in air."/>
    <n v="0"/>
    <s v="Cars,Dirt Roads,Electric Vehicles,Fireplaces,Pollen,Trucks"/>
    <n v="2"/>
    <x v="6"/>
    <x v="6"/>
    <x v="5"/>
    <x v="5"/>
    <x v="5"/>
    <x v="5"/>
    <x v="5"/>
    <s v="Pollution"/>
    <s v="Other Specialties (Pulm)"/>
  </r>
  <r>
    <s v="2023-04-11 13:06:31"/>
    <s v="2023-04-11 13:10:06"/>
    <s v="IP Address"/>
    <s v="174.44.123.186"/>
    <s v="100"/>
    <n v="215"/>
    <n v="215"/>
    <s v="True"/>
    <s v="2023-04-11 13:10:07"/>
    <s v="R_720cTRIvJuCrPBT"/>
    <s v=""/>
    <s v=""/>
    <s v=""/>
    <s v=""/>
    <s v="40.5859"/>
    <s v="-74.6832"/>
    <s v="anonymous"/>
    <s v="EN"/>
    <s v=""/>
    <n v="5"/>
    <x v="3"/>
    <x v="5"/>
    <x v="5"/>
    <x v="4"/>
    <x v="3"/>
    <x v="3"/>
    <x v="4"/>
    <n v="1.5"/>
    <n v="0"/>
    <s v="PM &lt; 2.5 μm"/>
    <n v="1"/>
    <s v="Particles of this size are generally absorbed in the respiratory tract and safely excreted in mucus."/>
    <n v="1"/>
    <s v="Cars,Fireplaces,Trucks"/>
    <n v="3"/>
    <x v="7"/>
    <x v="5"/>
    <x v="4"/>
    <x v="6"/>
    <x v="5"/>
    <x v="4"/>
    <x v="5"/>
    <s v="Air quality within homes: gas oven vs. electric, education to provide patients on quickly recognizing if mold, carbon monoxide, radon, etc. is present in their homes."/>
    <s v="Patient Care"/>
  </r>
  <r>
    <s v="2023-04-11 14:09:32"/>
    <s v="2023-04-11 14:11:08"/>
    <s v="IP Address"/>
    <s v="69.114.133.129"/>
    <s v="100"/>
    <n v="96"/>
    <n v="96"/>
    <s v="True"/>
    <s v="2023-04-11 14:11:09"/>
    <s v="R_2v9fQRvIoS0XVJL"/>
    <s v=""/>
    <s v=""/>
    <s v=""/>
    <s v=""/>
    <s v="40.5511"/>
    <s v="-74.4606"/>
    <s v="anonymous"/>
    <s v="EN"/>
    <s v=""/>
    <n v="5"/>
    <x v="3"/>
    <x v="7"/>
    <x v="5"/>
    <x v="3"/>
    <x v="6"/>
    <x v="3"/>
    <x v="4"/>
    <n v="4"/>
    <n v="0"/>
    <s v="PM &lt; 0.25 μm"/>
    <n v="0"/>
    <s v="Particles of this diameter are unable to be suspended in air."/>
    <n v="0"/>
    <s v="Cars,Dirt Roads,Fireplaces,Pollen,Trucks"/>
    <n v="3"/>
    <x v="4"/>
    <x v="4"/>
    <x v="4"/>
    <x v="3"/>
    <x v="4"/>
    <x v="4"/>
    <x v="3"/>
    <s v="Deeper dive into effects in diff specialties"/>
    <s v="Other Specialties"/>
  </r>
  <r>
    <s v="2023-04-13 09:50:17"/>
    <s v="2023-04-13 09:53:01"/>
    <s v="IP Address"/>
    <s v="166.196.103.103"/>
    <s v="100"/>
    <n v="164"/>
    <n v="164"/>
    <s v="True"/>
    <s v="2023-04-13 09:53:02"/>
    <s v="R_28XORn2RHsyduOQ"/>
    <s v=""/>
    <s v=""/>
    <s v=""/>
    <s v=""/>
    <s v="39.9195"/>
    <s v="-75.1565"/>
    <s v="anonymous"/>
    <s v="EN"/>
    <s v=""/>
    <n v="4"/>
    <x v="5"/>
    <x v="5"/>
    <x v="3"/>
    <x v="5"/>
    <x v="6"/>
    <x v="3"/>
    <x v="6"/>
    <n v="2.5"/>
    <n v="0.5"/>
    <s v="PM &lt; 2.5 μm"/>
    <n v="1"/>
    <s v="Particles of this size are generally absorbed in the respiratory tract and safely excreted in mucus."/>
    <n v="1"/>
    <s v="Cars,Electric Vehicles,Fireplaces"/>
    <n v="1"/>
    <x v="6"/>
    <x v="3"/>
    <x v="5"/>
    <x v="7"/>
    <x v="5"/>
    <x v="5"/>
    <x v="3"/>
    <s v="Parasite infections from contaminated lakes "/>
    <s v="Other Specialties (ID)"/>
  </r>
  <r>
    <s v="2023-04-13 10:46:33"/>
    <s v="2023-04-13 10:48:41"/>
    <s v="IP Address"/>
    <s v="174.166.18.62"/>
    <s v="100"/>
    <n v="127"/>
    <n v="127"/>
    <s v="True"/>
    <s v="2023-04-13 10:48:41"/>
    <s v="R_3EzlF8OMovJ0hwq"/>
    <s v=""/>
    <s v=""/>
    <s v=""/>
    <s v=""/>
    <s v="40.4496"/>
    <s v="-74.6566"/>
    <s v="anonymous"/>
    <s v="EN"/>
    <s v=""/>
    <n v="3"/>
    <x v="4"/>
    <x v="6"/>
    <x v="5"/>
    <x v="7"/>
    <x v="5"/>
    <x v="4"/>
    <x v="5"/>
    <n v="3"/>
    <n v="1"/>
    <s v="PM &lt; 2.5 μm"/>
    <n v="1"/>
    <s v="Particles of this size are generally absorbed in the respiratory tract and safely excreted in mucus."/>
    <n v="1"/>
    <s v="Cars,Fireplaces,Trucks"/>
    <n v="3"/>
    <x v="4"/>
    <x v="4"/>
    <x v="4"/>
    <x v="4"/>
    <x v="4"/>
    <x v="4"/>
    <x v="4"/>
    <s v=""/>
    <m/>
  </r>
  <r>
    <s v="2023-04-13 11:08:14"/>
    <s v="2023-04-13 11:09:28"/>
    <s v="IP Address"/>
    <s v="128.6.36.115"/>
    <s v="100"/>
    <n v="74"/>
    <n v="74"/>
    <s v="True"/>
    <s v="2023-04-13 11:09:28"/>
    <s v="R_1et16cqZk66m021"/>
    <s v=""/>
    <s v=""/>
    <s v=""/>
    <s v=""/>
    <s v="40.488"/>
    <s v="-74.4544"/>
    <s v="anonymous"/>
    <s v="EN"/>
    <s v=""/>
    <n v="5"/>
    <x v="6"/>
    <x v="5"/>
    <x v="3"/>
    <x v="5"/>
    <x v="5"/>
    <x v="3"/>
    <x v="4"/>
    <n v="4"/>
    <n v="0"/>
    <s v="PM &lt; 2.5 μm"/>
    <n v="1"/>
    <s v="Particles of this size reach the bronchial tree where they corrode the alveolar parenchyma."/>
    <n v="0"/>
    <s v="Cars,Dirt Roads,Fireplaces,Trucks"/>
    <n v="4"/>
    <x v="6"/>
    <x v="4"/>
    <x v="3"/>
    <x v="6"/>
    <x v="5"/>
    <x v="4"/>
    <x v="5"/>
    <s v=""/>
    <m/>
  </r>
  <r>
    <s v="2023-04-13 13:31:41"/>
    <s v="2023-04-13 13:32:40"/>
    <s v="IP Address"/>
    <s v="130.219.10.90"/>
    <s v="100"/>
    <n v="59"/>
    <n v="59"/>
    <s v="True"/>
    <s v="2023-04-13 13:32:41"/>
    <s v="R_2xRUOjEMZzKkfSq"/>
    <s v=""/>
    <s v=""/>
    <s v=""/>
    <s v=""/>
    <s v="40.7337"/>
    <s v="-74.1939"/>
    <s v="anonymous"/>
    <s v="EN"/>
    <s v=""/>
    <n v="5"/>
    <x v="3"/>
    <x v="3"/>
    <x v="3"/>
    <x v="3"/>
    <x v="3"/>
    <x v="3"/>
    <x v="3"/>
    <n v="5"/>
    <n v="0"/>
    <s v="PM &lt; 0.05 μm"/>
    <n v="0"/>
    <s v="Particles of this size include dust and pollen and are the main source of seasonal rhinitis"/>
    <n v="0"/>
    <s v="Cars,Dirt Roads,Electric Vehicles,Fireplaces,Pollen,Trucks"/>
    <n v="2"/>
    <x v="4"/>
    <x v="4"/>
    <x v="4"/>
    <x v="4"/>
    <x v="4"/>
    <x v="4"/>
    <x v="3"/>
    <s v="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A3F351-0DD0-4595-9305-81FBECCE9502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H25:AJ31" firstHeaderRow="0" firstDataRow="1" firstDataCol="1"/>
  <pivotFields count="4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0">
        <item x="8"/>
        <item x="7"/>
        <item x="6"/>
        <item x="4"/>
        <item x="5"/>
        <item x="3"/>
        <item h="1" x="2"/>
        <item h="1" x="1"/>
        <item h="1" x="0"/>
        <item t="default"/>
      </items>
    </pivotField>
    <pivotField showAll="0">
      <items count="7">
        <item x="5"/>
        <item x="4"/>
        <item x="3"/>
        <item h="1" x="2"/>
        <item h="1" x="1"/>
        <item h="1" x="0"/>
        <item t="default"/>
      </items>
    </pivotField>
    <pivotField showAll="0">
      <items count="11">
        <item x="9"/>
        <item x="7"/>
        <item x="6"/>
        <item x="5"/>
        <item x="4"/>
        <item x="3"/>
        <item h="1" x="2"/>
        <item h="1" x="1"/>
        <item h="1" x="0"/>
        <item h="1" x="8"/>
        <item t="default"/>
      </items>
    </pivotField>
    <pivotField showAll="0">
      <items count="10">
        <item x="7"/>
        <item x="6"/>
        <item x="5"/>
        <item x="4"/>
        <item x="3"/>
        <item h="1" x="2"/>
        <item h="1" x="1"/>
        <item h="1" x="0"/>
        <item h="1" x="8"/>
        <item t="default"/>
      </items>
    </pivotField>
    <pivotField showAll="0">
      <items count="8">
        <item x="6"/>
        <item x="4"/>
        <item x="3"/>
        <item h="1" x="2"/>
        <item h="1" x="1"/>
        <item h="1" x="0"/>
        <item h="1" x="5"/>
        <item t="default"/>
      </items>
    </pivotField>
    <pivotField axis="axisRow" dataField="1" showAll="0">
      <items count="10">
        <item x="6"/>
        <item x="5"/>
        <item x="4"/>
        <item x="8"/>
        <item x="3"/>
        <item h="1" x="2"/>
        <item h="1" x="1"/>
        <item h="1" x="0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Q3_7" fld="26" subtotal="count" showDataAs="percentOfCol" baseField="0" baseItem="0" numFmtId="9"/>
    <dataField name="Count of Q3_7_2" fld="26" subtotal="count" baseField="0" baseItem="0" numFmtId="1"/>
  </dataFields>
  <formats count="5">
    <format dxfId="376">
      <pivotArea dataOnly="0" labelOnly="1" outline="0" axis="axisValues" fieldPosition="0"/>
    </format>
    <format dxfId="375">
      <pivotArea outline="0" collapsedLevelsAreSubtotals="1" fieldPosition="0"/>
    </format>
    <format dxfId="374">
      <pivotArea outline="0" fieldPosition="0">
        <references count="1">
          <reference field="4294967294" count="1">
            <x v="0"/>
          </reference>
        </references>
      </pivotArea>
    </format>
    <format dxfId="37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7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5FA10A-A433-415A-8250-099D8B183C18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R15:T21" firstHeaderRow="0" firstDataRow="1" firstDataCol="1"/>
  <pivotFields count="4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9">
        <item x="7"/>
        <item x="6"/>
        <item x="3"/>
        <item x="5"/>
        <item x="4"/>
        <item h="1" x="2"/>
        <item h="1" x="1"/>
        <item h="1"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37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Q8_3" fld="37" subtotal="count" showDataAs="percentOfCol" baseField="0" baseItem="0" numFmtId="9"/>
    <dataField name="Count of Q8_3_2" fld="37" subtotal="count" baseField="0" baseItem="0" numFmtId="1"/>
  </dataFields>
  <formats count="4">
    <format dxfId="417">
      <pivotArea dataOnly="0" labelOnly="1" outline="0" axis="axisValues" fieldPosition="0"/>
    </format>
    <format dxfId="416">
      <pivotArea outline="0" fieldPosition="0">
        <references count="1">
          <reference field="4294967294" count="1">
            <x v="0"/>
          </reference>
        </references>
      </pivotArea>
    </format>
    <format dxfId="415">
      <pivotArea outline="0" collapsedLevelsAreSubtotals="1" fieldPosition="0"/>
    </format>
    <format dxfId="414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F05B17-B491-4626-B5FD-1E91CD12302D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J15:L21" firstHeaderRow="0" firstDataRow="1" firstDataCol="1"/>
  <pivotFields count="4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9">
        <item x="7"/>
        <item x="3"/>
        <item x="5"/>
        <item x="6"/>
        <item x="4"/>
        <item h="1" x="2"/>
        <item h="1" x="1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Q8_1" fld="35" subtotal="count" showDataAs="percentOfCol" baseField="0" baseItem="0" numFmtId="9"/>
    <dataField name="Count of Q8_1_2" fld="35" subtotal="count" baseField="0" baseItem="0" numFmtId="1"/>
  </dataFields>
  <formats count="6">
    <format dxfId="423">
      <pivotArea dataOnly="0" labelOnly="1" outline="0" axis="axisValues" fieldPosition="0"/>
    </format>
    <format dxfId="422">
      <pivotArea outline="0" fieldPosition="0">
        <references count="1">
          <reference field="4294967294" count="1">
            <x v="0"/>
          </reference>
        </references>
      </pivotArea>
    </format>
    <format dxfId="421">
      <pivotArea collapsedLevelsAreSubtotals="1" fieldPosition="0">
        <references count="1">
          <reference field="35" count="1">
            <x v="0"/>
          </reference>
        </references>
      </pivotArea>
    </format>
    <format dxfId="420">
      <pivotArea outline="0" collapsedLevelsAreSubtotals="1" fieldPosition="0"/>
    </format>
    <format dxfId="419">
      <pivotArea outline="0" fieldPosition="0">
        <references count="1">
          <reference field="4294967294" count="1">
            <x v="1"/>
          </reference>
        </references>
      </pivotArea>
    </format>
    <format dxfId="41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49485D-E784-844A-9878-101F3DB6EC1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J3:K11" firstHeaderRow="1" firstDataRow="1" firstDataCol="1"/>
  <pivotFields count="4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2">
        <item x="8"/>
        <item x="10"/>
        <item x="6"/>
        <item x="7"/>
        <item x="5"/>
        <item x="4"/>
        <item x="3"/>
        <item h="1" x="2"/>
        <item h="1" x="1"/>
        <item h="1" x="0"/>
        <item h="1" x="9"/>
        <item t="default"/>
      </items>
    </pivotField>
    <pivotField showAll="0"/>
    <pivotField showAll="0"/>
  </pivotFields>
  <rowFields count="1">
    <field x="4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Q9_1" fld="41" subtotal="count" showDataAs="percentOfCol" baseField="0" baseItem="0" numFmtId="9"/>
  </dataFields>
  <formats count="3">
    <format dxfId="426">
      <pivotArea dataOnly="0" labelOnly="1" outline="0" axis="axisValues" fieldPosition="0"/>
    </format>
    <format dxfId="425">
      <pivotArea outline="0" fieldPosition="0">
        <references count="1">
          <reference field="4294967294" count="1">
            <x v="0"/>
          </reference>
        </references>
      </pivotArea>
    </format>
    <format dxfId="42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4C1D81-463F-4866-9ECF-4CCCFC1C6BBD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D25:AF29" firstHeaderRow="0" firstDataRow="1" firstDataCol="1"/>
  <pivotFields count="4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0">
        <item x="8"/>
        <item x="7"/>
        <item x="6"/>
        <item x="4"/>
        <item x="5"/>
        <item x="3"/>
        <item h="1" x="2"/>
        <item h="1" x="1"/>
        <item h="1" x="0"/>
        <item t="default"/>
      </items>
    </pivotField>
    <pivotField showAll="0">
      <items count="7">
        <item x="5"/>
        <item x="4"/>
        <item x="3"/>
        <item h="1" x="2"/>
        <item h="1" x="1"/>
        <item h="1" x="0"/>
        <item t="default"/>
      </items>
    </pivotField>
    <pivotField showAll="0">
      <items count="11">
        <item x="9"/>
        <item x="7"/>
        <item x="6"/>
        <item x="5"/>
        <item x="4"/>
        <item x="3"/>
        <item h="1" x="2"/>
        <item h="1" x="1"/>
        <item h="1" x="0"/>
        <item h="1" x="8"/>
        <item t="default"/>
      </items>
    </pivotField>
    <pivotField showAll="0">
      <items count="10">
        <item x="7"/>
        <item x="6"/>
        <item x="5"/>
        <item x="4"/>
        <item x="3"/>
        <item h="1" x="2"/>
        <item h="1" x="1"/>
        <item h="1" x="0"/>
        <item h="1" x="8"/>
        <item t="default"/>
      </items>
    </pivotField>
    <pivotField axis="axisRow" dataField="1" showAll="0">
      <items count="8">
        <item x="6"/>
        <item x="4"/>
        <item x="3"/>
        <item h="1" x="2"/>
        <item h="1" x="1"/>
        <item h="1" x="0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5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Q3_6" fld="25" subtotal="count" showDataAs="percentOfCol" baseField="0" baseItem="0" numFmtId="9"/>
    <dataField name="Count of Q3_6_2" fld="25" subtotal="count" baseField="0" baseItem="0" numFmtId="1"/>
  </dataFields>
  <formats count="5">
    <format dxfId="431">
      <pivotArea dataOnly="0" labelOnly="1" outline="0" axis="axisValues" fieldPosition="0"/>
    </format>
    <format dxfId="430">
      <pivotArea outline="0" collapsedLevelsAreSubtotals="1" fieldPosition="0"/>
    </format>
    <format dxfId="429">
      <pivotArea outline="0" fieldPosition="0">
        <references count="1">
          <reference field="4294967294" count="1">
            <x v="0"/>
          </reference>
        </references>
      </pivotArea>
    </format>
    <format dxfId="42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2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CEAF09-E00F-4A56-BB0D-4D104643FE34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J25:L30" firstHeaderRow="0" firstDataRow="1" firstDataCol="1"/>
  <pivotFields count="4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8">
        <item x="5"/>
        <item x="4"/>
        <item x="6"/>
        <item x="3"/>
        <item h="1" x="2"/>
        <item h="1" x="1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Q3_1" fld="20" subtotal="count" showDataAs="percentOfCol" baseField="0" baseItem="0" numFmtId="9"/>
    <dataField name="Count of Q3_1_2" fld="20" subtotal="count" baseField="0" baseItem="0" numFmtId="1"/>
  </dataFields>
  <formats count="5">
    <format dxfId="436">
      <pivotArea dataOnly="0" labelOnly="1" outline="0" axis="axisValues" fieldPosition="0"/>
    </format>
    <format dxfId="435">
      <pivotArea outline="0" fieldPosition="0">
        <references count="1">
          <reference field="4294967294" count="1">
            <x v="0"/>
          </reference>
        </references>
      </pivotArea>
    </format>
    <format dxfId="434">
      <pivotArea collapsedLevelsAreSubtotals="1" fieldPosition="0">
        <references count="1">
          <reference field="20" count="1">
            <x v="3"/>
          </reference>
        </references>
      </pivotArea>
    </format>
    <format dxfId="433">
      <pivotArea outline="0" collapsedLevelsAreSubtotals="1" fieldPosition="0"/>
    </format>
    <format dxfId="432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C0D70E-BBD4-449D-B153-3760A2133CB6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R25:T29" firstHeaderRow="0" firstDataRow="1" firstDataCol="1"/>
  <pivotFields count="4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0">
        <item x="8"/>
        <item x="7"/>
        <item x="6"/>
        <item x="4"/>
        <item x="5"/>
        <item x="3"/>
        <item h="1" x="2"/>
        <item h="1" x="1"/>
        <item h="1" x="0"/>
        <item t="default"/>
      </items>
    </pivotField>
    <pivotField axis="axisRow" dataField="1" showAll="0">
      <items count="7">
        <item x="5"/>
        <item x="4"/>
        <item x="3"/>
        <item h="1" x="2"/>
        <item h="1" x="1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Q3_3" fld="22" subtotal="count" showDataAs="percentOfCol" baseField="0" baseItem="0" numFmtId="9"/>
    <dataField name="Count of Q3_3_2" fld="22" subtotal="count" baseField="0" baseItem="0" numFmtId="1"/>
  </dataFields>
  <formats count="5">
    <format dxfId="381">
      <pivotArea dataOnly="0" labelOnly="1" outline="0" axis="axisValues" fieldPosition="0"/>
    </format>
    <format dxfId="380">
      <pivotArea outline="0" collapsedLevelsAreSubtotals="1" fieldPosition="0"/>
    </format>
    <format dxfId="379">
      <pivotArea outline="0" fieldPosition="0">
        <references count="1">
          <reference field="4294967294" count="1">
            <x v="0"/>
          </reference>
        </references>
      </pivotArea>
    </format>
    <format dxfId="37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7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7E1A08-0030-4727-AAE6-6114FDB613A8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Z25:AB31" firstHeaderRow="0" firstDataRow="1" firstDataCol="1"/>
  <pivotFields count="4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0">
        <item x="8"/>
        <item x="7"/>
        <item x="6"/>
        <item x="4"/>
        <item x="5"/>
        <item x="3"/>
        <item h="1" x="2"/>
        <item h="1" x="1"/>
        <item h="1" x="0"/>
        <item t="default"/>
      </items>
    </pivotField>
    <pivotField showAll="0">
      <items count="7">
        <item x="5"/>
        <item x="4"/>
        <item x="3"/>
        <item h="1" x="2"/>
        <item h="1" x="1"/>
        <item h="1" x="0"/>
        <item t="default"/>
      </items>
    </pivotField>
    <pivotField showAll="0">
      <items count="11">
        <item x="9"/>
        <item x="7"/>
        <item x="6"/>
        <item x="5"/>
        <item x="4"/>
        <item x="3"/>
        <item h="1" x="2"/>
        <item h="1" x="1"/>
        <item h="1" x="0"/>
        <item h="1" x="8"/>
        <item t="default"/>
      </items>
    </pivotField>
    <pivotField axis="axisRow" dataField="1" showAll="0">
      <items count="10">
        <item x="7"/>
        <item x="6"/>
        <item x="5"/>
        <item x="4"/>
        <item x="3"/>
        <item h="1" x="2"/>
        <item h="1" x="1"/>
        <item h="1" x="0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Q3_5" fld="24" subtotal="count" showDataAs="percentOfCol" baseField="0" baseItem="0" numFmtId="9"/>
    <dataField name="Count of Q3_5_2" fld="24" subtotal="count" baseField="0" baseItem="0" numFmtId="1"/>
  </dataFields>
  <formats count="5">
    <format dxfId="386">
      <pivotArea dataOnly="0" labelOnly="1" outline="0" axis="axisValues" fieldPosition="0"/>
    </format>
    <format dxfId="385">
      <pivotArea outline="0" collapsedLevelsAreSubtotals="1" fieldPosition="0"/>
    </format>
    <format dxfId="384">
      <pivotArea outline="0" fieldPosition="0">
        <references count="1">
          <reference field="4294967294" count="1">
            <x v="0"/>
          </reference>
        </references>
      </pivotArea>
    </format>
    <format dxfId="38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8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3F03E5-B493-402A-9605-0A302488EA1C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V25:X32" firstHeaderRow="0" firstDataRow="1" firstDataCol="1"/>
  <pivotFields count="4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0">
        <item x="8"/>
        <item x="7"/>
        <item x="6"/>
        <item x="4"/>
        <item x="5"/>
        <item x="3"/>
        <item h="1" x="2"/>
        <item h="1" x="1"/>
        <item h="1" x="0"/>
        <item t="default"/>
      </items>
    </pivotField>
    <pivotField showAll="0">
      <items count="7">
        <item x="5"/>
        <item x="4"/>
        <item x="3"/>
        <item h="1" x="2"/>
        <item h="1" x="1"/>
        <item h="1" x="0"/>
        <item t="default"/>
      </items>
    </pivotField>
    <pivotField axis="axisRow" dataField="1" showAll="0">
      <items count="11">
        <item x="9"/>
        <item x="7"/>
        <item x="6"/>
        <item x="5"/>
        <item x="4"/>
        <item x="3"/>
        <item h="1" x="2"/>
        <item h="1" x="1"/>
        <item h="1" x="0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Q3_4" fld="23" subtotal="count" showDataAs="percentOfCol" baseField="0" baseItem="0" numFmtId="9"/>
    <dataField name="Count of Q3_4_2" fld="23" subtotal="count" baseField="0" baseItem="0" numFmtId="1"/>
  </dataFields>
  <formats count="5">
    <format dxfId="391">
      <pivotArea dataOnly="0" labelOnly="1" outline="0" axis="axisValues" fieldPosition="0"/>
    </format>
    <format dxfId="390">
      <pivotArea outline="0" collapsedLevelsAreSubtotals="1" fieldPosition="0"/>
    </format>
    <format dxfId="389">
      <pivotArea outline="0" fieldPosition="0">
        <references count="1">
          <reference field="4294967294" count="1">
            <x v="0"/>
          </reference>
        </references>
      </pivotArea>
    </format>
    <format dxfId="38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8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99F1F1-4DF9-42CB-AD76-E41F0B6753E2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V15:X21" firstHeaderRow="0" firstDataRow="1" firstDataCol="1"/>
  <pivotFields count="4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9">
        <item x="7"/>
        <item x="3"/>
        <item x="6"/>
        <item x="5"/>
        <item x="4"/>
        <item h="1" x="2"/>
        <item h="1" x="1"/>
        <item h="1" x="0"/>
        <item t="default"/>
      </items>
    </pivotField>
    <pivotField showAll="0"/>
    <pivotField showAll="0"/>
    <pivotField showAll="0"/>
    <pivotField showAll="0"/>
    <pivotField showAll="0"/>
  </pivotFields>
  <rowFields count="1">
    <field x="3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Q8_4" fld="38" subtotal="count" showDataAs="percentOfCol" baseField="0" baseItem="0" numFmtId="9"/>
    <dataField name="Count of Q8_4_2" fld="38" subtotal="count" baseField="0" baseItem="0" numFmtId="1"/>
  </dataFields>
  <formats count="4">
    <format dxfId="395">
      <pivotArea dataOnly="0" labelOnly="1" outline="0" axis="axisValues" fieldPosition="0"/>
    </format>
    <format dxfId="394">
      <pivotArea outline="0" fieldPosition="0">
        <references count="1">
          <reference field="4294967294" count="1">
            <x v="0"/>
          </reference>
        </references>
      </pivotArea>
    </format>
    <format dxfId="393">
      <pivotArea outline="0" collapsedLevelsAreSubtotals="1" fieldPosition="0"/>
    </format>
    <format dxfId="392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600BBC-7DA3-4FC0-AECF-71869668D49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N15:P21" firstHeaderRow="0" firstDataRow="1" firstDataCol="1"/>
  <pivotFields count="4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0">
        <item x="3"/>
        <item x="7"/>
        <item x="5"/>
        <item x="6"/>
        <item x="4"/>
        <item h="1" x="2"/>
        <item h="1" x="1"/>
        <item h="1" x="0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3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Q8_2" fld="36" subtotal="count" showDataAs="percentOfCol" baseField="0" baseItem="0" numFmtId="9"/>
    <dataField name="Count of Q8_2_2" fld="36" subtotal="count" baseField="0" baseItem="0" numFmtId="1"/>
  </dataFields>
  <formats count="4">
    <format dxfId="399">
      <pivotArea dataOnly="0" labelOnly="1" outline="0" axis="axisValues" fieldPosition="0"/>
    </format>
    <format dxfId="398">
      <pivotArea outline="0" fieldPosition="0">
        <references count="1">
          <reference field="4294967294" count="1">
            <x v="0"/>
          </reference>
        </references>
      </pivotArea>
    </format>
    <format dxfId="397">
      <pivotArea outline="0" collapsedLevelsAreSubtotals="1" fieldPosition="0"/>
    </format>
    <format dxfId="396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B0ECDB-0C3B-4E0A-9C79-723FB6F1DE03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N25:P32" firstHeaderRow="0" firstDataRow="1" firstDataCol="1"/>
  <pivotFields count="4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0">
        <item x="8"/>
        <item x="7"/>
        <item x="6"/>
        <item x="4"/>
        <item x="5"/>
        <item x="3"/>
        <item h="1" x="2"/>
        <item h="1" x="1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Q3_2_2" fld="21" subtotal="count" showDataAs="percentOfTotal" baseField="0" baseItem="0" numFmtId="9"/>
    <dataField name="Count of Q3_2" fld="21" subtotal="count" baseField="0" baseItem="0" numFmtId="1"/>
  </dataFields>
  <formats count="5">
    <format dxfId="404">
      <pivotArea dataOnly="0" labelOnly="1" outline="0" axis="axisValues" fieldPosition="0"/>
    </format>
    <format dxfId="403">
      <pivotArea outline="0" collapsedLevelsAreSubtotals="1" fieldPosition="0"/>
    </format>
    <format dxfId="402">
      <pivotArea outline="0" fieldPosition="0">
        <references count="1">
          <reference field="4294967294" count="1">
            <x v="0"/>
          </reference>
        </references>
      </pivotArea>
    </format>
    <format dxfId="40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0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24836E-DB9D-43DE-B2C2-5B6AD43D2D19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Z15:AB21" firstHeaderRow="0" firstDataRow="1" firstDataCol="1"/>
  <pivotFields count="4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9">
        <item x="6"/>
        <item x="7"/>
        <item x="3"/>
        <item x="5"/>
        <item x="4"/>
        <item h="1" x="2"/>
        <item h="1" x="1"/>
        <item h="1" x="0"/>
        <item t="default"/>
      </items>
    </pivotField>
    <pivotField showAll="0"/>
    <pivotField showAll="0"/>
    <pivotField showAll="0"/>
    <pivotField showAll="0"/>
  </pivotFields>
  <rowFields count="1">
    <field x="3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Q8_5" fld="39" subtotal="count" showDataAs="percentOfCol" baseField="0" baseItem="0" numFmtId="9"/>
    <dataField name="Count of Q8_5_2" fld="39" subtotal="count" baseField="0" baseItem="0" numFmtId="1"/>
  </dataFields>
  <formats count="4">
    <format dxfId="408">
      <pivotArea dataOnly="0" labelOnly="1" outline="0" axis="axisValues" fieldPosition="0"/>
    </format>
    <format dxfId="407">
      <pivotArea outline="0" fieldPosition="0">
        <references count="1">
          <reference field="4294967294" count="1">
            <x v="0"/>
          </reference>
        </references>
      </pivotArea>
    </format>
    <format dxfId="406">
      <pivotArea outline="0" collapsedLevelsAreSubtotals="1" fieldPosition="0"/>
    </format>
    <format dxfId="405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E352C7-A6BD-43CB-A0FD-9DF9E85B26F7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D15:AF21" firstHeaderRow="0" firstDataRow="1" firstDataCol="1"/>
  <pivotFields count="4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9">
        <item x="7"/>
        <item x="3"/>
        <item x="6"/>
        <item x="5"/>
        <item x="4"/>
        <item h="1" x="2"/>
        <item h="1" x="1"/>
        <item h="1" x="0"/>
        <item t="default"/>
      </items>
    </pivotField>
    <pivotField showAll="0"/>
    <pivotField showAll="0"/>
    <pivotField showAll="0"/>
  </pivotFields>
  <rowFields count="1">
    <field x="4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Q8_6" fld="40" subtotal="count" showDataAs="percentOfCol" baseField="0" baseItem="0" numFmtId="9"/>
    <dataField name="Count of Q8_6_2" fld="40" subtotal="count" baseField="0" baseItem="0" numFmtId="1"/>
  </dataFields>
  <formats count="5">
    <format dxfId="413">
      <pivotArea dataOnly="0" labelOnly="1" outline="0" axis="axisValues" fieldPosition="0"/>
    </format>
    <format dxfId="412">
      <pivotArea outline="0" fieldPosition="0">
        <references count="1">
          <reference field="4294967294" count="1">
            <x v="0"/>
          </reference>
        </references>
      </pivotArea>
    </format>
    <format dxfId="411">
      <pivotArea outline="0" collapsedLevelsAreSubtotals="1" fieldPosition="0"/>
    </format>
    <format dxfId="410">
      <pivotArea outline="0" fieldPosition="0">
        <references count="1">
          <reference field="4294967294" count="1">
            <x v="1"/>
          </reference>
        </references>
      </pivotArea>
    </format>
    <format dxfId="40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C709803-FD42-0545-B4A1-9E624E537243}" autoFormatId="16" applyNumberFormats="0" applyBorderFormats="0" applyFontFormats="0" applyPatternFormats="0" applyAlignmentFormats="0" applyWidthHeightFormats="0">
  <queryTableRefresh nextId="72">
    <queryTableFields count="4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39" dataBound="0" tableColumnId="39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67" dataBound="0" tableColumnId="67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71" dataBound="0" tableColumnId="43"/>
      <queryTableField id="28" name="Column28" tableColumnId="28"/>
      <queryTableField id="68" dataBound="0" tableColumnId="40"/>
      <queryTableField id="29" name="Column29" tableColumnId="29"/>
      <queryTableField id="69" dataBound="0" tableColumnId="41"/>
      <queryTableField id="30" name="Column30" tableColumnId="30"/>
      <queryTableField id="70" dataBound="0" tableColumnId="42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A324C65-FB0A-9C43-8841-42698D02740B}" autoFormatId="16" applyNumberFormats="0" applyBorderFormats="0" applyFontFormats="0" applyPatternFormats="0" applyAlignmentFormats="0" applyWidthHeightFormats="0">
  <queryTableRefresh nextId="92" unboundColumnsRight="1">
    <queryTableFields count="4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39" dataBound="0" tableColumnId="39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86" dataBound="0" tableColumnId="86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91" dataBound="0" tableColumnId="44"/>
      <queryTableField id="28" name="Column28" tableColumnId="28"/>
      <queryTableField id="87" dataBound="0" tableColumnId="40"/>
      <queryTableField id="29" name="Column29" tableColumnId="29"/>
      <queryTableField id="88" dataBound="0" tableColumnId="41"/>
      <queryTableField id="30" name="Column30" tableColumnId="30"/>
      <queryTableField id="90" dataBound="0" tableColumnId="43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89" dataBound="0" tableColumnId="4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B03463D-2A26-ED47-A994-9DE53D2BF7C1}" autoFormatId="16" applyNumberFormats="0" applyBorderFormats="0" applyFontFormats="0" applyPatternFormats="0" applyAlignmentFormats="0" applyWidthHeightFormats="0">
  <queryTableRefresh nextId="87">
    <queryTableFields count="3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39" dataBound="0" tableColumnId="39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86" dataBound="0" tableColumnId="86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</queryTableFields>
    <queryTableDeletedFields count="1">
      <deletedField name="Column38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6155074B-3866-4401-9CAC-C81E8E6B4457}" autoFormatId="16" applyNumberFormats="0" applyBorderFormats="0" applyFontFormats="0" applyPatternFormats="0" applyAlignmentFormats="0" applyWidthHeightFormats="0">
  <queryTableRefresh nextId="113">
    <queryTableFields count="8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73" dataBound="0" tableColumnId="44"/>
      <queryTableField id="74" dataBound="0" tableColumnId="45"/>
      <queryTableField id="85" dataBound="0" tableColumnId="56"/>
      <queryTableField id="72" dataBound="0" tableColumnId="43"/>
      <queryTableField id="71" dataBound="0" tableColumnId="42"/>
      <queryTableField id="5" name="Column5" tableColumnId="5"/>
      <queryTableField id="39" dataBound="0" tableColumnId="39"/>
      <queryTableField id="6" name="Column6" tableColumnId="6"/>
      <queryTableField id="7" name="Column7" tableColumnId="7"/>
      <queryTableField id="8" name="Column8" tableColumnId="8"/>
      <queryTableField id="80" dataBound="0" tableColumnId="51"/>
      <queryTableField id="81" dataBound="0" tableColumnId="52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82" dataBound="0" tableColumnId="53"/>
      <queryTableField id="83" dataBound="0" tableColumnId="54"/>
      <queryTableField id="15" name="Column15" tableColumnId="15"/>
      <queryTableField id="84" dataBound="0" tableColumnId="55"/>
      <queryTableField id="16" name="Column16" tableColumnId="16"/>
      <queryTableField id="17" name="Column17" tableColumnId="17"/>
      <queryTableField id="18" name="Column18" tableColumnId="18"/>
      <queryTableField id="75" dataBound="0" tableColumnId="46"/>
      <queryTableField id="76" dataBound="0" tableColumnId="47"/>
      <queryTableField id="86" dataBound="0" tableColumnId="57"/>
      <queryTableField id="77" dataBound="0" tableColumnId="48"/>
      <queryTableField id="19" name="Column19" tableColumnId="19"/>
      <queryTableField id="87" dataBound="0" tableColumnId="58"/>
      <queryTableField id="20" name="Column20" tableColumnId="20"/>
      <queryTableField id="88" dataBound="0" tableColumnId="59"/>
      <queryTableField id="21" name="Column21" tableColumnId="21"/>
      <queryTableField id="89" dataBound="0" tableColumnId="60"/>
      <queryTableField id="22" name="Column22" tableColumnId="22"/>
      <queryTableField id="90" dataBound="0" tableColumnId="61"/>
      <queryTableField id="23" name="Column23" tableColumnId="23"/>
      <queryTableField id="91" dataBound="0" tableColumnId="62"/>
      <queryTableField id="24" name="Column24" tableColumnId="24"/>
      <queryTableField id="92" dataBound="0" tableColumnId="63"/>
      <queryTableField id="25" name="Column25" tableColumnId="25"/>
      <queryTableField id="93" dataBound="0" tableColumnId="64"/>
      <queryTableField id="26" name="Column26" tableColumnId="26"/>
      <queryTableField id="94" dataBound="0" tableColumnId="65"/>
      <queryTableField id="27" name="Column27" tableColumnId="27"/>
      <queryTableField id="70" dataBound="0" tableColumnId="41"/>
      <queryTableField id="95" dataBound="0" tableColumnId="66"/>
      <queryTableField id="107" dataBound="0" tableColumnId="80"/>
      <queryTableField id="28" name="Column28" tableColumnId="28"/>
      <queryTableField id="67" dataBound="0" tableColumnId="67"/>
      <queryTableField id="97" dataBound="0" tableColumnId="70"/>
      <queryTableField id="108" dataBound="0" tableColumnId="81"/>
      <queryTableField id="29" name="Column29" tableColumnId="29"/>
      <queryTableField id="68" dataBound="0" tableColumnId="68"/>
      <queryTableField id="98" dataBound="0" tableColumnId="71"/>
      <queryTableField id="109" dataBound="0" tableColumnId="82"/>
      <queryTableField id="30" name="Column30" tableColumnId="30"/>
      <queryTableField id="69" dataBound="0" tableColumnId="40"/>
      <queryTableField id="111" dataBound="0" tableColumnId="84"/>
      <queryTableField id="110" dataBound="0" tableColumnId="83"/>
      <queryTableField id="31" name="Column31" tableColumnId="31"/>
      <queryTableField id="100" dataBound="0" tableColumnId="73"/>
      <queryTableField id="32" name="Column32" tableColumnId="32"/>
      <queryTableField id="101" dataBound="0" tableColumnId="74"/>
      <queryTableField id="33" name="Column33" tableColumnId="33"/>
      <queryTableField id="102" dataBound="0" tableColumnId="75"/>
      <queryTableField id="34" name="Column34" tableColumnId="34"/>
      <queryTableField id="103" dataBound="0" tableColumnId="76"/>
      <queryTableField id="35" name="Column35" tableColumnId="35"/>
      <queryTableField id="104" dataBound="0" tableColumnId="77"/>
      <queryTableField id="36" name="Column36" tableColumnId="36"/>
      <queryTableField id="105" dataBound="0" tableColumnId="78"/>
      <queryTableField id="37" name="Column37" tableColumnId="37"/>
      <queryTableField id="106" dataBound="0" tableColumnId="79"/>
      <queryTableField id="112" dataBound="0" tableColumnId="85"/>
      <queryTableField id="38" name="Column38" tableColumnId="38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A412059-3143-BA4D-A5D6-6F0D72641C28}" name="Table6" displayName="Table6" ref="K1:P8" totalsRowShown="0" headerRowDxfId="371">
  <autoFilter ref="K1:P8" xr:uid="{DA412059-3143-BA4D-A5D6-6F0D72641C28}"/>
  <tableColumns count="6">
    <tableColumn id="1" xr3:uid="{CB04B033-9829-8047-8061-F633AE445008}" name="Question 3 - Specialty" dataDxfId="370"/>
    <tableColumn id="2" xr3:uid="{7016EC02-0B71-E141-85CD-38010981917E}" name="Pre-Survey" dataDxfId="369"/>
    <tableColumn id="3" xr3:uid="{30332D3C-B232-1D47-A3CF-CE573C60AD3D}" name="Post-Survey" dataDxfId="368"/>
    <tableColumn id="4" xr3:uid="{FB69CAE2-921E-6E4C-ADAA-27BBAA56DDE8}" name="Change" dataDxfId="367">
      <calculatedColumnFormula>M2-L2</calculatedColumnFormula>
    </tableColumn>
    <tableColumn id="5" xr3:uid="{277E36AE-DA9B-2043-97D7-00FD9F8FEB33}" name="% Change" dataDxfId="366" dataCellStyle="Percent">
      <calculatedColumnFormula>N2/L2</calculatedColumnFormula>
    </tableColumn>
    <tableColumn id="6" xr3:uid="{725A8CE2-CF3F-4947-97DF-AB7183A63E04}" name="% Possible Increase*" dataDxfId="365" dataCellStyle="Percent">
      <calculatedColumnFormula>N2/(5-L2)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4D4FC00-3889-43E4-A0DB-1DE418E8FC2C}" name="Table10" displayName="Table10" ref="A1:F7" totalsRowShown="0" headerRowDxfId="364">
  <autoFilter ref="A1:F7" xr:uid="{F4D4FC00-3889-43E4-A0DB-1DE418E8FC2C}"/>
  <tableColumns count="6">
    <tableColumn id="1" xr3:uid="{6D3EC23F-E290-47CD-A00A-BF77B7AC8C1A}" name="Question" dataDxfId="363"/>
    <tableColumn id="2" xr3:uid="{B79E3EA8-C411-4F6F-B916-15A2F353C846}" name="Pre-Survey Average" dataDxfId="362"/>
    <tableColumn id="3" xr3:uid="{049E6C6D-27C9-4B6D-803E-B8F9011F72E1}" name="Post-Survey Average" dataDxfId="361"/>
    <tableColumn id="4" xr3:uid="{40034BC5-845C-4F3D-AC05-1BD9B48E9530}" name="Absolute Difference" dataDxfId="360">
      <calculatedColumnFormula>C2-B2</calculatedColumnFormula>
    </tableColumn>
    <tableColumn id="5" xr3:uid="{496B63EF-9854-4E11-8575-E46EF80198BA}" name="% Change" dataDxfId="359" dataCellStyle="Percent">
      <calculatedColumnFormula>D2/B2</calculatedColumnFormula>
    </tableColumn>
    <tableColumn id="6" xr3:uid="{3D2DF941-12D5-46E0-96E7-3CCDCCC75115}" name="Possible Improvement %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85E2ADB-AB82-42DB-BF68-3F86BCEC942C}" name="Table11" displayName="Table11" ref="A9:F15" totalsRowShown="0">
  <autoFilter ref="A9:F15" xr:uid="{585E2ADB-AB82-42DB-BF68-3F86BCEC942C}"/>
  <tableColumns count="6">
    <tableColumn id="1" xr3:uid="{FFC744BA-281D-4561-95FE-8AE762A1B427}" name="Question" dataDxfId="358"/>
    <tableColumn id="2" xr3:uid="{187C5DB0-4C59-41C8-95C8-A949D2997F3E}" name="Pre-Survey Average" dataDxfId="357"/>
    <tableColumn id="3" xr3:uid="{D83104CC-9280-43FB-9921-993A98C86921}" name="Post-Survey Average" dataDxfId="356"/>
    <tableColumn id="4" xr3:uid="{F8FCACFE-A2CB-44EA-B605-DF963F7BDAB0}" name="Absolute Difference" dataDxfId="355">
      <calculatedColumnFormula>C10-B10</calculatedColumnFormula>
    </tableColumn>
    <tableColumn id="5" xr3:uid="{8980DC9A-DBC8-4BA0-814E-2B51C629CCA8}" name="% Change" dataDxfId="354" dataCellStyle="Percent">
      <calculatedColumnFormula>D10/B10</calculatedColumnFormula>
    </tableColumn>
    <tableColumn id="6" xr3:uid="{DBF0A62E-D28C-4808-94F8-C235AB1E6B1C}" name="Possible Improvement %" dataDxfId="353" dataCellStyle="Percent">
      <calculatedColumnFormula>D10/(5-B10)</calculatedColumnFormula>
    </tableColumn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B207163-D517-AE4E-9860-096B29A1629D}" name="Table_EH_Pre_Survey_May_20__2023_08_224" displayName="Table_EH_Pre_Survey_May_20__2023_08_224" ref="A1:AR67" tableType="queryTable" totalsRowCount="1" headerRowDxfId="352">
  <autoFilter ref="A1:AR66" xr:uid="{825A234B-CE87-CB4D-928E-EF3942FA9133}"/>
  <sortState xmlns:xlrd2="http://schemas.microsoft.com/office/spreadsheetml/2017/richdata2" ref="A2:AR66">
    <sortCondition ref="T2:T66"/>
  </sortState>
  <tableColumns count="44">
    <tableColumn id="1" xr3:uid="{BED6276B-7D4C-B94E-8425-D107351E7DA8}" uniqueName="1" name="StartDate - Start Date" queryTableFieldId="1" dataDxfId="351"/>
    <tableColumn id="2" xr3:uid="{B404C90E-8625-0C4E-8631-9FB65F00A1A9}" uniqueName="2" name="EndDate - End Date" queryTableFieldId="2" dataDxfId="350"/>
    <tableColumn id="3" xr3:uid="{8C415668-4E45-B04A-92FD-59D805EDBF1E}" uniqueName="3" name="Status - Response Type" queryTableFieldId="3" dataDxfId="349"/>
    <tableColumn id="4" xr3:uid="{48C36BF1-AE70-6A42-9F2B-5A63AF8AE5A0}" uniqueName="4" name="IPAddress - IP Address" queryTableFieldId="4" dataDxfId="348"/>
    <tableColumn id="5" xr3:uid="{69B2A16F-73DA-284A-B596-4C12C4B77868}" uniqueName="5" name="Progress - Progress" totalsRowLabel="Average" queryTableFieldId="5" dataDxfId="347"/>
    <tableColumn id="39" xr3:uid="{1BFAAA5F-6729-F742-BB04-AD2743CA91BE}" uniqueName="39" name="Duration (in seconds) - Duration (in seconds)" totalsRowFunction="custom" queryTableFieldId="39" dataDxfId="346" totalsRowDxfId="345">
      <calculatedColumnFormula>_xlfn.NUMBERVALUE(Table_EH_Pre_Survey_May_20__2023_08_224[[#This Row],[Duration (in seconds) - Duration (in seconds)2]])</calculatedColumnFormula>
      <totalsRowFormula>AVERAGE(F2:F66)</totalsRowFormula>
    </tableColumn>
    <tableColumn id="6" xr3:uid="{1B02A507-3DEB-B243-9C71-C8D154B75FDF}" uniqueName="6" name="Duration (in seconds) - Duration (in seconds)2" queryTableFieldId="6" dataDxfId="344"/>
    <tableColumn id="7" xr3:uid="{936E1385-367A-EC4C-ACD1-722193C111A1}" uniqueName="7" name="Finished - Finished" queryTableFieldId="7" dataDxfId="343"/>
    <tableColumn id="8" xr3:uid="{1A245423-0760-4447-8B54-86812B8DEECE}" uniqueName="8" name="RecordedDate - Recorded Date" queryTableFieldId="8" dataDxfId="342"/>
    <tableColumn id="9" xr3:uid="{D879EB54-7F69-2941-96B0-A848BC741B66}" uniqueName="9" name="ResponseId - Response ID" queryTableFieldId="9" dataDxfId="341"/>
    <tableColumn id="10" xr3:uid="{3501B225-9C6B-CD4A-A077-7FE94751F606}" uniqueName="10" name="RecipientLastName - Recipient Last Name" queryTableFieldId="10" dataDxfId="340"/>
    <tableColumn id="11" xr3:uid="{84B606F4-67AA-A140-98A8-9788E5DD03F3}" uniqueName="11" name="RecipientFirstName - Recipient First Name" queryTableFieldId="11" dataDxfId="339"/>
    <tableColumn id="12" xr3:uid="{4F5BAA8A-06FA-6C46-9D49-4F5FE73AD7EC}" uniqueName="12" name="RecipientEmail - Recipient Email" queryTableFieldId="12" dataDxfId="338"/>
    <tableColumn id="13" xr3:uid="{4F38D476-91F9-234A-ACF1-FC531115B4F1}" uniqueName="13" name="ExternalReference - External Data Reference" queryTableFieldId="13" dataDxfId="337"/>
    <tableColumn id="14" xr3:uid="{DEFF95C6-2ACC-DF40-AEA0-9575F4DDA8B1}" uniqueName="14" name="LocationLatitude - Location Latitude" queryTableFieldId="14" dataDxfId="336"/>
    <tableColumn id="15" xr3:uid="{24A7BB20-DA05-C443-8F5E-B1BB4BD5895F}" uniqueName="15" name="LocationLongitude - Location Longitude" queryTableFieldId="15" dataDxfId="335"/>
    <tableColumn id="16" xr3:uid="{941DAFF5-940F-D940-8AB1-0DC980A62545}" uniqueName="16" name="DistributionChannel - Distribution Channel" queryTableFieldId="16" dataDxfId="334"/>
    <tableColumn id="17" xr3:uid="{BEAA44B8-187D-DA47-ADEE-EE6EDEEE2DFE}" uniqueName="17" name="UserLanguage - User Language" queryTableFieldId="17" dataDxfId="333"/>
    <tableColumn id="18" xr3:uid="{18403573-6831-1848-A7C2-FE39A3ABD58E}" uniqueName="18" name="Q1 - NetID Post-Survey" queryTableFieldId="18" dataDxfId="332"/>
    <tableColumn id="67" xr3:uid="{1CC6E8F0-D04D-FF41-A031-39486CAC37D6}" uniqueName="67" name="Q1 - NetID Pre-Survey Matches" queryTableFieldId="67" dataDxfId="331">
      <calculatedColumnFormula>VLOOKUP(Table_EH_Pre_Survey_May_20__2023_08_224[[#This Row],[Q1 - NetID Post-Survey]], 'Post-Survey Matched Set (36)'!S:S, 1,FALSE)</calculatedColumnFormula>
    </tableColumn>
    <tableColumn id="19" xr3:uid="{0514208D-224A-7445-8A92-91CFF980DB6C}" uniqueName="19" name="Q2" totalsRowFunction="custom" queryTableFieldId="19" dataDxfId="330" totalsRowDxfId="329" dataCellStyle="Percent">
      <totalsRowFormula>AVERAGE(U2:U66)</totalsRowFormula>
    </tableColumn>
    <tableColumn id="20" xr3:uid="{86A08DF2-7D5F-1641-BAEB-8EE860E04BBB}" uniqueName="20" name="Q3_1" totalsRowFunction="custom" queryTableFieldId="20" dataDxfId="328" totalsRowDxfId="327">
      <totalsRowFormula>AVERAGE(V2:V66)</totalsRowFormula>
    </tableColumn>
    <tableColumn id="21" xr3:uid="{5FD2E2DC-C689-014C-8FC7-CDBD33375B63}" uniqueName="21" name="Q3_2" totalsRowFunction="custom" queryTableFieldId="21" dataDxfId="326" totalsRowDxfId="325">
      <totalsRowFormula>AVERAGE(W2:W66)</totalsRowFormula>
    </tableColumn>
    <tableColumn id="22" xr3:uid="{796F21F5-8E96-A740-8440-F136B4EFF556}" uniqueName="22" name="Q3_3" totalsRowFunction="custom" queryTableFieldId="22" dataDxfId="324" totalsRowDxfId="323">
      <totalsRowFormula>AVERAGE(X2:X66)</totalsRowFormula>
    </tableColumn>
    <tableColumn id="23" xr3:uid="{D794386B-EFA8-5644-BEC7-62787D29F517}" uniqueName="23" name="Q3_4" totalsRowFunction="custom" queryTableFieldId="23" dataDxfId="322" totalsRowDxfId="321">
      <totalsRowFormula>AVERAGE(Y2:Y66)</totalsRowFormula>
    </tableColumn>
    <tableColumn id="24" xr3:uid="{621CDC89-14F9-A94B-B55F-EB89FBEC1BF0}" uniqueName="24" name="Q3_5" totalsRowFunction="custom" queryTableFieldId="24" dataDxfId="320" totalsRowDxfId="319">
      <totalsRowFormula>AVERAGE(Z2:Z66)</totalsRowFormula>
    </tableColumn>
    <tableColumn id="25" xr3:uid="{C3070E5A-1ACA-6C41-8904-30A0775D3024}" uniqueName="25" name="Q3_6" totalsRowFunction="custom" queryTableFieldId="25" dataDxfId="318" totalsRowDxfId="317">
      <totalsRowFormula>AVERAGE(AA2:AA66)</totalsRowFormula>
    </tableColumn>
    <tableColumn id="26" xr3:uid="{47B09078-4287-A04C-A0C4-914E88AB51EA}" uniqueName="26" name="Q3_7" totalsRowFunction="custom" queryTableFieldId="26" dataDxfId="316" totalsRowDxfId="315">
      <totalsRowFormula>AVERAGE(AB2:AB66)</totalsRowFormula>
    </tableColumn>
    <tableColumn id="27" xr3:uid="{ABEB8FB6-80CA-7148-965B-24F536A181F1}" uniqueName="27" name="Q4_1" totalsRowFunction="custom" queryTableFieldId="27" dataDxfId="314" totalsRowDxfId="313">
      <totalsRowFormula>AVERAGE(AC2:AC66)</totalsRowFormula>
    </tableColumn>
    <tableColumn id="43" xr3:uid="{11500C91-6609-4667-A9ED-E990F741B4AF}" uniqueName="43" name="Q4 Responses Coded" queryTableFieldId="71" dataDxfId="312" totalsRowDxfId="311">
      <calculatedColumnFormula>IF(Table_EH_Pre_Survey_May_20__2023_08_224[[#This Row],[Q4_1]] = 3, 1, IF(Table_EH_Pre_Survey_May_20__2023_08_224[[#This Row],[Q4_1]] = 2.5, 0.5, IF(Table_EH_Pre_Survey_May_20__2023_08_224[[#This Row],[Q4_1]] = 3.5, 0.5, 0)))</calculatedColumnFormula>
    </tableColumn>
    <tableColumn id="28" xr3:uid="{5EBEEE4A-955C-E841-89EC-BDB148580AAC}" uniqueName="28" name="Q5 " totalsRowFunction="custom" queryTableFieldId="28" dataDxfId="310" totalsRowDxfId="309">
      <totalsRowFormula>AVERAGE(AE2:AE66)</totalsRowFormula>
    </tableColumn>
    <tableColumn id="40" xr3:uid="{3ADF0A98-1499-964B-A81F-CE07F31973AC}" uniqueName="40" name="Q5 Coded Responses" queryTableFieldId="68" dataDxfId="308" totalsRowDxfId="307">
      <calculatedColumnFormula>IF(Table_EH_Pre_Survey_May_20__2023_08_224[[#This Row],[Q5 ]]="PM &lt; 2.5 μm", 1, 0)</calculatedColumnFormula>
    </tableColumn>
    <tableColumn id="29" xr3:uid="{223B767E-2D4B-F241-BB17-89213D1CAC46}" uniqueName="29" name="Q6" totalsRowFunction="custom" queryTableFieldId="29" dataDxfId="306" totalsRowDxfId="305">
      <totalsRowFormula>AVERAGE(AG2:AG66)</totalsRowFormula>
    </tableColumn>
    <tableColumn id="41" xr3:uid="{7F6C60C7-9305-C84F-A4A9-CC037B4FDCA8}" uniqueName="41" name="Q6 Coded Responses" queryTableFieldId="69" dataDxfId="304" totalsRowDxfId="303">
      <calculatedColumnFormula>IF(Table_EH_Pre_Survey_May_20__2023_08_224[[#This Row],[Q6]]="Particles of this size are generally absorbed in the respiratory tract and safely excreted in mucus.", 1, 0)</calculatedColumnFormula>
    </tableColumn>
    <tableColumn id="30" xr3:uid="{AD68254D-A7DE-9347-B32C-2C1EC21166E1}" uniqueName="30" name="Q7 " totalsRowFunction="custom" queryTableFieldId="30" dataDxfId="302" totalsRowDxfId="301">
      <totalsRowFormula>AVERAGE(AI2:AI66)</totalsRowFormula>
    </tableColumn>
    <tableColumn id="42" xr3:uid="{E76D30F5-A3E4-4CB5-AD06-0F85F8E7BEAF}" uniqueName="42" name="Q7 Responses Coded" queryTableFieldId="70" dataDxfId="300" totalsRowDxfId="299">
      <calculatedColumnFormula>IF(ISNUMBER(SEARCH("Trucks", Table_EH_Pre_Survey_May_20__2023_08_224[[#This Row],[Q7 ]])) = TRUE, 1, 0) + IF(ISNUMBER(SEARCH("Cars", Table_EH_Pre_Survey_May_20__2023_08_224[[#This Row],[Q7 ]])) = TRUE, 1, 0) + IF(ISNUMBER(SEARCH("Fireplaces", Table_EH_Pre_Survey_May_20__2023_08_224[[#This Row],[Q7 ]])) = TRUE, 1, 0) + IF(ISNUMBER(SEARCH("Dirt Roads",Table_EH_Pre_Survey_May_20__2023_08_224[[#This Row],[Q7 ]])) = TRUE, 1, 0) - IF(ISNUMBER(SEARCH("Electric Vehicles",Table_EH_Pre_Survey_May_20__2023_08_224[[#This Row],[Q7 ]])) = TRUE, 1, 0) - IF(ISNUMBER(SEARCH("Pollen", Table_EH_Pre_Survey_May_20__2023_08_224[[#This Row],[Q7 ]])) = TRUE, 1, 0)</calculatedColumnFormula>
    </tableColumn>
    <tableColumn id="31" xr3:uid="{AAD7CC64-2164-E544-B17B-B8A3636F05EF}" uniqueName="31" name="Q8_1" totalsRowFunction="custom" queryTableFieldId="31" dataDxfId="298" totalsRowDxfId="297">
      <totalsRowFormula>AVERAGE(AK2:AK66)</totalsRowFormula>
    </tableColumn>
    <tableColumn id="32" xr3:uid="{F87461F1-3859-314C-B58E-DB9009AC6067}" uniqueName="32" name="Q8_2" totalsRowFunction="custom" queryTableFieldId="32" dataDxfId="296" totalsRowDxfId="295">
      <totalsRowFormula>AVERAGE(AL2:AL66)</totalsRowFormula>
    </tableColumn>
    <tableColumn id="33" xr3:uid="{7FB9CD50-2BB1-F047-8E72-7B05DAEB4F34}" uniqueName="33" name="Q8_3" totalsRowFunction="custom" queryTableFieldId="33" dataDxfId="294" totalsRowDxfId="293">
      <totalsRowFormula>AVERAGE(AM2:AM66)</totalsRowFormula>
    </tableColumn>
    <tableColumn id="34" xr3:uid="{5ECB3499-771E-0D49-B399-AF3797C9D879}" uniqueName="34" name="Q8_4" totalsRowFunction="custom" queryTableFieldId="34" dataDxfId="292" totalsRowDxfId="291">
      <totalsRowFormula>AVERAGE(AN2:AN66)</totalsRowFormula>
    </tableColumn>
    <tableColumn id="35" xr3:uid="{DBE2B521-C2B7-F24C-AA30-6329BA0625CB}" uniqueName="35" name="Q8_5" totalsRowFunction="custom" queryTableFieldId="35" dataDxfId="290" totalsRowDxfId="289">
      <totalsRowFormula>AVERAGE(AO2:AO66)</totalsRowFormula>
    </tableColumn>
    <tableColumn id="36" xr3:uid="{E39B8A53-E758-BD48-9BDC-86FF1F60BCFD}" uniqueName="36" name="Q8_6" totalsRowFunction="custom" queryTableFieldId="36" dataDxfId="288" totalsRowDxfId="287">
      <totalsRowFormula>AVERAGE(AP2:AP66)</totalsRowFormula>
    </tableColumn>
    <tableColumn id="37" xr3:uid="{8606CABE-1C18-B045-9B6B-BF900388FAD3}" uniqueName="37" name="Q9_1" totalsRowFunction="custom" queryTableFieldId="37" dataDxfId="286" totalsRowDxfId="285">
      <totalsRowFormula>AVERAGE(AQ2:AQ66)</totalsRowFormula>
    </tableColumn>
    <tableColumn id="38" xr3:uid="{7F553242-4202-E849-8216-B0697FF45B43}" uniqueName="38" name="Q10 (Pre-Survey)" totalsRowFunction="custom" queryTableFieldId="38" dataDxfId="284" totalsRowDxfId="283">
      <totalsRowFormula>AVERAGE(AR2:AR66)</totalsRow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3B4DFC9-93FB-B54A-BEE3-603C8CA101CB}" name="Table_EH_Post_Survey_May_22__2023_11_005" displayName="Table_EH_Post_Survey_May_22__2023_11_005" ref="A1:AS52" tableType="queryTable" totalsRowCount="1" headerRowDxfId="282">
  <autoFilter ref="A1:AS51" xr:uid="{91733A31-80D5-6946-A527-4C664B286438}"/>
  <sortState xmlns:xlrd2="http://schemas.microsoft.com/office/spreadsheetml/2017/richdata2" ref="A2:AR51">
    <sortCondition ref="T2:T51"/>
  </sortState>
  <tableColumns count="45">
    <tableColumn id="1" xr3:uid="{D2F03215-F1E0-7A4A-A241-BCAD3EDAF563}" uniqueName="1" name="StartDate - Start Date" queryTableFieldId="1" dataDxfId="281"/>
    <tableColumn id="2" xr3:uid="{E97BF576-7DD2-5749-A45D-CB6BE562BB58}" uniqueName="2" name="EndDate - End Date" queryTableFieldId="2" dataDxfId="280"/>
    <tableColumn id="3" xr3:uid="{46C5AEDF-AB41-B742-A4F8-E742C261F2A3}" uniqueName="3" name="Status - Response Type" queryTableFieldId="3" dataDxfId="279"/>
    <tableColumn id="4" xr3:uid="{0217818F-AD3F-0141-A4C5-2AF850EE5AE8}" uniqueName="4" name="IPAddress - IP Address" queryTableFieldId="4" dataDxfId="278"/>
    <tableColumn id="5" xr3:uid="{75E4B641-4613-BD4C-938F-9E59A4127321}" uniqueName="5" name="Progress - Progress" queryTableFieldId="5" dataDxfId="277"/>
    <tableColumn id="6" xr3:uid="{30C7D6EE-463C-DF49-8606-B702BBCBF28B}" uniqueName="6" name="Duration (in seconds) - Duration (in seconds)" totalsRowFunction="custom" queryTableFieldId="6" dataDxfId="276">
      <totalsRowFormula>AVERAGE(F3:F5)</totalsRowFormula>
    </tableColumn>
    <tableColumn id="39" xr3:uid="{64582BCB-0AB7-5D4B-96FD-A404514D94D1}" uniqueName="39" name="Column1" totalsRowFunction="custom" queryTableFieldId="39" dataDxfId="275" totalsRowDxfId="274">
      <totalsRowFormula>AVERAGE(G3:G5)</totalsRowFormula>
    </tableColumn>
    <tableColumn id="7" xr3:uid="{1AB5E320-BB81-574B-A73E-55CDD947431E}" uniqueName="7" name="Finished - Finished" queryTableFieldId="7" dataDxfId="273"/>
    <tableColumn id="8" xr3:uid="{FC214DFB-CE44-CC4F-B2C5-631E51553FFD}" uniqueName="8" name="RecordedDate - Recorded Date" queryTableFieldId="8" dataDxfId="272"/>
    <tableColumn id="9" xr3:uid="{E665715A-A43A-B141-9FE3-034ECEA8C562}" uniqueName="9" name="ResponseId - Response ID" queryTableFieldId="9" dataDxfId="271"/>
    <tableColumn id="10" xr3:uid="{C478D83F-F5DC-5F43-81FC-ECFF463AF645}" uniqueName="10" name="RecipientLastName - Recipient Last Name" queryTableFieldId="10" dataDxfId="270"/>
    <tableColumn id="11" xr3:uid="{F0C305AE-63D3-2D48-84A7-7327F215AA71}" uniqueName="11" name="RecipientFirstName - Recipient First Name" queryTableFieldId="11" dataDxfId="269"/>
    <tableColumn id="12" xr3:uid="{19AE239F-00B5-084A-A4AF-06A03063A33F}" uniqueName="12" name="RecipientEmail - Recipient Email" queryTableFieldId="12" dataDxfId="268"/>
    <tableColumn id="13" xr3:uid="{584EA359-6A54-0540-B240-3E86593710F9}" uniqueName="13" name="ExternalReference - External Data Reference" queryTableFieldId="13" dataDxfId="267"/>
    <tableColumn id="14" xr3:uid="{85FF089D-F138-D245-B811-5B2E9954D89B}" uniqueName="14" name="LocationLatitude - Location Latitude" queryTableFieldId="14" dataDxfId="266"/>
    <tableColumn id="15" xr3:uid="{909057BE-FC99-944F-AA64-1EDD0BED301D}" uniqueName="15" name="LocationLongitude - Location Longitude" queryTableFieldId="15" dataDxfId="265"/>
    <tableColumn id="16" xr3:uid="{ABAB232F-6553-C041-97DC-A2E07EA4A1F8}" uniqueName="16" name="DistributionChannel - Distribution Channel" queryTableFieldId="16" dataDxfId="264"/>
    <tableColumn id="17" xr3:uid="{758715F1-38C7-5D45-9EFD-91EF6ACDB0BD}" uniqueName="17" name="UserLanguage - User Language" queryTableFieldId="17" dataDxfId="263"/>
    <tableColumn id="18" xr3:uid="{1F1EE459-53FB-9848-A687-4AB5FA7F1857}" uniqueName="18" name="Q1 - NetID Post Survey" queryTableFieldId="18" dataDxfId="262"/>
    <tableColumn id="86" xr3:uid="{02ECEED8-3327-4D4C-B6C1-D2DF3C029D1C}" uniqueName="86" name="Q1 - NetID Pre-Survey Matches" queryTableFieldId="86" dataDxfId="261">
      <calculatedColumnFormula>VLOOKUP(Table_EH_Post_Survey_May_22__2023_11_005[[#This Row],[Q1 - NetID Post Survey]], Table_EH_Pre_Survey_May_20__2023_08_224[Q1 - NetID Post-Survey], 1, FALSE)</calculatedColumnFormula>
    </tableColumn>
    <tableColumn id="19" xr3:uid="{6A27A6D7-51CF-844E-90A9-19E5C6A5D567}" uniqueName="19" name="Q2" totalsRowFunction="custom" queryTableFieldId="19" dataDxfId="260" totalsRowDxfId="259">
      <totalsRowFormula>AVERAGE(U2:U51)</totalsRowFormula>
    </tableColumn>
    <tableColumn id="20" xr3:uid="{011686C6-3EC4-AC4B-B126-137325EBDA36}" uniqueName="20" name="Q3_1" totalsRowFunction="custom" queryTableFieldId="20" dataDxfId="258" totalsRowDxfId="257">
      <totalsRowFormula>AVERAGE(V2:V51)</totalsRowFormula>
    </tableColumn>
    <tableColumn id="21" xr3:uid="{AB169022-EE2E-3D47-8678-642A58237718}" uniqueName="21" name="Q3_2" totalsRowFunction="custom" queryTableFieldId="21" dataDxfId="256" totalsRowDxfId="255">
      <totalsRowFormula>AVERAGE(W2:W51)</totalsRowFormula>
    </tableColumn>
    <tableColumn id="22" xr3:uid="{353526F6-E275-2440-8F8D-634836FD4C52}" uniqueName="22" name="Q3_3" totalsRowFunction="custom" queryTableFieldId="22" dataDxfId="254" totalsRowDxfId="253">
      <totalsRowFormula>AVERAGE(X2:X51)</totalsRowFormula>
    </tableColumn>
    <tableColumn id="23" xr3:uid="{1393FE63-8643-4540-B0A8-1846243E2CF4}" uniqueName="23" name="Q3_4" totalsRowFunction="custom" queryTableFieldId="23" dataDxfId="252" totalsRowDxfId="251">
      <totalsRowFormula>AVERAGE(Y2:Y51)</totalsRowFormula>
    </tableColumn>
    <tableColumn id="24" xr3:uid="{D54CB645-7B2E-CA48-B9F2-0E7B78F99375}" uniqueName="24" name="Q3_5" totalsRowFunction="custom" queryTableFieldId="24" dataDxfId="250" totalsRowDxfId="249">
      <totalsRowFormula>AVERAGE(Z2:Z51)</totalsRowFormula>
    </tableColumn>
    <tableColumn id="25" xr3:uid="{9CE30EF9-0DF9-1D4F-917A-9E82303F2DC1}" uniqueName="25" name="Q3_6" totalsRowFunction="custom" queryTableFieldId="25" dataDxfId="248" totalsRowDxfId="247">
      <totalsRowFormula>AVERAGE(AA2:AA51)</totalsRowFormula>
    </tableColumn>
    <tableColumn id="26" xr3:uid="{607400EC-12A8-4847-A858-344BE383AE05}" uniqueName="26" name="Q3_7" totalsRowFunction="custom" queryTableFieldId="26" dataDxfId="246" totalsRowDxfId="245">
      <totalsRowFormula>AVERAGE(AB2:AB51)</totalsRowFormula>
    </tableColumn>
    <tableColumn id="27" xr3:uid="{FD14CE24-42F1-E54D-A095-169A3D688EE0}" uniqueName="27" name="Q4_1" totalsRowFunction="custom" queryTableFieldId="27" dataDxfId="244" totalsRowDxfId="243">
      <totalsRowFormula>AVERAGE(AC2:AC51)</totalsRowFormula>
    </tableColumn>
    <tableColumn id="44" xr3:uid="{2393EF2A-57ED-477D-8B51-F816E1A215D4}" uniqueName="44" name="Q4 Responses Coded" queryTableFieldId="91" dataDxfId="242" totalsRowDxfId="241">
      <calculatedColumnFormula>IF(Table_EH_Post_Survey_May_22__2023_11_005[[#This Row],[Q4_1]] = 3, 1, IF(Table_EH_Post_Survey_May_22__2023_11_005[[#This Row],[Q4_1]] = 2.5, 0.5, IF(Table_EH_Post_Survey_May_22__2023_11_005[[#This Row],[Q4_1]] = 3.5, 0.5, 0)))</calculatedColumnFormula>
    </tableColumn>
    <tableColumn id="28" xr3:uid="{7B19794A-EE1C-3649-A091-FBA44149DC4F}" uniqueName="28" name="Q5 " totalsRowFunction="custom" queryTableFieldId="28" dataDxfId="240" totalsRowDxfId="239">
      <totalsRowFormula>AVERAGE(AE2:AE51)</totalsRowFormula>
    </tableColumn>
    <tableColumn id="40" xr3:uid="{E15AF0D7-F25C-D24D-A0F6-E37071FE3DAF}" uniqueName="40" name="Q5 Coded Responses" queryTableFieldId="87" dataDxfId="238" totalsRowDxfId="237">
      <calculatedColumnFormula>IF(Table_EH_Post_Survey_May_22__2023_11_005[[#This Row],[Q5 ]]="PM &lt; 2.5 μm", 1, 0)</calculatedColumnFormula>
    </tableColumn>
    <tableColumn id="29" xr3:uid="{834997F7-57D4-F146-A0F8-0471A3F2E255}" uniqueName="29" name="Q6" totalsRowFunction="custom" queryTableFieldId="29" dataDxfId="236" totalsRowDxfId="235">
      <totalsRowFormula>AVERAGE(AG2:AG51)</totalsRowFormula>
    </tableColumn>
    <tableColumn id="41" xr3:uid="{10AB4E92-EA7D-E04C-8B68-C24039950675}" uniqueName="41" name="Q6 Coded Responses" queryTableFieldId="88" dataDxfId="234" totalsRowDxfId="233">
      <calculatedColumnFormula>IF(Table_EH_Post_Survey_May_22__2023_11_005[[#This Row],[Q6]]="Particles of this size are generally absorbed in the respiratory tract and safely excreted in mucus.", 1, 0)</calculatedColumnFormula>
    </tableColumn>
    <tableColumn id="30" xr3:uid="{9D1D0EAF-E4DC-A949-AD4B-73CA3C7BD475}" uniqueName="30" name="Q7 " totalsRowFunction="custom" queryTableFieldId="30" dataDxfId="232" totalsRowDxfId="231">
      <totalsRowFormula>AVERAGE(AI2:AI51)</totalsRowFormula>
    </tableColumn>
    <tableColumn id="43" xr3:uid="{8FADF098-0FEA-442F-B555-D58DD45BE6FD}" uniqueName="43" name="Q7 Responses Coded" queryTableFieldId="90" dataDxfId="230" totalsRowDxfId="229">
      <calculatedColumnFormula>IF(ISNUMBER(SEARCH("Trucks", Table_EH_Post_Survey_May_22__2023_11_005[[#This Row],[Q7 ]])) = TRUE, 1, 0) + IF(ISNUMBER(SEARCH("Cars", Table_EH_Post_Survey_May_22__2023_11_005[[#This Row],[Q7 ]])) = TRUE, 1, 0) + IF(ISNUMBER(SEARCH("Fireplaces", Table_EH_Post_Survey_May_22__2023_11_005[[#This Row],[Q7 ]])) = TRUE, 1, 0) + IF(ISNUMBER(SEARCH("Dirt Roads",Table_EH_Post_Survey_May_22__2023_11_005[[#This Row],[Q7 ]])) = TRUE, 1, 0) - IF(ISNUMBER(SEARCH("Electric Vehicles",Table_EH_Post_Survey_May_22__2023_11_005[[#This Row],[Q7 ]])) = TRUE, 1, 0) - IF(ISNUMBER(SEARCH("Pollen", Table_EH_Post_Survey_May_22__2023_11_005[[#This Row],[Q7 ]])) = TRUE, 1, 0)</calculatedColumnFormula>
    </tableColumn>
    <tableColumn id="31" xr3:uid="{7AF12F47-AEE9-3A42-8250-304FA284BBF8}" uniqueName="31" name="Q8_1" totalsRowFunction="custom" queryTableFieldId="31" dataDxfId="228" totalsRowDxfId="227">
      <totalsRowFormula>AVERAGE(AK2:AK51)</totalsRowFormula>
    </tableColumn>
    <tableColumn id="32" xr3:uid="{53E6D9E6-C2CF-364F-9E22-5C879F0E7D9A}" uniqueName="32" name="Q8_2" totalsRowFunction="custom" queryTableFieldId="32" dataDxfId="226" totalsRowDxfId="225">
      <totalsRowFormula>AVERAGE(AL2:AL51)</totalsRowFormula>
    </tableColumn>
    <tableColumn id="33" xr3:uid="{C14367B7-0347-6940-AA64-D98FBEA6BBA7}" uniqueName="33" name="Q8_3" totalsRowFunction="custom" queryTableFieldId="33" dataDxfId="224" totalsRowDxfId="223">
      <totalsRowFormula>AVERAGE(AM2:AM51)</totalsRowFormula>
    </tableColumn>
    <tableColumn id="34" xr3:uid="{FA286B19-E354-4446-9283-7299F0849216}" uniqueName="34" name="Q8_4" totalsRowFunction="custom" queryTableFieldId="34" dataDxfId="222" totalsRowDxfId="221">
      <totalsRowFormula>AVERAGE(AN2:AN51)</totalsRowFormula>
    </tableColumn>
    <tableColumn id="35" xr3:uid="{9ABE9E48-73F9-D04B-A180-E457638D53DC}" uniqueName="35" name="Q8_5" totalsRowFunction="custom" queryTableFieldId="35" dataDxfId="220" totalsRowDxfId="219">
      <totalsRowFormula>AVERAGE(AO2:AO51)</totalsRowFormula>
    </tableColumn>
    <tableColumn id="36" xr3:uid="{F9684E78-4DF2-3A45-921F-96149CECF6A4}" uniqueName="36" name="Q8_6" totalsRowFunction="custom" queryTableFieldId="36" dataDxfId="218" totalsRowDxfId="217">
      <totalsRowFormula>AVERAGE(AP2:AP51)</totalsRowFormula>
    </tableColumn>
    <tableColumn id="37" xr3:uid="{C9FE90BB-943A-654F-8746-A86EFB474C03}" uniqueName="37" name="Q9_1" totalsRowFunction="custom" queryTableFieldId="37" dataDxfId="216" totalsRowDxfId="215">
      <totalsRowFormula>AVERAGE(AQ2:AQ51)</totalsRowFormula>
    </tableColumn>
    <tableColumn id="38" xr3:uid="{C5036D45-4C96-F842-8161-C76CE7B9A4E3}" uniqueName="38" name="Q10 (Post-Survey)" totalsRowFunction="custom" queryTableFieldId="38" dataDxfId="214" totalsRowDxfId="213">
      <totalsRowFormula>AVERAGE(AR2:AR51)</totalsRowFormula>
    </tableColumn>
    <tableColumn id="42" xr3:uid="{36571550-B8C7-A04D-BABB-DE4A24DE2D3B}" uniqueName="42" name="Post-Survey General Categories" queryTableFieldId="89" dataDxfId="21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71DBCA5-4DAA-D147-A1F7-1FF675F19C0B}" name="Table_EH_Post_Survey_May_22__2023_11_0056" displayName="Table_EH_Post_Survey_May_22__2023_11_0056" ref="A1:AM54" tableType="queryTable" totalsRowCount="1" headerRowDxfId="211">
  <autoFilter ref="A1:AM53" xr:uid="{91733A31-80D5-6946-A527-4C664B286438}"/>
  <sortState xmlns:xlrd2="http://schemas.microsoft.com/office/spreadsheetml/2017/richdata2" ref="A2:AM53">
    <sortCondition ref="T1:T53"/>
  </sortState>
  <tableColumns count="39">
    <tableColumn id="1" xr3:uid="{B41E474E-FB7E-8C4D-A551-6C4E52F9B570}" uniqueName="1" name="StartDate - Start Date" queryTableFieldId="1" dataDxfId="210"/>
    <tableColumn id="2" xr3:uid="{DD03B3EE-683B-FD49-A453-E5C680A065C5}" uniqueName="2" name="EndDate - End Date" queryTableFieldId="2" dataDxfId="209"/>
    <tableColumn id="3" xr3:uid="{BA522F40-1DC4-9C49-9ECD-02597BB86E7A}" uniqueName="3" name="Status - Response Type" queryTableFieldId="3" dataDxfId="208"/>
    <tableColumn id="4" xr3:uid="{22A3DE16-D76D-9241-8BEA-4B2A57D4C92F}" uniqueName="4" name="IPAddress - IP Address" queryTableFieldId="4" dataDxfId="207"/>
    <tableColumn id="5" xr3:uid="{86E17AF6-3A2E-C145-A63A-B8DF25A315B4}" uniqueName="5" name="Progress - Progress" queryTableFieldId="5" dataDxfId="206"/>
    <tableColumn id="6" xr3:uid="{CE032242-2565-9449-9AA2-D6C43DB6F569}" uniqueName="6" name="Duration (in seconds) - Duration (in seconds)" totalsRowFunction="custom" queryTableFieldId="6" dataDxfId="205">
      <totalsRowFormula>AVERAGE(F3:F5)</totalsRowFormula>
    </tableColumn>
    <tableColumn id="39" xr3:uid="{D53788F8-D402-6947-99F5-A96EC1411A10}" uniqueName="39" name="Column1" totalsRowFunction="custom" queryTableFieldId="39" dataDxfId="204" totalsRowDxfId="203">
      <calculatedColumnFormula>_xlfn.NUMBERVALUE(Table_EH_Post_Survey_May_22__2023_11_0056[[#This Row],[Duration (in seconds) - Duration (in seconds)]])</calculatedColumnFormula>
      <totalsRowFormula>AVERAGE(G3:G5)</totalsRowFormula>
    </tableColumn>
    <tableColumn id="7" xr3:uid="{049B4AD1-D705-664B-B716-E9CC17E57B9C}" uniqueName="7" name="Finished - Finished" queryTableFieldId="7" dataDxfId="202"/>
    <tableColumn id="8" xr3:uid="{63254752-A2E5-B941-9175-FDB3A75C7806}" uniqueName="8" name="RecordedDate - Recorded Date" queryTableFieldId="8" dataDxfId="201"/>
    <tableColumn id="9" xr3:uid="{AE32C98D-8C49-4C4C-8E98-E1CDCD0949CC}" uniqueName="9" name="ResponseId - Response ID" queryTableFieldId="9" dataDxfId="200"/>
    <tableColumn id="10" xr3:uid="{BE0ECC54-DE16-B746-8014-1D8A9D055191}" uniqueName="10" name="RecipientLastName - Recipient Last Name" queryTableFieldId="10" dataDxfId="199"/>
    <tableColumn id="11" xr3:uid="{F017E850-080B-A244-9F4C-01334379B269}" uniqueName="11" name="RecipientFirstName - Recipient First Name" queryTableFieldId="11" dataDxfId="198"/>
    <tableColumn id="12" xr3:uid="{1F4B05BF-FAF3-6948-9D58-F5FBF3E63814}" uniqueName="12" name="RecipientEmail - Recipient Email" queryTableFieldId="12" dataDxfId="197"/>
    <tableColumn id="13" xr3:uid="{7771FF46-590D-AB4F-B1FB-4D0FF8700E92}" uniqueName="13" name="ExternalReference - External Data Reference" queryTableFieldId="13" dataDxfId="196"/>
    <tableColumn id="14" xr3:uid="{2D1F03DF-4AC6-7C44-9997-6BD0FBA105D3}" uniqueName="14" name="LocationLatitude - Location Latitude" queryTableFieldId="14" dataDxfId="195"/>
    <tableColumn id="15" xr3:uid="{3ED7A602-9188-574C-973E-5F268FB8A2B7}" uniqueName="15" name="LocationLongitude - Location Longitude" queryTableFieldId="15" dataDxfId="194"/>
    <tableColumn id="16" xr3:uid="{E38B678B-E8B6-6941-8B84-CB1E78ABDDC3}" uniqueName="16" name="DistributionChannel - Distribution Channel" queryTableFieldId="16" dataDxfId="193"/>
    <tableColumn id="17" xr3:uid="{CD24BAC1-12F0-3946-8117-16245A673B68}" uniqueName="17" name="UserLanguage - User Language" queryTableFieldId="17" dataDxfId="192"/>
    <tableColumn id="18" xr3:uid="{FE675D60-B865-364B-B109-1982ACED20F8}" uniqueName="18" name="Q1 - NetID" queryTableFieldId="18" dataDxfId="191"/>
    <tableColumn id="86" xr3:uid="{7ECA0B2A-8A1C-5342-90F2-FCD24D841545}" uniqueName="86" name="Column2" queryTableFieldId="86" dataDxfId="190">
      <calculatedColumnFormula>VLOOKUP(Table_EH_Post_Survey_May_22__2023_11_0056[[#This Row],[Q1 - NetID]], Table_EH_Pre_Survey_May_20__2023_08_224[Q1 - NetID Post-Survey], 1, FALSE)</calculatedColumnFormula>
    </tableColumn>
    <tableColumn id="19" xr3:uid="{7482DECD-F0B5-D24D-B7B4-6E610818954B}" uniqueName="19" name="Q2" totalsRowFunction="custom" queryTableFieldId="19" dataDxfId="189" totalsRowDxfId="188">
      <totalsRowFormula>AVERAGE(U2:U53)</totalsRowFormula>
    </tableColumn>
    <tableColumn id="20" xr3:uid="{33DC5C46-6243-3A41-BA37-9F1FE39F3929}" uniqueName="20" name="Q3_1" totalsRowFunction="custom" queryTableFieldId="20" dataDxfId="187" totalsRowDxfId="186">
      <totalsRowFormula>AVERAGE(V2:V53)</totalsRowFormula>
    </tableColumn>
    <tableColumn id="21" xr3:uid="{F64290E3-ED31-4047-8F96-FF98E9DA92EF}" uniqueName="21" name="Q3_2" totalsRowFunction="custom" queryTableFieldId="21" dataDxfId="185" totalsRowDxfId="184">
      <totalsRowFormula>AVERAGE(W2:W53)</totalsRowFormula>
    </tableColumn>
    <tableColumn id="22" xr3:uid="{DA4EA012-25B6-6A4F-BED9-D85E0E674A80}" uniqueName="22" name="Q3_3" totalsRowFunction="custom" queryTableFieldId="22" dataDxfId="183" totalsRowDxfId="182">
      <totalsRowFormula>AVERAGE(X2:X53)</totalsRowFormula>
    </tableColumn>
    <tableColumn id="23" xr3:uid="{3D8E312D-3295-894D-B2B4-5AC028FDA5FE}" uniqueName="23" name="Q3_4" totalsRowFunction="custom" queryTableFieldId="23" dataDxfId="181" totalsRowDxfId="180">
      <totalsRowFormula>AVERAGE(Y2:Y53)</totalsRowFormula>
    </tableColumn>
    <tableColumn id="24" xr3:uid="{BDD7DF6A-1D4D-5A45-BEFE-B65E8408D37F}" uniqueName="24" name="Q3_5" totalsRowFunction="custom" queryTableFieldId="24" dataDxfId="179" totalsRowDxfId="178">
      <totalsRowFormula>AVERAGE(Z2:Z53)</totalsRowFormula>
    </tableColumn>
    <tableColumn id="25" xr3:uid="{4A0D3E59-C9B3-4E41-BBA1-CE733935C923}" uniqueName="25" name="Q3_6" totalsRowFunction="custom" queryTableFieldId="25" dataDxfId="177" totalsRowDxfId="176">
      <totalsRowFormula>AVERAGE(AA2:AA53)</totalsRowFormula>
    </tableColumn>
    <tableColumn id="26" xr3:uid="{94B4B463-66A9-6843-9B48-FE44B1919B76}" uniqueName="26" name="Q3_7" totalsRowFunction="custom" queryTableFieldId="26" dataDxfId="175" totalsRowDxfId="174">
      <totalsRowFormula>AVERAGE(AB2:AB53)</totalsRowFormula>
    </tableColumn>
    <tableColumn id="27" xr3:uid="{DF650D79-2134-4D42-A133-1A4D4B0C98F8}" uniqueName="27" name="Q4_1" totalsRowFunction="custom" queryTableFieldId="27" dataDxfId="173" totalsRowDxfId="172">
      <totalsRowFormula>AVERAGE(AC2:AC53)</totalsRowFormula>
    </tableColumn>
    <tableColumn id="28" xr3:uid="{7BD863F9-F146-5448-9C27-ACE1061B00C3}" uniqueName="28" name="Q5 " totalsRowFunction="custom" queryTableFieldId="28" dataDxfId="171" totalsRowDxfId="170">
      <totalsRowFormula>AVERAGE(AD2:AD53)</totalsRowFormula>
    </tableColumn>
    <tableColumn id="29" xr3:uid="{3C158D61-85F5-7448-B1DA-C0C805A6A284}" uniqueName="29" name="Q6 " totalsRowFunction="custom" queryTableFieldId="29" dataDxfId="169" totalsRowDxfId="168">
      <totalsRowFormula>AVERAGE(AE2:AE53)</totalsRowFormula>
    </tableColumn>
    <tableColumn id="30" xr3:uid="{4370AF65-A701-764E-B276-BE0658A7F5C9}" uniqueName="30" name="Q7 " totalsRowFunction="custom" queryTableFieldId="30" dataDxfId="167" totalsRowDxfId="166">
      <totalsRowFormula>AVERAGE(AF2:AF53)</totalsRowFormula>
    </tableColumn>
    <tableColumn id="31" xr3:uid="{38B8CA58-F7E0-5247-A98C-6354424E92C0}" uniqueName="31" name="Q8_1" totalsRowFunction="custom" queryTableFieldId="31" dataDxfId="165" totalsRowDxfId="164">
      <totalsRowFormula>AVERAGE(AG2:AG53)</totalsRowFormula>
    </tableColumn>
    <tableColumn id="32" xr3:uid="{C3025BCA-5E48-AB45-85F4-50DD0B6B62A0}" uniqueName="32" name="Q8_2" totalsRowFunction="custom" queryTableFieldId="32" dataDxfId="163" totalsRowDxfId="162">
      <totalsRowFormula>AVERAGE(AH2:AH53)</totalsRowFormula>
    </tableColumn>
    <tableColumn id="33" xr3:uid="{BAA0F1BC-7EAF-9143-B2FD-A9E9DD416B6C}" uniqueName="33" name="Q8_3" totalsRowFunction="custom" queryTableFieldId="33" dataDxfId="161" totalsRowDxfId="160">
      <totalsRowFormula>AVERAGE(AI2:AI53)</totalsRowFormula>
    </tableColumn>
    <tableColumn id="34" xr3:uid="{3695D35D-65C9-5E42-8DE4-4653ABD71356}" uniqueName="34" name="Q8_4" totalsRowFunction="custom" queryTableFieldId="34" dataDxfId="159" totalsRowDxfId="158">
      <totalsRowFormula>AVERAGE(AJ2:AJ53)</totalsRowFormula>
    </tableColumn>
    <tableColumn id="35" xr3:uid="{133D89C3-1B87-4945-9780-B3F0F030941F}" uniqueName="35" name="Q8_5" totalsRowFunction="custom" queryTableFieldId="35" dataDxfId="157" totalsRowDxfId="156">
      <totalsRowFormula>AVERAGE(AK2:AK53)</totalsRowFormula>
    </tableColumn>
    <tableColumn id="36" xr3:uid="{7DB07686-0F5A-3542-8E1F-E7FA6C4E5900}" uniqueName="36" name="Q8_6" totalsRowFunction="custom" queryTableFieldId="36" dataDxfId="155" totalsRowDxfId="154">
      <totalsRowFormula>AVERAGE(AL2:AL53)</totalsRowFormula>
    </tableColumn>
    <tableColumn id="37" xr3:uid="{041DECBF-1398-934F-8B64-F082043688D7}" uniqueName="37" name="Q9_1" totalsRowFunction="custom" queryTableFieldId="37" dataDxfId="153" totalsRowDxfId="152">
      <totalsRowFormula>AVERAGE(AM2:AM53)</totalsRow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812CF14-942F-4F1C-ADA2-57401F27FC89}" name="Table_EH_Pre_Survey_May_20__2023_08_229" displayName="Table_EH_Pre_Survey_May_20__2023_08_229" ref="A1:CC104" tableType="queryTable" totalsRowCount="1" headerRowDxfId="151">
  <autoFilter ref="A1:CC103" xr:uid="{825A234B-CE87-CB4D-928E-EF3942FA9133}">
    <filterColumn colId="32">
      <customFilters>
        <customFilter operator="notEqual" val=" "/>
      </customFilters>
    </filterColumn>
  </autoFilter>
  <sortState xmlns:xlrd2="http://schemas.microsoft.com/office/spreadsheetml/2017/richdata2" ref="A2:CC103">
    <sortCondition descending="1" ref="AC1:AC103"/>
  </sortState>
  <tableColumns count="81">
    <tableColumn id="1" xr3:uid="{D99A3CD2-5EF1-4E92-8985-FFECBCD2B581}" uniqueName="1" name="StartDate - Start Date" queryTableFieldId="1" dataDxfId="150"/>
    <tableColumn id="2" xr3:uid="{F3AF3DB5-6773-4514-98D9-4EAAD2F0AF95}" uniqueName="2" name="EndDate - End Date" queryTableFieldId="2" dataDxfId="149"/>
    <tableColumn id="3" xr3:uid="{4E04E344-0169-4CC8-A5BD-39118EDE1125}" uniqueName="3" name="Status - Response Type" queryTableFieldId="3" dataDxfId="148"/>
    <tableColumn id="4" xr3:uid="{A99320A6-0C7C-4783-8DD1-DB820F8F1E92}" uniqueName="4" name="IPAddress - IP Address" queryTableFieldId="4" dataDxfId="147"/>
    <tableColumn id="44" xr3:uid="{7CA61C81-EF44-4E57-8C8E-E0173FF41F8E}" uniqueName="44" name="Unique IP Pre-Survey?" queryTableFieldId="73" dataDxfId="146">
      <calculatedColumnFormula>IF(COUNTIF($D$3:$D$104, Table_EH_Pre_Survey_May_20__2023_08_229[[#This Row],[IPAddress - IP Address]])=1, "Unique", "")</calculatedColumnFormula>
    </tableColumn>
    <tableColumn id="45" xr3:uid="{C940EE45-97DB-430A-9E01-E2DB8EB4699F}" uniqueName="45" name="Unique IP Post-Survey?" queryTableFieldId="74" dataDxfId="145">
      <calculatedColumnFormula>VLOOKUP(Table_EH_Pre_Survey_May_20__2023_08_229[[#This Row],[IPAddress - IP Address]], 'Post-Survey Full Set'!D:AU, 2, 0)</calculatedColumnFormula>
    </tableColumn>
    <tableColumn id="56" xr3:uid="{17A9E570-EB8B-47B6-B033-6B8B6FB80206}" uniqueName="56" name="Column1" queryTableFieldId="85" dataDxfId="144">
      <calculatedColumnFormula>VLOOKUP(Table_EH_Pre_Survey_May_20__2023_08_229[[#This Row],[IPAddress - IP Address]], 'Post-Survey Full Set'!$D$1:$AU$72, 1, 0)</calculatedColumnFormula>
    </tableColumn>
    <tableColumn id="43" xr3:uid="{D0AA0FAB-103A-484A-87EF-B7779018B0F6}" uniqueName="43" name="IP Address Match" queryTableFieldId="72" dataDxfId="143" totalsRowDxfId="142"/>
    <tableColumn id="42" xr3:uid="{10990756-751E-4EFC-8C05-0D6BEBD43B34}" uniqueName="42" name="Time" queryTableFieldId="71"/>
    <tableColumn id="5" xr3:uid="{BEFBC040-5154-4F8C-9AAE-33117AB90D79}" uniqueName="5" name="Progress - Progress" totalsRowLabel="Average" queryTableFieldId="5" dataDxfId="141"/>
    <tableColumn id="39" xr3:uid="{EE13F863-28C5-411F-8605-1F11442DB43D}" uniqueName="39" name="Duration (in seconds) - Duration (in seconds)" totalsRowFunction="custom" queryTableFieldId="39" dataDxfId="140" totalsRowDxfId="139">
      <calculatedColumnFormula>_xlfn.NUMBERVALUE(Table_EH_Pre_Survey_May_20__2023_08_229[[#This Row],[Duration (in seconds) - Duration (in seconds)2]])</calculatedColumnFormula>
      <totalsRowFormula>AVERAGE(K2:K99)</totalsRowFormula>
    </tableColumn>
    <tableColumn id="6" xr3:uid="{69BE3B73-70E3-4D2D-A53B-FD4469FFB26F}" uniqueName="6" name="Duration (in seconds) - Duration (in seconds)2" totalsRowFunction="custom" queryTableFieldId="6" dataDxfId="138" totalsRowDxfId="137">
      <totalsRowFormula>AVERAGE(L2:L99)</totalsRowFormula>
    </tableColumn>
    <tableColumn id="7" xr3:uid="{195DA8FE-3ED4-4537-AD0F-89A91D9A13F7}" uniqueName="7" name="Finished - Finished" totalsRowFunction="custom" queryTableFieldId="7" dataDxfId="136" totalsRowDxfId="135">
      <totalsRowFormula>AVERAGE(M2:M99)</totalsRowFormula>
    </tableColumn>
    <tableColumn id="8" xr3:uid="{AC2F8222-D02F-4105-B4C7-3F455B8C872F}" uniqueName="8" name="RecordedDate - Recorded Date" totalsRowFunction="custom" queryTableFieldId="8" dataDxfId="134" totalsRowDxfId="133">
      <totalsRowFormula>AVERAGE(N2:N99)</totalsRowFormula>
    </tableColumn>
    <tableColumn id="51" xr3:uid="{DDFB7178-F386-4A9E-8F02-7CE3CFC9BDDF}" uniqueName="51" name="Latitude Post-survey Match" queryTableFieldId="80" dataDxfId="132" totalsRowDxfId="131">
      <calculatedColumnFormula>VLOOKUP(Table_EH_Pre_Survey_May_20__2023_08_229[[#This Row],[LocationLatitude - Location Latitude]], 'Post-Survey Full Set'!Q:AU, 1, 0)</calculatedColumnFormula>
    </tableColumn>
    <tableColumn id="52" xr3:uid="{5FBF666D-6C8D-486C-A1C9-15BF948298B1}" uniqueName="52" name="Longitude Post-survey Match" queryTableFieldId="81" dataDxfId="130" totalsRowDxfId="129">
      <calculatedColumnFormula>VLOOKUP(Table_EH_Pre_Survey_May_20__2023_08_229[[#This Row],[LocationLongitude - Location Longitude]], 'Post-Survey Full Set'!S:AV, 1, 0)</calculatedColumnFormula>
    </tableColumn>
    <tableColumn id="9" xr3:uid="{9D9BD219-1724-47FE-8DAE-B1C1669F69AB}" uniqueName="9" name="ResponseId - Response ID" totalsRowFunction="custom" queryTableFieldId="9" dataDxfId="128" totalsRowDxfId="127">
      <totalsRowFormula>AVERAGE(Q2:Q99)</totalsRowFormula>
    </tableColumn>
    <tableColumn id="10" xr3:uid="{B5F9E367-9C87-4AC1-9DF4-9DBDE4D3C2F3}" uniqueName="10" name="RecipientLastName - Recipient Last Name" totalsRowFunction="custom" queryTableFieldId="10" dataDxfId="126" totalsRowDxfId="125">
      <totalsRowFormula>AVERAGE(R2:R99)</totalsRowFormula>
    </tableColumn>
    <tableColumn id="11" xr3:uid="{C3A9F913-6122-4232-93AE-3E777480A803}" uniqueName="11" name="RecipientFirstName - Recipient First Name" totalsRowFunction="custom" queryTableFieldId="11" dataDxfId="124" totalsRowDxfId="123">
      <totalsRowFormula>AVERAGE(S2:S99)</totalsRowFormula>
    </tableColumn>
    <tableColumn id="12" xr3:uid="{9AACB02C-2ADF-4111-81DF-818D0363287B}" uniqueName="12" name="RecipientEmail - Recipient Email" totalsRowFunction="custom" queryTableFieldId="12" dataDxfId="122" totalsRowDxfId="121">
      <totalsRowFormula>AVERAGE(T2:T99)</totalsRowFormula>
    </tableColumn>
    <tableColumn id="13" xr3:uid="{07C3DA68-D205-4985-8277-F9CF7BC89969}" uniqueName="13" name="ExternalReference - External Data Reference" totalsRowFunction="custom" queryTableFieldId="13" dataDxfId="120" totalsRowDxfId="119">
      <totalsRowFormula>AVERAGE(U2:U99)</totalsRowFormula>
    </tableColumn>
    <tableColumn id="14" xr3:uid="{0DB41557-12AE-4B3B-8DD8-4A921B0FC48D}" uniqueName="14" name="LocationLatitude - Location Latitude" totalsRowFunction="custom" queryTableFieldId="14" dataDxfId="118" totalsRowDxfId="117">
      <totalsRowFormula>AVERAGE(V2:V99)</totalsRowFormula>
    </tableColumn>
    <tableColumn id="53" xr3:uid="{5E4EE6FA-3272-4B6A-8625-5DFC56DF760E}" uniqueName="53" name="Unique Latitude Pre-Survey?" queryTableFieldId="82" dataDxfId="116" totalsRowDxfId="115">
      <calculatedColumnFormula>IF(COUNTIF($V$2:$V$103, Table_EH_Pre_Survey_May_20__2023_08_229[[#This Row],[LocationLatitude - Location Latitude]])=1, "Unique", "")</calculatedColumnFormula>
    </tableColumn>
    <tableColumn id="54" xr3:uid="{5B5AFDAB-7CC1-4AF3-8893-EC77BC1A2513}" uniqueName="54" name="Unique Latitude Post-Survey?" queryTableFieldId="83" dataDxfId="114" totalsRowDxfId="113">
      <calculatedColumnFormula>VLOOKUP(Table_EH_Pre_Survey_May_20__2023_08_229[[#This Row],[LocationLatitude - Location Latitude]], 'Post-Survey Full Set'!Q:AU, 2, 0)</calculatedColumnFormula>
    </tableColumn>
    <tableColumn id="15" xr3:uid="{42585CC4-F97A-4D42-8BDD-7DD37EEE997A}" uniqueName="15" name="LocationLongitude - Location Longitude" totalsRowFunction="custom" queryTableFieldId="15" dataDxfId="112" totalsRowDxfId="111">
      <totalsRowFormula>AVERAGE(Y2:Y99)</totalsRowFormula>
    </tableColumn>
    <tableColumn id="55" xr3:uid="{65A4EB28-4F81-45CD-9597-EBCD47B6A10E}" uniqueName="55" name="Response ID Post-Survey Match" queryTableFieldId="84" dataDxfId="110" totalsRowDxfId="109">
      <calculatedColumnFormula>VLOOKUP(Table_EH_Pre_Survey_May_20__2023_08_229[[#This Row],[ResponseId - Response ID]], 'Post-Survey Full Set'!L:AU, 1, 0)</calculatedColumnFormula>
    </tableColumn>
    <tableColumn id="16" xr3:uid="{651152B2-7B36-4E9A-88FA-96DE341B71E6}" uniqueName="16" name="DistributionChannel - Distribution Channel" totalsRowFunction="custom" queryTableFieldId="16" dataDxfId="108" totalsRowDxfId="107">
      <totalsRowFormula>AVERAGE(AA2:AA99)</totalsRowFormula>
    </tableColumn>
    <tableColumn id="17" xr3:uid="{8B956BD4-3310-4B21-B01C-68028A674DF3}" uniqueName="17" name="UserLanguage - User Language" totalsRowFunction="custom" queryTableFieldId="17" dataDxfId="106" totalsRowDxfId="105">
      <totalsRowFormula>AVERAGE(AB2:AB99)</totalsRowFormula>
    </tableColumn>
    <tableColumn id="18" xr3:uid="{5B0C1417-BA7F-4BAD-A020-3C56213E4628}" uniqueName="18" name="Q1 - NetID" totalsRowFunction="custom" queryTableFieldId="18" dataDxfId="104" totalsRowDxfId="103">
      <totalsRowFormula>AVERAGE(AC2:AC99)</totalsRowFormula>
    </tableColumn>
    <tableColumn id="46" xr3:uid="{5B628130-9A15-41A5-B551-0576483930FA}" uniqueName="46" name="Post-Survey NetID's" queryTableFieldId="75" dataDxfId="102" totalsRowDxfId="101"/>
    <tableColumn id="47" xr3:uid="{2CDF0793-F6EE-4793-8487-095F4B598C1E}" uniqueName="47" name="NetID Match" queryTableFieldId="76" dataDxfId="100" totalsRowDxfId="99">
      <calculatedColumnFormula>IF(ISTEXT(Table_EH_Pre_Survey_May_20__2023_08_229[[#This Row],[Post-Survey NetID''s]]) = TRUE, "Match", "")</calculatedColumnFormula>
    </tableColumn>
    <tableColumn id="57" xr3:uid="{00F3F5F0-F84C-4C29-BB9B-EF99F12D08E1}" uniqueName="57" name="Unique Identifier" queryTableFieldId="86" dataDxfId="98" totalsRowDxfId="97">
      <calculatedColumnFormula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calculatedColumnFormula>
    </tableColumn>
    <tableColumn id="48" xr3:uid="{9BFD65E7-5871-4F58-8EC0-3D9DAD1D2024}" uniqueName="48" name="Overall Match" queryTableFieldId="77" dataDxfId="96" totalsRowDxfId="95">
      <calculatedColumnFormula>IF(Table_EH_Pre_Survey_May_20__2023_08_229[[#This Row],[NetID Match]] = "Match",  "Match", IF(ISTEXT(Table_EH_Pre_Survey_May_20__2023_08_229[[#This Row],[IP Address Match]]) = TRUE, "Match", ""))</calculatedColumnFormula>
    </tableColumn>
    <tableColumn id="19" xr3:uid="{5457B2CE-A679-45DE-865A-915B8A347A9E}" uniqueName="19" name="Q2" totalsRowFunction="custom" queryTableFieldId="19" dataDxfId="94" totalsRowDxfId="93" dataCellStyle="Percent">
      <totalsRowFormula>AVERAGE(AH2:AH103)</totalsRowFormula>
    </tableColumn>
    <tableColumn id="58" xr3:uid="{A5D0146A-6DAE-447A-8106-3C65AAA682DA}" uniqueName="58" name="Q2 Post" totalsRowFunction="custom" queryTableFieldId="87" dataDxfId="92" totalsRowDxfId="91" dataCellStyle="Percent">
      <calculatedColumnFormula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calculatedColumnFormula>
      <totalsRowFormula>AVERAGE(AI2:AI103)</totalsRowFormula>
    </tableColumn>
    <tableColumn id="20" xr3:uid="{3F9F64C5-00C9-4847-AB3A-916A7A316FCB}" uniqueName="20" name="Q3_1" totalsRowFunction="custom" queryTableFieldId="20" dataDxfId="90" totalsRowDxfId="89">
      <totalsRowFormula>AVERAGE(AJ2:AJ103)</totalsRowFormula>
    </tableColumn>
    <tableColumn id="59" xr3:uid="{1BE5DB43-2F61-4320-93DA-F60098BF5991}" uniqueName="59" name="Q3_1 Post" totalsRowFunction="custom" queryTableFieldId="88" dataDxfId="88" totalsRowDxfId="87">
      <calculatedColumnFormula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calculatedColumnFormula>
      <totalsRowFormula>AVERAGE(AK2:AK103)</totalsRowFormula>
    </tableColumn>
    <tableColumn id="21" xr3:uid="{411900D2-B09C-4DCC-A03E-2FF9CACF62E5}" uniqueName="21" name="Q3_2" totalsRowFunction="custom" queryTableFieldId="21" dataDxfId="86" totalsRowDxfId="85">
      <totalsRowFormula>AVERAGE(AL2:AL103)</totalsRowFormula>
    </tableColumn>
    <tableColumn id="60" xr3:uid="{9680C68E-C73D-4EAD-86E3-69FA9F0B9B04}" uniqueName="60" name="Q3_2 Post" totalsRowFunction="custom" queryTableFieldId="89" dataDxfId="84" totalsRowDxfId="83">
      <calculatedColumnFormula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calculatedColumnFormula>
      <totalsRowFormula>AVERAGE(AM2:AM103)</totalsRowFormula>
    </tableColumn>
    <tableColumn id="22" xr3:uid="{D7959313-6691-428D-9F4C-8FFCEB4C58E2}" uniqueName="22" name="Q3_3" totalsRowFunction="custom" queryTableFieldId="22" dataDxfId="82" totalsRowDxfId="81">
      <totalsRowFormula>AVERAGE(AN2:AN103)</totalsRowFormula>
    </tableColumn>
    <tableColumn id="61" xr3:uid="{660E1477-3DC8-4B96-B6B2-B9D5668ECFD8}" uniqueName="61" name="Q3_3 Post" totalsRowFunction="custom" queryTableFieldId="90" dataDxfId="80" totalsRowDxfId="79">
      <calculatedColumnFormula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calculatedColumnFormula>
      <totalsRowFormula>AVERAGE(AO2:AO103)</totalsRowFormula>
    </tableColumn>
    <tableColumn id="23" xr3:uid="{99C5370A-6239-4694-AE28-6CC5797FC48E}" uniqueName="23" name="Q3_4" totalsRowFunction="custom" queryTableFieldId="23" dataDxfId="78" totalsRowDxfId="77">
      <totalsRowFormula>AVERAGE(AP2:AP103)</totalsRowFormula>
    </tableColumn>
    <tableColumn id="62" xr3:uid="{D5641C1C-2F44-40F4-9DFC-5210D1AD7C65}" uniqueName="62" name="Q3_4 Post" totalsRowFunction="custom" queryTableFieldId="91" dataDxfId="76" totalsRowDxfId="75">
      <calculatedColumnFormula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calculatedColumnFormula>
      <totalsRowFormula>AVERAGE(AQ2:AQ103)</totalsRowFormula>
    </tableColumn>
    <tableColumn id="24" xr3:uid="{705B841E-1C25-47A8-A310-94094B4A470E}" uniqueName="24" name="Q3_5" totalsRowFunction="custom" queryTableFieldId="24" dataDxfId="74" totalsRowDxfId="73">
      <totalsRowFormula>AVERAGE(AR2:AR103)</totalsRowFormula>
    </tableColumn>
    <tableColumn id="63" xr3:uid="{74B425AA-095C-4E76-8D24-DCED9B36D8FE}" uniqueName="63" name="Q3_5 Post" totalsRowFunction="custom" queryTableFieldId="92" dataDxfId="72" totalsRowDxfId="71">
      <calculatedColumnFormula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calculatedColumnFormula>
      <totalsRowFormula>AVERAGE(AS2:AS103)</totalsRowFormula>
    </tableColumn>
    <tableColumn id="25" xr3:uid="{BDD93822-91C7-4221-9FB0-DDF68EC21852}" uniqueName="25" name="Q3_6" totalsRowFunction="custom" queryTableFieldId="25" dataDxfId="70" totalsRowDxfId="69">
      <totalsRowFormula>AVERAGE(AT2:AT103)</totalsRowFormula>
    </tableColumn>
    <tableColumn id="64" xr3:uid="{7D856E60-917D-48B5-9A7C-EBFB639BD36B}" uniqueName="64" name="Q3_6 Post" totalsRowFunction="custom" queryTableFieldId="93" dataDxfId="68" totalsRowDxfId="67">
      <calculatedColumnFormula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calculatedColumnFormula>
      <totalsRowFormula>AVERAGE(AU2:AU103)</totalsRowFormula>
    </tableColumn>
    <tableColumn id="26" xr3:uid="{18B716AB-8277-4E03-80E1-C11BE892A1F0}" uniqueName="26" name="Q3_7" totalsRowFunction="custom" queryTableFieldId="26" dataDxfId="66" totalsRowDxfId="65">
      <totalsRowFormula>AVERAGE(AV2:AV103)</totalsRowFormula>
    </tableColumn>
    <tableColumn id="65" xr3:uid="{462EF2E7-0528-4428-B2B3-01AA686F6416}" uniqueName="65" name="Q3_7 Post" totalsRowFunction="custom" queryTableFieldId="94" dataDxfId="64" totalsRowDxfId="63">
      <calculatedColumnFormula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calculatedColumnFormula>
      <totalsRowFormula>AVERAGE(AW2:AW103)</totalsRowFormula>
    </tableColumn>
    <tableColumn id="27" xr3:uid="{527B0FD8-85D4-400A-A30C-A248694E7DFD}" uniqueName="27" name="Q4" totalsRowFunction="custom" queryTableFieldId="27" dataDxfId="62" totalsRowDxfId="61">
      <totalsRowFormula>AVERAGE(AX2:AX103)</totalsRowFormula>
    </tableColumn>
    <tableColumn id="41" xr3:uid="{B1779F15-A58B-4571-A81D-FFE5E53A6453}" uniqueName="41" name="Q4 Response Coded" totalsRowFunction="custom" queryTableFieldId="70" dataDxfId="60" totalsRowDxfId="59">
      <calculatedColumnFormula>IF(Table_EH_Pre_Survey_May_20__2023_08_229[[#This Row],[Q4]] = 3, 1, IF(Table_EH_Pre_Survey_May_20__2023_08_229[[#This Row],[Q4]] = 2.5, 0.5, IF(Table_EH_Pre_Survey_May_20__2023_08_229[[#This Row],[Q4]] = 3.5, 0.5, 0)))</calculatedColumnFormula>
      <totalsRowFormula>AVERAGE(AY2:AY103)</totalsRowFormula>
    </tableColumn>
    <tableColumn id="66" xr3:uid="{38E57A10-2EE8-4802-ADDA-4157E783B773}" uniqueName="66" name="Q4 Post" totalsRowFunction="custom" queryTableFieldId="95" dataDxfId="58" totalsRowDxfId="57">
      <calculatedColumnFormula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calculatedColumnFormula>
      <totalsRowFormula>AVERAGE(AZ2:AZ103)</totalsRowFormula>
    </tableColumn>
    <tableColumn id="80" xr3:uid="{3AED5FEE-8C80-4F0D-95A8-AD8F9950BA58}" uniqueName="80" name="Q4 Responses Coded Post" totalsRowFunction="custom" queryTableFieldId="107" dataDxfId="56" totalsRowDxfId="55">
      <calculatedColumnFormula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calculatedColumnFormula>
      <totalsRowFormula>AVERAGE(BA2:BA103)</totalsRowFormula>
    </tableColumn>
    <tableColumn id="28" xr3:uid="{7DE0C182-72EF-479A-982E-C21C92DD73AD}" uniqueName="28" name="Q5 " queryTableFieldId="28" dataDxfId="54" totalsRowDxfId="53"/>
    <tableColumn id="67" xr3:uid="{5ABAD7F2-E06C-4583-981C-D0F13A6E8A7A}" uniqueName="67" name="Q5 Responses Coded" totalsRowFunction="custom" queryTableFieldId="67" dataDxfId="52" totalsRowDxfId="51">
      <calculatedColumnFormula>IF(Table_EH_Pre_Survey_May_20__2023_08_229[[#This Row],[Q5 ]]="PM &lt; 2.5 μm", 1, 0)</calculatedColumnFormula>
      <totalsRowFormula>AVERAGE(BC2:BC103)</totalsRowFormula>
    </tableColumn>
    <tableColumn id="70" xr3:uid="{10C71D48-D608-4CC5-A16F-DDBBE11ADE31}" uniqueName="70" name="Q5 Post" queryTableFieldId="97" dataDxfId="50" totalsRowDxfId="49">
      <calculatedColumnFormula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calculatedColumnFormula>
    </tableColumn>
    <tableColumn id="81" xr3:uid="{767CBB60-2668-48EF-AC35-613AF33E9DD2}" uniqueName="81" name="Q5 Responses Coded Post" totalsRowFunction="custom" queryTableFieldId="108" dataDxfId="48" totalsRowDxfId="47">
      <calculatedColumnFormula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calculatedColumnFormula>
      <totalsRowFormula>AVERAGE(BE2:BE103)</totalsRowFormula>
    </tableColumn>
    <tableColumn id="29" xr3:uid="{75830E3B-432C-444F-9B97-7E282A25C285}" uniqueName="29" name="Q6" queryTableFieldId="29" dataDxfId="46" totalsRowDxfId="45"/>
    <tableColumn id="68" xr3:uid="{1E1218A8-B057-4029-928F-AD974A887605}" uniqueName="68" name="Q6 Responses Coded" totalsRowFunction="custom" queryTableFieldId="68" dataDxfId="44" totalsRowDxfId="43">
      <calculatedColumnFormula>IF(Table_EH_Pre_Survey_May_20__2023_08_229[[#This Row],[Q6]]="Particles of this size are generally absorbed in the respiratory tract and safely excreted in mucus.", 1, 0)</calculatedColumnFormula>
      <totalsRowFormula>AVERAGE(BG2:BG103)</totalsRowFormula>
    </tableColumn>
    <tableColumn id="71" xr3:uid="{C20079EE-934B-4ED5-B7F9-E50806D1092E}" uniqueName="71" name="Q6 Post" queryTableFieldId="98" dataDxfId="42" totalsRowDxfId="41">
      <calculatedColumnFormula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calculatedColumnFormula>
    </tableColumn>
    <tableColumn id="82" xr3:uid="{CFDB6497-6C67-4C95-BB27-5E628E38DE9A}" uniqueName="82" name="Q6 Responses Coded Post" totalsRowFunction="custom" queryTableFieldId="109" dataDxfId="40" totalsRowDxfId="39">
      <calculatedColumnFormula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calculatedColumnFormula>
      <totalsRowFormula>AVERAGE(BI2:BI103)</totalsRowFormula>
    </tableColumn>
    <tableColumn id="30" xr3:uid="{D667D250-F833-46C0-99B8-65B8161C0F9B}" uniqueName="30" name="Q7" queryTableFieldId="30" dataDxfId="38" totalsRowDxfId="37"/>
    <tableColumn id="40" xr3:uid="{E3FCC4F8-22A5-459A-BF39-FA0E105E307B}" uniqueName="40" name="Q7 Responses Coded" totalsRowFunction="custom" queryTableFieldId="69" dataDxfId="36" totalsRowDxfId="35">
      <calculatedColumnFormula>SEARCH("Trucks", Table_EH_Pre_Survey_May_20__2023_08_229[[#This Row],[Q7]])</calculatedColumnFormula>
      <totalsRowFormula>AVERAGE(BK2:BK103)</totalsRowFormula>
    </tableColumn>
    <tableColumn id="84" xr3:uid="{A6A7AE9D-C4AB-40C4-BE7E-CCFC7267F531}" uniqueName="84" name="Q7 Post" queryTableFieldId="111" dataDxfId="34" totalsRowDxfId="33">
      <calculatedColumnFormula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calculatedColumnFormula>
    </tableColumn>
    <tableColumn id="83" xr3:uid="{139358B9-4355-43B0-B384-36CDBC3FD154}" uniqueName="83" name="Q7 Responses Coded Post" totalsRowFunction="custom" queryTableFieldId="110" dataDxfId="32" totalsRowDxfId="31">
      <calculatedColumnFormula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calculatedColumnFormula>
      <totalsRowFormula>AVERAGE(BM2:BM103)</totalsRowFormula>
    </tableColumn>
    <tableColumn id="31" xr3:uid="{2174877C-CD4F-49D3-BE18-02CB0FEB506C}" uniqueName="31" name="Q8_1" totalsRowFunction="custom" queryTableFieldId="31" dataDxfId="30" totalsRowDxfId="29">
      <totalsRowFormula>AVERAGE(BN2:BN103)</totalsRowFormula>
    </tableColumn>
    <tableColumn id="73" xr3:uid="{0DB9D8D7-8DC2-4BC5-9C39-50459413C5D1}" uniqueName="73" name="Q8_1 Post" totalsRowFunction="custom" queryTableFieldId="100" dataDxfId="28" totalsRowDxfId="27">
      <calculatedColumnFormula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calculatedColumnFormula>
      <totalsRowFormula>AVERAGE(BO2:BO103)</totalsRowFormula>
    </tableColumn>
    <tableColumn id="32" xr3:uid="{DBAE4A2C-C3F5-4C51-8273-6EB80FD369F0}" uniqueName="32" name="Q8_2" totalsRowFunction="custom" queryTableFieldId="32" dataDxfId="26" totalsRowDxfId="25">
      <totalsRowFormula>AVERAGE(BP2:BP103)</totalsRowFormula>
    </tableColumn>
    <tableColumn id="74" xr3:uid="{529E66EA-A56A-4420-A75B-415323AF0504}" uniqueName="74" name="Q8_2 Post" totalsRowFunction="custom" queryTableFieldId="101" dataDxfId="24" totalsRowDxfId="23">
      <calculatedColumnFormula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calculatedColumnFormula>
      <totalsRowFormula>AVERAGE(BQ2:BQ103)</totalsRowFormula>
    </tableColumn>
    <tableColumn id="33" xr3:uid="{3752B857-DD60-4AAC-8A58-461F50C2CFBA}" uniqueName="33" name="Q8_3" totalsRowFunction="custom" queryTableFieldId="33" dataDxfId="22" totalsRowDxfId="21">
      <totalsRowFormula>AVERAGE(BR2:BR103)</totalsRowFormula>
    </tableColumn>
    <tableColumn id="75" xr3:uid="{801B81E8-BB9D-402F-A0D1-0FAD7A32CC1E}" uniqueName="75" name="Q8_3 Post" totalsRowFunction="custom" queryTableFieldId="102" dataDxfId="20" totalsRowDxfId="19">
      <calculatedColumnFormula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calculatedColumnFormula>
      <totalsRowFormula>AVERAGE(BS2:BS103)</totalsRowFormula>
    </tableColumn>
    <tableColumn id="34" xr3:uid="{65EB48FB-3D81-47C4-B50D-62B356384C0A}" uniqueName="34" name="Q8_4" totalsRowFunction="custom" queryTableFieldId="34" dataDxfId="18" totalsRowDxfId="17">
      <totalsRowFormula>AVERAGE(BT2:BT103)</totalsRowFormula>
    </tableColumn>
    <tableColumn id="76" xr3:uid="{926F1A0D-07F0-4F7E-91F2-681D27A6A628}" uniqueName="76" name="Q8_4 Post" totalsRowFunction="custom" queryTableFieldId="103" dataDxfId="16" totalsRowDxfId="15">
      <calculatedColumnFormula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calculatedColumnFormula>
      <totalsRowFormula>AVERAGE(BU2:BU103)</totalsRowFormula>
    </tableColumn>
    <tableColumn id="35" xr3:uid="{53E014F7-3E59-49F5-B087-72A4449BA3AF}" uniqueName="35" name="Q8_5" totalsRowFunction="custom" queryTableFieldId="35" dataDxfId="14" totalsRowDxfId="13">
      <totalsRowFormula>AVERAGE(BV2:BV103)</totalsRowFormula>
    </tableColumn>
    <tableColumn id="77" xr3:uid="{B20EA89A-13C8-4B7E-A495-D362F353F4B9}" uniqueName="77" name="Q8_5 Post" totalsRowFunction="custom" queryTableFieldId="104" dataDxfId="12" totalsRowDxfId="11">
      <calculatedColumnFormula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calculatedColumnFormula>
      <totalsRowFormula>AVERAGE(BW2:BW103)</totalsRowFormula>
    </tableColumn>
    <tableColumn id="36" xr3:uid="{A81F286C-CE63-4068-8C1F-2EE84DDAD469}" uniqueName="36" name="Q8_6" totalsRowFunction="custom" queryTableFieldId="36" dataDxfId="10" totalsRowDxfId="9">
      <totalsRowFormula>AVERAGE(BX2:BX103)</totalsRowFormula>
    </tableColumn>
    <tableColumn id="78" xr3:uid="{360A1DF5-F9AE-46C9-817D-B527F90FE72E}" uniqueName="78" name="Q8_7 Post" totalsRowFunction="custom" queryTableFieldId="105" dataDxfId="8" totalsRowDxfId="7">
      <calculatedColumnFormula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calculatedColumnFormula>
      <totalsRowFormula>AVERAGE(BY2:BY103)</totalsRowFormula>
    </tableColumn>
    <tableColumn id="37" xr3:uid="{F24258B7-1349-4E76-9026-E3151E676F56}" uniqueName="37" name="Q9" totalsRowFunction="custom" queryTableFieldId="37" dataDxfId="6" totalsRowDxfId="5">
      <totalsRowFormula>AVERAGE(BZ2:BZ103)</totalsRowFormula>
    </tableColumn>
    <tableColumn id="79" xr3:uid="{A03ADE5F-2183-4530-979C-2B1342EE04C8}" uniqueName="79" name="Q9 Post" totalsRowFunction="custom" queryTableFieldId="106" dataDxfId="4" totalsRowDxfId="3">
      <calculatedColumnFormula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calculatedColumnFormula>
      <totalsRowFormula>AVERAGE(CA2:CA103)</totalsRowFormula>
    </tableColumn>
    <tableColumn id="85" xr3:uid="{7E4B5F3D-1A61-41CD-8CB2-93082BDDCCEC}" uniqueName="85" name="Q10 Pre" queryTableFieldId="112" totalsRowDxfId="2"/>
    <tableColumn id="38" xr3:uid="{721E4FBD-6EB2-49E0-899A-19E30C1BB615}" uniqueName="38" name="Q10 Post" totalsRowFunction="custom" queryTableFieldId="38" dataDxfId="1" totalsRowDxfId="0">
      <totalsRowFormula>AVERAGE(CC2:CC103)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drawing" Target="../drawings/drawing1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0D14F-C684-D74B-8E67-CB76D91A6E95}">
  <dimension ref="A1:AS112"/>
  <sheetViews>
    <sheetView tabSelected="1" topLeftCell="E95" zoomScale="80" zoomScaleNormal="80" workbookViewId="0">
      <selection activeCell="G105" sqref="G105"/>
    </sheetView>
  </sheetViews>
  <sheetFormatPr defaultColWidth="10.625" defaultRowHeight="15.75" x14ac:dyDescent="0.25"/>
  <cols>
    <col min="1" max="1" width="50.375" hidden="1" customWidth="1"/>
    <col min="2" max="2" width="49.5" hidden="1" customWidth="1"/>
    <col min="3" max="3" width="18.5" hidden="1" customWidth="1"/>
    <col min="4" max="4" width="21.625" hidden="1" customWidth="1"/>
    <col min="5" max="5" width="21.625" customWidth="1"/>
    <col min="6" max="6" width="20.5" bestFit="1" customWidth="1"/>
    <col min="7" max="7" width="20.5" customWidth="1"/>
    <col min="8" max="8" width="22.5" customWidth="1"/>
    <col min="9" max="9" width="20" customWidth="1"/>
    <col min="10" max="10" width="53.875" customWidth="1"/>
    <col min="11" max="11" width="22" customWidth="1"/>
    <col min="12" max="12" width="29.375" hidden="1" customWidth="1"/>
    <col min="13" max="13" width="29.625" hidden="1" customWidth="1"/>
    <col min="14" max="14" width="25.5" hidden="1" customWidth="1"/>
    <col min="15" max="15" width="32.875" hidden="1" customWidth="1"/>
    <col min="16" max="16" width="27" hidden="1" customWidth="1"/>
    <col min="17" max="17" width="28.375" hidden="1" customWidth="1"/>
    <col min="18" max="18" width="29.625" hidden="1" customWidth="1"/>
    <col min="19" max="19" width="25" hidden="1" customWidth="1"/>
    <col min="20" max="20" width="22.625" customWidth="1"/>
    <col min="21" max="21" width="20.875" style="6" bestFit="1" customWidth="1"/>
    <col min="22" max="22" width="8.375" customWidth="1"/>
    <col min="23" max="23" width="8.875" customWidth="1"/>
    <col min="24" max="25" width="7.375" customWidth="1"/>
    <col min="26" max="26" width="7.25" customWidth="1"/>
    <col min="27" max="27" width="8" customWidth="1"/>
    <col min="28" max="28" width="9.125" customWidth="1"/>
    <col min="29" max="29" width="7.625" style="2" customWidth="1"/>
    <col min="30" max="30" width="11.875" style="2" customWidth="1"/>
    <col min="31" max="31" width="12.625" customWidth="1"/>
    <col min="32" max="32" width="12.375" customWidth="1"/>
    <col min="33" max="33" width="24.75" customWidth="1"/>
    <col min="34" max="34" width="12.875" customWidth="1"/>
    <col min="35" max="35" width="20.75" customWidth="1"/>
    <col min="36" max="36" width="12.75" customWidth="1"/>
    <col min="37" max="37" width="7.375" customWidth="1"/>
    <col min="38" max="38" width="9.625" customWidth="1"/>
    <col min="39" max="39" width="9.375" customWidth="1"/>
    <col min="40" max="40" width="8.125" customWidth="1"/>
    <col min="41" max="41" width="7.125" customWidth="1"/>
    <col min="42" max="43" width="7.625" customWidth="1"/>
    <col min="44" max="45" width="20.875" customWidth="1"/>
  </cols>
  <sheetData>
    <row r="1" spans="1:45" s="24" customFormat="1" ht="33.6" customHeight="1" x14ac:dyDescent="0.25">
      <c r="A1" s="24" t="s">
        <v>913</v>
      </c>
      <c r="B1" s="24" t="s">
        <v>914</v>
      </c>
      <c r="C1" s="24" t="s">
        <v>915</v>
      </c>
      <c r="D1" s="24" t="s">
        <v>916</v>
      </c>
      <c r="E1" s="24" t="s">
        <v>314</v>
      </c>
      <c r="F1" s="24" t="s">
        <v>917</v>
      </c>
      <c r="G1" s="24" t="s">
        <v>918</v>
      </c>
      <c r="H1" s="24" t="s">
        <v>1313</v>
      </c>
      <c r="I1" s="24" t="s">
        <v>919</v>
      </c>
      <c r="J1" s="24" t="s">
        <v>920</v>
      </c>
      <c r="K1" s="24" t="s">
        <v>921</v>
      </c>
      <c r="L1" s="24" t="s">
        <v>922</v>
      </c>
      <c r="M1" s="24" t="s">
        <v>923</v>
      </c>
      <c r="N1" s="24" t="s">
        <v>924</v>
      </c>
      <c r="O1" s="24" t="s">
        <v>925</v>
      </c>
      <c r="P1" s="24" t="s">
        <v>926</v>
      </c>
      <c r="Q1" s="24" t="s">
        <v>927</v>
      </c>
      <c r="R1" s="24" t="s">
        <v>928</v>
      </c>
      <c r="S1" s="24" t="s">
        <v>929</v>
      </c>
      <c r="T1" s="24" t="s">
        <v>930</v>
      </c>
      <c r="U1" s="25" t="s">
        <v>1364</v>
      </c>
      <c r="V1" s="25" t="s">
        <v>20</v>
      </c>
      <c r="W1" s="25" t="s">
        <v>21</v>
      </c>
      <c r="X1" s="25" t="s">
        <v>22</v>
      </c>
      <c r="Y1" s="25" t="s">
        <v>23</v>
      </c>
      <c r="Z1" s="25" t="s">
        <v>24</v>
      </c>
      <c r="AA1" s="25" t="s">
        <v>25</v>
      </c>
      <c r="AB1" s="25" t="s">
        <v>26</v>
      </c>
      <c r="AC1" s="25" t="s">
        <v>27</v>
      </c>
      <c r="AD1" s="24" t="s">
        <v>1390</v>
      </c>
      <c r="AE1" s="25" t="s">
        <v>1366</v>
      </c>
      <c r="AF1" s="24" t="s">
        <v>1381</v>
      </c>
      <c r="AG1" s="24" t="s">
        <v>29</v>
      </c>
      <c r="AH1" s="24" t="s">
        <v>1382</v>
      </c>
      <c r="AI1" s="24" t="s">
        <v>30</v>
      </c>
      <c r="AJ1" s="24" t="s">
        <v>1380</v>
      </c>
      <c r="AK1" s="25" t="s">
        <v>31</v>
      </c>
      <c r="AL1" s="25" t="s">
        <v>32</v>
      </c>
      <c r="AM1" s="25" t="s">
        <v>33</v>
      </c>
      <c r="AN1" s="25" t="s">
        <v>34</v>
      </c>
      <c r="AO1" s="25" t="s">
        <v>35</v>
      </c>
      <c r="AP1" s="25" t="s">
        <v>36</v>
      </c>
      <c r="AQ1" s="25" t="s">
        <v>37</v>
      </c>
      <c r="AR1" s="25" t="s">
        <v>1371</v>
      </c>
      <c r="AS1" s="25"/>
    </row>
    <row r="2" spans="1:45" ht="15.95" hidden="1" customHeight="1" x14ac:dyDescent="0.25">
      <c r="A2" t="s">
        <v>73</v>
      </c>
      <c r="B2" t="s">
        <v>74</v>
      </c>
      <c r="C2" t="s">
        <v>75</v>
      </c>
      <c r="D2" t="s">
        <v>76</v>
      </c>
      <c r="F2" t="s">
        <v>77</v>
      </c>
      <c r="G2" t="e">
        <f>_xlfn.NUMBERVALUE(#REF!)</f>
        <v>#VALUE!</v>
      </c>
      <c r="H2" t="s">
        <v>78</v>
      </c>
      <c r="I2" t="s">
        <v>79</v>
      </c>
      <c r="J2" t="s">
        <v>80</v>
      </c>
      <c r="K2" t="s">
        <v>81</v>
      </c>
      <c r="L2" t="s">
        <v>82</v>
      </c>
      <c r="M2" t="s">
        <v>83</v>
      </c>
      <c r="N2" t="s">
        <v>84</v>
      </c>
      <c r="O2" t="s">
        <v>85</v>
      </c>
      <c r="P2" t="s">
        <v>86</v>
      </c>
      <c r="Q2" t="s">
        <v>87</v>
      </c>
      <c r="R2" t="s">
        <v>88</v>
      </c>
      <c r="S2" t="s">
        <v>89</v>
      </c>
      <c r="T2" t="s">
        <v>90</v>
      </c>
      <c r="U2" s="6" t="s">
        <v>91</v>
      </c>
      <c r="V2" t="s">
        <v>92</v>
      </c>
      <c r="W2" t="s">
        <v>93</v>
      </c>
      <c r="X2" t="s">
        <v>94</v>
      </c>
      <c r="Y2" t="s">
        <v>95</v>
      </c>
      <c r="Z2" t="s">
        <v>96</v>
      </c>
      <c r="AA2" t="s">
        <v>97</v>
      </c>
      <c r="AB2" t="s">
        <v>98</v>
      </c>
      <c r="AC2" s="2" t="s">
        <v>99</v>
      </c>
      <c r="AD2" s="2">
        <f>IF(#REF! = 3, 1, IF(#REF! = 2.5, 0.5, IF(#REF! = 3.5, 0.5, 0)))</f>
        <v>0</v>
      </c>
      <c r="AE2" t="s">
        <v>100</v>
      </c>
      <c r="AF2">
        <f>IF(#REF!="PM &lt; 2.5 μm", 1, 0)</f>
        <v>0</v>
      </c>
      <c r="AG2" t="s">
        <v>101</v>
      </c>
      <c r="AH2">
        <f>IF(#REF!="Particles of this size are generally absorbed in the respiratory tract and safely excreted in mucus.", 1, 0)</f>
        <v>0</v>
      </c>
      <c r="AI2" t="s">
        <v>102</v>
      </c>
      <c r="AJ2" t="e">
        <f xml:space="preserve"> SEARCH("Trucks",#REF!)</f>
        <v>#VALUE!</v>
      </c>
      <c r="AK2" t="s">
        <v>103</v>
      </c>
      <c r="AL2" t="s">
        <v>104</v>
      </c>
      <c r="AM2" t="s">
        <v>105</v>
      </c>
      <c r="AN2" t="s">
        <v>106</v>
      </c>
      <c r="AO2" t="s">
        <v>107</v>
      </c>
      <c r="AP2" t="s">
        <v>108</v>
      </c>
      <c r="AQ2" t="s">
        <v>109</v>
      </c>
      <c r="AR2" t="s">
        <v>110</v>
      </c>
    </row>
    <row r="3" spans="1:45" x14ac:dyDescent="0.25">
      <c r="A3" t="s">
        <v>457</v>
      </c>
      <c r="B3" t="s">
        <v>458</v>
      </c>
      <c r="C3" t="s">
        <v>42</v>
      </c>
      <c r="D3" t="s">
        <v>389</v>
      </c>
      <c r="E3">
        <v>1</v>
      </c>
      <c r="F3" t="s">
        <v>112</v>
      </c>
      <c r="G3">
        <f>_xlfn.NUMBERVALUE(#REF!)</f>
        <v>126</v>
      </c>
      <c r="H3">
        <v>126</v>
      </c>
      <c r="I3" t="s">
        <v>114</v>
      </c>
      <c r="J3" t="s">
        <v>459</v>
      </c>
      <c r="K3" t="s">
        <v>460</v>
      </c>
      <c r="L3" t="s">
        <v>111</v>
      </c>
      <c r="M3" t="s">
        <v>111</v>
      </c>
      <c r="N3" t="s">
        <v>111</v>
      </c>
      <c r="O3" t="s">
        <v>111</v>
      </c>
      <c r="P3" t="s">
        <v>392</v>
      </c>
      <c r="Q3" t="s">
        <v>393</v>
      </c>
      <c r="R3" t="s">
        <v>127</v>
      </c>
      <c r="S3" t="s">
        <v>117</v>
      </c>
      <c r="T3" t="s">
        <v>461</v>
      </c>
      <c r="U3" s="8">
        <v>5</v>
      </c>
      <c r="V3" s="4">
        <v>5</v>
      </c>
      <c r="W3" s="4">
        <v>5</v>
      </c>
      <c r="X3" s="4">
        <v>5</v>
      </c>
      <c r="Y3" s="4">
        <v>5</v>
      </c>
      <c r="Z3" s="4">
        <v>5</v>
      </c>
      <c r="AA3" s="4">
        <v>5</v>
      </c>
      <c r="AB3" s="4">
        <v>5</v>
      </c>
      <c r="AC3" s="2">
        <v>3</v>
      </c>
      <c r="AD3" s="2">
        <f>IF(#REF! = 3, 1, IF(#REF! = 2.5, 0.5, IF(#REF! = 3.5, 0.5, 0)))</f>
        <v>1</v>
      </c>
      <c r="AE3" t="s">
        <v>154</v>
      </c>
      <c r="AF3">
        <f>IF(#REF!="PM &lt; 2.5 μm", 1, 0)</f>
        <v>0</v>
      </c>
      <c r="AG3" t="s">
        <v>141</v>
      </c>
      <c r="AH3">
        <f>IF(#REF!="Particles of this size are generally absorbed in the respiratory tract and safely excreted in mucus.", 1, 0)</f>
        <v>0</v>
      </c>
      <c r="AI3" t="s">
        <v>142</v>
      </c>
      <c r="AJ3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2</v>
      </c>
      <c r="AK3">
        <v>2</v>
      </c>
      <c r="AL3">
        <v>0</v>
      </c>
      <c r="AM3">
        <v>3</v>
      </c>
      <c r="AN3">
        <v>2</v>
      </c>
      <c r="AO3">
        <v>4</v>
      </c>
      <c r="AP3">
        <v>4</v>
      </c>
      <c r="AQ3">
        <v>10</v>
      </c>
      <c r="AR3" t="s">
        <v>462</v>
      </c>
    </row>
    <row r="4" spans="1:45" x14ac:dyDescent="0.25">
      <c r="A4" t="s">
        <v>515</v>
      </c>
      <c r="B4" t="s">
        <v>516</v>
      </c>
      <c r="C4" t="s">
        <v>42</v>
      </c>
      <c r="D4" t="s">
        <v>517</v>
      </c>
      <c r="E4">
        <v>1</v>
      </c>
      <c r="F4" t="s">
        <v>112</v>
      </c>
      <c r="G4">
        <f>_xlfn.NUMBERVALUE(#REF!)</f>
        <v>124</v>
      </c>
      <c r="H4" t="s">
        <v>518</v>
      </c>
      <c r="I4" t="s">
        <v>114</v>
      </c>
      <c r="J4" t="s">
        <v>516</v>
      </c>
      <c r="K4" t="s">
        <v>519</v>
      </c>
      <c r="L4" t="s">
        <v>111</v>
      </c>
      <c r="M4" t="s">
        <v>111</v>
      </c>
      <c r="N4" t="s">
        <v>111</v>
      </c>
      <c r="O4" t="s">
        <v>111</v>
      </c>
      <c r="P4" t="s">
        <v>351</v>
      </c>
      <c r="Q4" t="s">
        <v>352</v>
      </c>
      <c r="R4" t="s">
        <v>487</v>
      </c>
      <c r="S4" t="s">
        <v>117</v>
      </c>
      <c r="T4" t="s">
        <v>520</v>
      </c>
      <c r="U4" s="8">
        <v>5</v>
      </c>
      <c r="V4" s="4">
        <v>5</v>
      </c>
      <c r="W4" s="4">
        <v>5</v>
      </c>
      <c r="X4" s="4">
        <v>5</v>
      </c>
      <c r="Y4" s="4">
        <v>5</v>
      </c>
      <c r="Z4" s="4">
        <v>5</v>
      </c>
      <c r="AA4" s="4">
        <v>5</v>
      </c>
      <c r="AB4" s="4">
        <v>5</v>
      </c>
      <c r="AC4" s="2">
        <v>5</v>
      </c>
      <c r="AD4" s="2">
        <f>IF(#REF! = 3, 1, IF(#REF! = 2.5, 0.5, IF(#REF! = 3.5, 0.5, 0)))</f>
        <v>0</v>
      </c>
      <c r="AE4" t="s">
        <v>130</v>
      </c>
      <c r="AF4">
        <f>IF(#REF!="PM &lt; 2.5 μm", 1, 0)</f>
        <v>0</v>
      </c>
      <c r="AG4" t="s">
        <v>131</v>
      </c>
      <c r="AH4">
        <f>IF(#REF!="Particles of this size are generally absorbed in the respiratory tract and safely excreted in mucus.", 1, 0)</f>
        <v>0</v>
      </c>
      <c r="AI4" t="s">
        <v>327</v>
      </c>
      <c r="AJ4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1</v>
      </c>
      <c r="AK4">
        <v>5</v>
      </c>
      <c r="AL4">
        <v>2</v>
      </c>
      <c r="AM4">
        <v>4</v>
      </c>
      <c r="AN4">
        <v>2</v>
      </c>
      <c r="AO4">
        <v>4</v>
      </c>
      <c r="AP4">
        <v>3</v>
      </c>
      <c r="AQ4">
        <v>10</v>
      </c>
      <c r="AR4" t="s">
        <v>111</v>
      </c>
    </row>
    <row r="5" spans="1:45" x14ac:dyDescent="0.25">
      <c r="A5" t="s">
        <v>565</v>
      </c>
      <c r="B5" t="s">
        <v>566</v>
      </c>
      <c r="C5" t="s">
        <v>42</v>
      </c>
      <c r="D5" t="s">
        <v>389</v>
      </c>
      <c r="E5">
        <v>1</v>
      </c>
      <c r="F5" t="s">
        <v>112</v>
      </c>
      <c r="G5">
        <f>_xlfn.NUMBERVALUE(#REF!)</f>
        <v>171</v>
      </c>
      <c r="H5" t="s">
        <v>567</v>
      </c>
      <c r="I5" t="s">
        <v>114</v>
      </c>
      <c r="J5" t="s">
        <v>566</v>
      </c>
      <c r="K5" t="s">
        <v>568</v>
      </c>
      <c r="L5" t="s">
        <v>111</v>
      </c>
      <c r="M5" t="s">
        <v>111</v>
      </c>
      <c r="N5" t="s">
        <v>111</v>
      </c>
      <c r="O5" t="s">
        <v>111</v>
      </c>
      <c r="P5" t="s">
        <v>392</v>
      </c>
      <c r="Q5" t="s">
        <v>393</v>
      </c>
      <c r="R5" t="s">
        <v>487</v>
      </c>
      <c r="S5" t="s">
        <v>117</v>
      </c>
      <c r="T5" t="s">
        <v>569</v>
      </c>
      <c r="U5" s="8">
        <v>5</v>
      </c>
      <c r="V5" s="4">
        <v>4</v>
      </c>
      <c r="W5" s="4">
        <v>5</v>
      </c>
      <c r="X5" s="4">
        <v>5</v>
      </c>
      <c r="Y5" s="4">
        <v>3</v>
      </c>
      <c r="Z5" s="4">
        <v>5</v>
      </c>
      <c r="AA5" s="4">
        <v>5</v>
      </c>
      <c r="AB5" s="4"/>
      <c r="AC5" s="2">
        <v>3.5</v>
      </c>
      <c r="AD5" s="2">
        <f>IF(#REF! = 3, 1, IF(#REF! = 2.5, 0.5, IF(#REF! = 3.5, 0.5, 0)))</f>
        <v>0.5</v>
      </c>
      <c r="AE5" t="s">
        <v>185</v>
      </c>
      <c r="AF5">
        <f>IF(#REF!="PM &lt; 2.5 μm", 1, 0)</f>
        <v>0</v>
      </c>
      <c r="AG5" t="s">
        <v>131</v>
      </c>
      <c r="AH5">
        <f>IF(#REF!="Particles of this size are generally absorbed in the respiratory tract and safely excreted in mucus.", 1, 0)</f>
        <v>0</v>
      </c>
      <c r="AI5" t="s">
        <v>280</v>
      </c>
      <c r="AJ5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2</v>
      </c>
      <c r="AK5">
        <v>4</v>
      </c>
      <c r="AL5">
        <v>5</v>
      </c>
      <c r="AM5">
        <v>5</v>
      </c>
      <c r="AN5">
        <v>4</v>
      </c>
      <c r="AO5">
        <v>5</v>
      </c>
      <c r="AP5">
        <v>4</v>
      </c>
      <c r="AQ5">
        <v>7</v>
      </c>
      <c r="AR5" t="s">
        <v>570</v>
      </c>
    </row>
    <row r="6" spans="1:45" x14ac:dyDescent="0.25">
      <c r="A6" t="s">
        <v>577</v>
      </c>
      <c r="B6" t="s">
        <v>578</v>
      </c>
      <c r="C6" t="s">
        <v>42</v>
      </c>
      <c r="D6" t="s">
        <v>579</v>
      </c>
      <c r="E6">
        <v>1</v>
      </c>
      <c r="F6" t="s">
        <v>112</v>
      </c>
      <c r="G6">
        <f>_xlfn.NUMBERVALUE(#REF!)</f>
        <v>137</v>
      </c>
      <c r="H6" t="s">
        <v>580</v>
      </c>
      <c r="I6" t="s">
        <v>114</v>
      </c>
      <c r="J6" t="s">
        <v>581</v>
      </c>
      <c r="K6" t="s">
        <v>582</v>
      </c>
      <c r="L6" t="s">
        <v>111</v>
      </c>
      <c r="M6" t="s">
        <v>111</v>
      </c>
      <c r="N6" t="s">
        <v>111</v>
      </c>
      <c r="O6" t="s">
        <v>111</v>
      </c>
      <c r="P6" t="s">
        <v>351</v>
      </c>
      <c r="Q6" t="s">
        <v>352</v>
      </c>
      <c r="R6" t="s">
        <v>127</v>
      </c>
      <c r="S6" t="s">
        <v>117</v>
      </c>
      <c r="T6" t="s">
        <v>583</v>
      </c>
      <c r="U6" s="8">
        <v>3</v>
      </c>
      <c r="V6" s="4">
        <v>5</v>
      </c>
      <c r="W6" s="4">
        <v>3</v>
      </c>
      <c r="X6" s="4">
        <v>3</v>
      </c>
      <c r="Y6" s="4">
        <v>0</v>
      </c>
      <c r="Z6" s="4">
        <v>2</v>
      </c>
      <c r="AA6" s="4">
        <v>5</v>
      </c>
      <c r="AB6" s="4">
        <v>1</v>
      </c>
      <c r="AC6" s="2">
        <v>4</v>
      </c>
      <c r="AD6" s="2">
        <f>IF(#REF! = 3, 1, IF(#REF! = 2.5, 0.5, IF(#REF! = 3.5, 0.5, 0)))</f>
        <v>0</v>
      </c>
      <c r="AE6" t="s">
        <v>140</v>
      </c>
      <c r="AF6">
        <f>IF(#REF!="PM &lt; 2.5 μm", 1, 0)</f>
        <v>1</v>
      </c>
      <c r="AG6" t="s">
        <v>155</v>
      </c>
      <c r="AH6">
        <f>IF(#REF!="Particles of this size are generally absorbed in the respiratory tract and safely excreted in mucus.", 1, 0)</f>
        <v>0</v>
      </c>
      <c r="AI6" t="s">
        <v>280</v>
      </c>
      <c r="AJ6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2</v>
      </c>
      <c r="AK6">
        <v>3</v>
      </c>
      <c r="AL6">
        <v>3</v>
      </c>
      <c r="AM6">
        <v>2</v>
      </c>
      <c r="AN6">
        <v>0</v>
      </c>
      <c r="AO6">
        <v>1</v>
      </c>
      <c r="AP6">
        <v>3</v>
      </c>
      <c r="AQ6">
        <v>5</v>
      </c>
      <c r="AR6" t="s">
        <v>584</v>
      </c>
    </row>
    <row r="7" spans="1:45" x14ac:dyDescent="0.25">
      <c r="A7" t="s">
        <v>488</v>
      </c>
      <c r="B7" t="s">
        <v>626</v>
      </c>
      <c r="C7" t="s">
        <v>42</v>
      </c>
      <c r="D7" t="s">
        <v>627</v>
      </c>
      <c r="E7">
        <v>1</v>
      </c>
      <c r="F7" t="s">
        <v>112</v>
      </c>
      <c r="G7">
        <f>_xlfn.NUMBERVALUE(#REF!)</f>
        <v>237</v>
      </c>
      <c r="H7" t="s">
        <v>628</v>
      </c>
      <c r="I7" t="s">
        <v>114</v>
      </c>
      <c r="J7" t="s">
        <v>626</v>
      </c>
      <c r="K7" t="s">
        <v>629</v>
      </c>
      <c r="L7" t="s">
        <v>111</v>
      </c>
      <c r="M7" t="s">
        <v>111</v>
      </c>
      <c r="N7" t="s">
        <v>111</v>
      </c>
      <c r="O7" t="s">
        <v>111</v>
      </c>
      <c r="P7" t="s">
        <v>351</v>
      </c>
      <c r="Q7" t="s">
        <v>352</v>
      </c>
      <c r="R7" t="s">
        <v>487</v>
      </c>
      <c r="S7" t="s">
        <v>117</v>
      </c>
      <c r="T7" t="s">
        <v>630</v>
      </c>
      <c r="U7" s="8">
        <v>5</v>
      </c>
      <c r="V7" s="4">
        <v>4</v>
      </c>
      <c r="W7" s="4">
        <v>3</v>
      </c>
      <c r="X7" s="4">
        <v>3</v>
      </c>
      <c r="Y7" s="4">
        <v>3</v>
      </c>
      <c r="Z7" s="4">
        <v>3</v>
      </c>
      <c r="AA7" s="4">
        <v>4</v>
      </c>
      <c r="AB7" s="4">
        <v>4</v>
      </c>
      <c r="AC7" s="2">
        <v>4</v>
      </c>
      <c r="AD7" s="2">
        <f>IF(#REF! = 3, 1, IF(#REF! = 2.5, 0.5, IF(#REF! = 3.5, 0.5, 0)))</f>
        <v>0</v>
      </c>
      <c r="AE7" t="s">
        <v>166</v>
      </c>
      <c r="AF7">
        <f>IF(#REF!="PM &lt; 2.5 μm", 1, 0)</f>
        <v>0</v>
      </c>
      <c r="AG7" t="s">
        <v>141</v>
      </c>
      <c r="AH7">
        <f>IF(#REF!="Particles of this size are generally absorbed in the respiratory tract and safely excreted in mucus.", 1, 0)</f>
        <v>0</v>
      </c>
      <c r="AI7" t="s">
        <v>353</v>
      </c>
      <c r="AJ7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3</v>
      </c>
      <c r="AK7">
        <v>3</v>
      </c>
      <c r="AL7">
        <v>2</v>
      </c>
      <c r="AM7">
        <v>4</v>
      </c>
      <c r="AN7">
        <v>4</v>
      </c>
      <c r="AO7">
        <v>4</v>
      </c>
      <c r="AP7">
        <v>4</v>
      </c>
      <c r="AQ7">
        <v>9</v>
      </c>
      <c r="AR7" t="s">
        <v>631</v>
      </c>
    </row>
    <row r="8" spans="1:45" x14ac:dyDescent="0.25">
      <c r="A8" t="s">
        <v>591</v>
      </c>
      <c r="B8" t="s">
        <v>592</v>
      </c>
      <c r="C8" t="s">
        <v>42</v>
      </c>
      <c r="D8" t="s">
        <v>593</v>
      </c>
      <c r="E8">
        <v>1</v>
      </c>
      <c r="F8" t="s">
        <v>112</v>
      </c>
      <c r="G8">
        <f>_xlfn.NUMBERVALUE(#REF!)</f>
        <v>115</v>
      </c>
      <c r="H8" t="s">
        <v>594</v>
      </c>
      <c r="I8" t="s">
        <v>114</v>
      </c>
      <c r="J8" t="s">
        <v>595</v>
      </c>
      <c r="K8" t="s">
        <v>596</v>
      </c>
      <c r="L8" t="s">
        <v>111</v>
      </c>
      <c r="M8" t="s">
        <v>111</v>
      </c>
      <c r="N8" t="s">
        <v>111</v>
      </c>
      <c r="O8" t="s">
        <v>111</v>
      </c>
      <c r="P8" t="s">
        <v>115</v>
      </c>
      <c r="Q8" t="s">
        <v>116</v>
      </c>
      <c r="R8" t="s">
        <v>127</v>
      </c>
      <c r="S8" t="s">
        <v>117</v>
      </c>
      <c r="T8" t="s">
        <v>597</v>
      </c>
      <c r="U8" s="8">
        <v>4</v>
      </c>
      <c r="V8" s="4">
        <v>3</v>
      </c>
      <c r="W8" s="4">
        <v>3</v>
      </c>
      <c r="X8" s="4">
        <v>5</v>
      </c>
      <c r="Y8" s="4">
        <v>3</v>
      </c>
      <c r="Z8" s="4">
        <v>5</v>
      </c>
      <c r="AA8" s="4">
        <v>5</v>
      </c>
      <c r="AB8" s="4">
        <v>3</v>
      </c>
      <c r="AC8" s="2">
        <v>4</v>
      </c>
      <c r="AD8" s="2">
        <f>IF(#REF! = 3, 1, IF(#REF! = 2.5, 0.5, IF(#REF! = 3.5, 0.5, 0)))</f>
        <v>0</v>
      </c>
      <c r="AE8" t="s">
        <v>185</v>
      </c>
      <c r="AF8">
        <f>IF(#REF!="PM &lt; 2.5 μm", 1, 0)</f>
        <v>0</v>
      </c>
      <c r="AG8" t="s">
        <v>155</v>
      </c>
      <c r="AH8">
        <f>IF(#REF!="Particles of this size are generally absorbed in the respiratory tract and safely excreted in mucus.", 1, 0)</f>
        <v>0</v>
      </c>
      <c r="AI8" t="s">
        <v>598</v>
      </c>
      <c r="AJ8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1</v>
      </c>
      <c r="AK8">
        <v>2</v>
      </c>
      <c r="AL8">
        <v>1</v>
      </c>
      <c r="AM8">
        <v>3</v>
      </c>
      <c r="AN8">
        <v>2</v>
      </c>
      <c r="AO8">
        <v>4</v>
      </c>
      <c r="AP8">
        <v>5</v>
      </c>
      <c r="AQ8">
        <v>7</v>
      </c>
      <c r="AR8" t="s">
        <v>111</v>
      </c>
    </row>
    <row r="9" spans="1:45" x14ac:dyDescent="0.25">
      <c r="A9" t="s">
        <v>533</v>
      </c>
      <c r="B9" t="s">
        <v>534</v>
      </c>
      <c r="C9" t="s">
        <v>42</v>
      </c>
      <c r="D9" t="s">
        <v>535</v>
      </c>
      <c r="E9">
        <v>1</v>
      </c>
      <c r="F9" t="s">
        <v>112</v>
      </c>
      <c r="G9">
        <f>_xlfn.NUMBERVALUE(#REF!)</f>
        <v>344</v>
      </c>
      <c r="H9" t="s">
        <v>536</v>
      </c>
      <c r="I9" t="s">
        <v>114</v>
      </c>
      <c r="J9" t="s">
        <v>534</v>
      </c>
      <c r="K9" t="s">
        <v>537</v>
      </c>
      <c r="L9" t="s">
        <v>111</v>
      </c>
      <c r="M9" t="s">
        <v>111</v>
      </c>
      <c r="N9" t="s">
        <v>111</v>
      </c>
      <c r="O9" t="s">
        <v>111</v>
      </c>
      <c r="P9" t="s">
        <v>351</v>
      </c>
      <c r="Q9" t="s">
        <v>352</v>
      </c>
      <c r="R9" t="s">
        <v>127</v>
      </c>
      <c r="S9" t="s">
        <v>117</v>
      </c>
      <c r="T9" t="s">
        <v>538</v>
      </c>
      <c r="U9" s="8">
        <v>2</v>
      </c>
      <c r="V9" s="4">
        <v>3</v>
      </c>
      <c r="W9" s="4">
        <v>4</v>
      </c>
      <c r="X9" s="4">
        <v>5</v>
      </c>
      <c r="Y9" s="4">
        <v>4</v>
      </c>
      <c r="Z9" s="4">
        <v>2</v>
      </c>
      <c r="AA9" s="4">
        <v>5</v>
      </c>
      <c r="AB9" s="4">
        <v>2</v>
      </c>
      <c r="AC9" s="2">
        <v>3</v>
      </c>
      <c r="AD9" s="2">
        <f>IF(#REF! = 3, 1, IF(#REF! = 2.5, 0.5, IF(#REF! = 3.5, 0.5, 0)))</f>
        <v>1</v>
      </c>
      <c r="AE9" t="s">
        <v>185</v>
      </c>
      <c r="AF9">
        <f>IF(#REF!="PM &lt; 2.5 μm", 1, 0)</f>
        <v>0</v>
      </c>
      <c r="AG9" t="s">
        <v>141</v>
      </c>
      <c r="AH9">
        <f>IF(#REF!="Particles of this size are generally absorbed in the respiratory tract and safely excreted in mucus.", 1, 0)</f>
        <v>0</v>
      </c>
      <c r="AI9" t="s">
        <v>156</v>
      </c>
      <c r="AJ9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4</v>
      </c>
      <c r="AK9">
        <v>4</v>
      </c>
      <c r="AL9">
        <v>4</v>
      </c>
      <c r="AM9">
        <v>3</v>
      </c>
      <c r="AN9">
        <v>5</v>
      </c>
      <c r="AO9">
        <v>2</v>
      </c>
      <c r="AP9">
        <v>5</v>
      </c>
      <c r="AQ9">
        <v>7</v>
      </c>
      <c r="AR9" t="s">
        <v>539</v>
      </c>
    </row>
    <row r="10" spans="1:45" x14ac:dyDescent="0.25">
      <c r="A10" t="s">
        <v>659</v>
      </c>
      <c r="B10" t="s">
        <v>660</v>
      </c>
      <c r="C10" t="s">
        <v>42</v>
      </c>
      <c r="D10" t="s">
        <v>661</v>
      </c>
      <c r="E10">
        <v>1</v>
      </c>
      <c r="F10" t="s">
        <v>112</v>
      </c>
      <c r="G10">
        <f>_xlfn.NUMBERVALUE(#REF!)</f>
        <v>160</v>
      </c>
      <c r="H10" t="s">
        <v>662</v>
      </c>
      <c r="I10" t="s">
        <v>114</v>
      </c>
      <c r="J10" t="s">
        <v>660</v>
      </c>
      <c r="K10" t="s">
        <v>663</v>
      </c>
      <c r="L10" t="s">
        <v>111</v>
      </c>
      <c r="M10" t="s">
        <v>111</v>
      </c>
      <c r="N10" t="s">
        <v>111</v>
      </c>
      <c r="O10" t="s">
        <v>111</v>
      </c>
      <c r="P10" t="s">
        <v>115</v>
      </c>
      <c r="Q10" t="s">
        <v>116</v>
      </c>
      <c r="R10" t="s">
        <v>127</v>
      </c>
      <c r="S10" t="s">
        <v>117</v>
      </c>
      <c r="T10" t="s">
        <v>664</v>
      </c>
      <c r="U10" s="8">
        <v>5</v>
      </c>
      <c r="V10" s="4">
        <v>4</v>
      </c>
      <c r="W10" s="4">
        <v>5</v>
      </c>
      <c r="X10" s="4">
        <v>5</v>
      </c>
      <c r="Y10" s="4">
        <v>5</v>
      </c>
      <c r="Z10" s="4">
        <v>3</v>
      </c>
      <c r="AA10" s="4">
        <v>5</v>
      </c>
      <c r="AB10" s="4">
        <v>3</v>
      </c>
      <c r="AC10" s="2">
        <v>4.5</v>
      </c>
      <c r="AD10" s="2">
        <f>IF(#REF! = 3, 1, IF(#REF! = 2.5, 0.5, IF(#REF! = 3.5, 0.5, 0)))</f>
        <v>0</v>
      </c>
      <c r="AE10" t="s">
        <v>130</v>
      </c>
      <c r="AF10">
        <f>IF(#REF!="PM &lt; 2.5 μm", 1, 0)</f>
        <v>0</v>
      </c>
      <c r="AG10" t="s">
        <v>155</v>
      </c>
      <c r="AH10">
        <f>IF(#REF!="Particles of this size are generally absorbed in the respiratory tract and safely excreted in mucus.", 1, 0)</f>
        <v>0</v>
      </c>
      <c r="AI10" t="s">
        <v>167</v>
      </c>
      <c r="AJ10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3</v>
      </c>
      <c r="AK10">
        <v>4</v>
      </c>
      <c r="AL10">
        <v>1</v>
      </c>
      <c r="AM10">
        <v>4</v>
      </c>
      <c r="AN10">
        <v>4</v>
      </c>
      <c r="AO10">
        <v>4</v>
      </c>
      <c r="AP10">
        <v>3</v>
      </c>
      <c r="AQ10">
        <v>7</v>
      </c>
      <c r="AR10" t="s">
        <v>665</v>
      </c>
    </row>
    <row r="11" spans="1:45" x14ac:dyDescent="0.25">
      <c r="A11" t="s">
        <v>554</v>
      </c>
      <c r="B11" t="s">
        <v>551</v>
      </c>
      <c r="C11" t="s">
        <v>42</v>
      </c>
      <c r="D11" t="s">
        <v>389</v>
      </c>
      <c r="E11">
        <v>1</v>
      </c>
      <c r="F11" t="s">
        <v>112</v>
      </c>
      <c r="G11">
        <f>_xlfn.NUMBERVALUE(#REF!)</f>
        <v>143</v>
      </c>
      <c r="H11" t="s">
        <v>555</v>
      </c>
      <c r="I11" t="s">
        <v>114</v>
      </c>
      <c r="J11" t="s">
        <v>556</v>
      </c>
      <c r="K11" t="s">
        <v>557</v>
      </c>
      <c r="L11" t="s">
        <v>111</v>
      </c>
      <c r="M11" t="s">
        <v>111</v>
      </c>
      <c r="N11" t="s">
        <v>111</v>
      </c>
      <c r="O11" t="s">
        <v>111</v>
      </c>
      <c r="P11" t="s">
        <v>392</v>
      </c>
      <c r="Q11" t="s">
        <v>393</v>
      </c>
      <c r="R11" t="s">
        <v>127</v>
      </c>
      <c r="S11" t="s">
        <v>117</v>
      </c>
      <c r="T11" t="s">
        <v>558</v>
      </c>
      <c r="U11" s="8">
        <v>4</v>
      </c>
      <c r="V11" s="4">
        <v>4</v>
      </c>
      <c r="W11" s="4">
        <v>4</v>
      </c>
      <c r="X11" s="4">
        <v>5</v>
      </c>
      <c r="Y11" s="4">
        <v>5</v>
      </c>
      <c r="Z11" s="4">
        <v>4</v>
      </c>
      <c r="AA11" s="4">
        <v>5</v>
      </c>
      <c r="AB11" s="4">
        <v>3</v>
      </c>
      <c r="AC11" s="2">
        <v>4</v>
      </c>
      <c r="AD11" s="2">
        <f>IF(#REF! = 3, 1, IF(#REF! = 2.5, 0.5, IF(#REF! = 3.5, 0.5, 0)))</f>
        <v>0</v>
      </c>
      <c r="AE11" t="s">
        <v>154</v>
      </c>
      <c r="AF11">
        <f>IF(#REF!="PM &lt; 2.5 μm", 1, 0)</f>
        <v>0</v>
      </c>
      <c r="AG11" t="s">
        <v>175</v>
      </c>
      <c r="AH11">
        <f>IF(#REF!="Particles of this size are generally absorbed in the respiratory tract and safely excreted in mucus.", 1, 0)</f>
        <v>1</v>
      </c>
      <c r="AI11" t="s">
        <v>156</v>
      </c>
      <c r="AJ11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4</v>
      </c>
      <c r="AK11">
        <v>4</v>
      </c>
      <c r="AL11">
        <v>4</v>
      </c>
      <c r="AM11">
        <v>4</v>
      </c>
      <c r="AN11">
        <v>4</v>
      </c>
      <c r="AO11">
        <v>4</v>
      </c>
      <c r="AP11">
        <v>4</v>
      </c>
      <c r="AQ11">
        <v>9</v>
      </c>
      <c r="AR11" t="s">
        <v>559</v>
      </c>
    </row>
    <row r="12" spans="1:45" x14ac:dyDescent="0.25">
      <c r="A12" t="s">
        <v>528</v>
      </c>
      <c r="B12" t="s">
        <v>522</v>
      </c>
      <c r="C12" t="s">
        <v>42</v>
      </c>
      <c r="D12" t="s">
        <v>389</v>
      </c>
      <c r="E12">
        <v>1</v>
      </c>
      <c r="F12" t="s">
        <v>112</v>
      </c>
      <c r="G12">
        <f>_xlfn.NUMBERVALUE(#REF!)</f>
        <v>71</v>
      </c>
      <c r="H12" t="s">
        <v>529</v>
      </c>
      <c r="I12" t="s">
        <v>114</v>
      </c>
      <c r="J12" t="s">
        <v>522</v>
      </c>
      <c r="K12" t="s">
        <v>530</v>
      </c>
      <c r="L12" t="s">
        <v>111</v>
      </c>
      <c r="M12" t="s">
        <v>111</v>
      </c>
      <c r="N12" t="s">
        <v>111</v>
      </c>
      <c r="O12" t="s">
        <v>111</v>
      </c>
      <c r="P12" t="s">
        <v>392</v>
      </c>
      <c r="Q12" t="s">
        <v>393</v>
      </c>
      <c r="R12" t="s">
        <v>487</v>
      </c>
      <c r="S12" t="s">
        <v>117</v>
      </c>
      <c r="T12" t="s">
        <v>531</v>
      </c>
      <c r="U12" s="8">
        <v>4</v>
      </c>
      <c r="V12" s="4">
        <v>4</v>
      </c>
      <c r="W12" s="4">
        <v>1</v>
      </c>
      <c r="X12" s="4">
        <v>5</v>
      </c>
      <c r="Y12" s="4">
        <v>3</v>
      </c>
      <c r="Z12" s="4">
        <v>3</v>
      </c>
      <c r="AA12" s="4">
        <v>5</v>
      </c>
      <c r="AB12" s="4">
        <v>4</v>
      </c>
      <c r="AC12" s="2">
        <v>2.5</v>
      </c>
      <c r="AD12" s="2">
        <f>IF(#REF! = 3, 1, IF(#REF! = 2.5, 0.5, IF(#REF! = 3.5, 0.5, 0)))</f>
        <v>0.5</v>
      </c>
      <c r="AE12" t="s">
        <v>130</v>
      </c>
      <c r="AF12">
        <f>IF(#REF!="PM &lt; 2.5 μm", 1, 0)</f>
        <v>0</v>
      </c>
      <c r="AG12" t="s">
        <v>175</v>
      </c>
      <c r="AH12">
        <f>IF(#REF!="Particles of this size are generally absorbed in the respiratory tract and safely excreted in mucus.", 1, 0)</f>
        <v>1</v>
      </c>
      <c r="AI12" t="s">
        <v>532</v>
      </c>
      <c r="AJ12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-1</v>
      </c>
      <c r="AK12">
        <v>3</v>
      </c>
      <c r="AL12">
        <v>2</v>
      </c>
      <c r="AM12">
        <v>4</v>
      </c>
      <c r="AN12">
        <v>3</v>
      </c>
      <c r="AO12">
        <v>4</v>
      </c>
      <c r="AP12">
        <v>3</v>
      </c>
      <c r="AQ12">
        <v>6</v>
      </c>
      <c r="AR12" t="s">
        <v>111</v>
      </c>
    </row>
    <row r="13" spans="1:45" x14ac:dyDescent="0.25">
      <c r="A13" t="s">
        <v>260</v>
      </c>
      <c r="B13" t="s">
        <v>261</v>
      </c>
      <c r="C13" t="s">
        <v>42</v>
      </c>
      <c r="D13" t="s">
        <v>262</v>
      </c>
      <c r="E13">
        <v>1</v>
      </c>
      <c r="F13" t="s">
        <v>112</v>
      </c>
      <c r="G13">
        <f>_xlfn.NUMBERVALUE(#REF!)</f>
        <v>184</v>
      </c>
      <c r="H13" t="s">
        <v>263</v>
      </c>
      <c r="I13" t="s">
        <v>114</v>
      </c>
      <c r="J13" t="s">
        <v>264</v>
      </c>
      <c r="K13" t="s">
        <v>265</v>
      </c>
      <c r="L13" t="s">
        <v>111</v>
      </c>
      <c r="M13" t="s">
        <v>111</v>
      </c>
      <c r="N13" t="s">
        <v>111</v>
      </c>
      <c r="O13" t="s">
        <v>111</v>
      </c>
      <c r="P13" t="s">
        <v>115</v>
      </c>
      <c r="Q13" t="s">
        <v>116</v>
      </c>
      <c r="R13" t="s">
        <v>127</v>
      </c>
      <c r="S13" t="s">
        <v>117</v>
      </c>
      <c r="T13" t="s">
        <v>266</v>
      </c>
      <c r="U13" s="8">
        <v>4</v>
      </c>
      <c r="V13" s="4">
        <v>4</v>
      </c>
      <c r="W13" s="4">
        <v>5</v>
      </c>
      <c r="X13" s="4">
        <v>2</v>
      </c>
      <c r="Y13" s="4">
        <v>2</v>
      </c>
      <c r="Z13" s="4">
        <v>1</v>
      </c>
      <c r="AA13" s="4">
        <v>5</v>
      </c>
      <c r="AB13" s="4">
        <v>2</v>
      </c>
      <c r="AC13" s="2">
        <v>3</v>
      </c>
      <c r="AD13" s="2">
        <f>IF(#REF! = 3, 1, IF(#REF! = 2.5, 0.5, IF(#REF! = 3.5, 0.5, 0)))</f>
        <v>1</v>
      </c>
      <c r="AE13" t="s">
        <v>130</v>
      </c>
      <c r="AF13">
        <f>IF(#REF!="PM &lt; 2.5 μm", 1, 0)</f>
        <v>0</v>
      </c>
      <c r="AG13" t="s">
        <v>175</v>
      </c>
      <c r="AH13">
        <f>IF(#REF!="Particles of this size are generally absorbed in the respiratory tract and safely excreted in mucus.", 1, 0)</f>
        <v>1</v>
      </c>
      <c r="AI13" t="s">
        <v>258</v>
      </c>
      <c r="AJ13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1</v>
      </c>
      <c r="AK13">
        <v>2</v>
      </c>
      <c r="AL13">
        <v>2</v>
      </c>
      <c r="AM13">
        <v>3</v>
      </c>
      <c r="AN13">
        <v>2</v>
      </c>
      <c r="AO13">
        <v>5</v>
      </c>
      <c r="AP13">
        <v>4</v>
      </c>
      <c r="AQ13">
        <v>5</v>
      </c>
      <c r="AR13" t="s">
        <v>111</v>
      </c>
    </row>
    <row r="14" spans="1:45" x14ac:dyDescent="0.25">
      <c r="A14" t="s">
        <v>498</v>
      </c>
      <c r="B14" t="s">
        <v>499</v>
      </c>
      <c r="C14" t="s">
        <v>42</v>
      </c>
      <c r="D14" t="s">
        <v>500</v>
      </c>
      <c r="E14">
        <v>1</v>
      </c>
      <c r="F14" t="s">
        <v>112</v>
      </c>
      <c r="G14">
        <f>_xlfn.NUMBERVALUE(#REF!)</f>
        <v>127</v>
      </c>
      <c r="H14" t="s">
        <v>501</v>
      </c>
      <c r="I14" t="s">
        <v>114</v>
      </c>
      <c r="J14" t="s">
        <v>502</v>
      </c>
      <c r="K14" t="s">
        <v>503</v>
      </c>
      <c r="L14" t="s">
        <v>111</v>
      </c>
      <c r="M14" t="s">
        <v>111</v>
      </c>
      <c r="N14" t="s">
        <v>111</v>
      </c>
      <c r="O14" t="s">
        <v>111</v>
      </c>
      <c r="P14" t="s">
        <v>351</v>
      </c>
      <c r="Q14" t="s">
        <v>352</v>
      </c>
      <c r="R14" t="s">
        <v>127</v>
      </c>
      <c r="S14" t="s">
        <v>117</v>
      </c>
      <c r="T14" t="s">
        <v>504</v>
      </c>
      <c r="U14" s="8">
        <v>3</v>
      </c>
      <c r="V14" s="4">
        <v>3</v>
      </c>
      <c r="W14" s="4">
        <v>3</v>
      </c>
      <c r="X14" s="4">
        <v>4</v>
      </c>
      <c r="Y14" s="4">
        <v>3</v>
      </c>
      <c r="Z14" s="4">
        <v>4</v>
      </c>
      <c r="AA14" s="4">
        <v>5</v>
      </c>
      <c r="AB14" s="4">
        <v>2</v>
      </c>
      <c r="AC14" s="2">
        <v>4</v>
      </c>
      <c r="AD14" s="2">
        <f>IF(#REF! = 3, 1, IF(#REF! = 2.5, 0.5, IF(#REF! = 3.5, 0.5, 0)))</f>
        <v>0</v>
      </c>
      <c r="AE14" t="s">
        <v>185</v>
      </c>
      <c r="AF14">
        <f>IF(#REF!="PM &lt; 2.5 μm", 1, 0)</f>
        <v>0</v>
      </c>
      <c r="AG14" t="s">
        <v>141</v>
      </c>
      <c r="AH14">
        <f>IF(#REF!="Particles of this size are generally absorbed in the respiratory tract and safely excreted in mucus.", 1, 0)</f>
        <v>0</v>
      </c>
      <c r="AI14" t="s">
        <v>186</v>
      </c>
      <c r="AJ14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3</v>
      </c>
      <c r="AK14">
        <v>3</v>
      </c>
      <c r="AL14">
        <v>3</v>
      </c>
      <c r="AM14">
        <v>3</v>
      </c>
      <c r="AN14">
        <v>3</v>
      </c>
      <c r="AO14">
        <v>3</v>
      </c>
      <c r="AP14">
        <v>3</v>
      </c>
      <c r="AQ14">
        <v>8</v>
      </c>
      <c r="AR14" t="s">
        <v>111</v>
      </c>
    </row>
    <row r="15" spans="1:45" x14ac:dyDescent="0.25">
      <c r="A15" t="s">
        <v>806</v>
      </c>
      <c r="B15" t="s">
        <v>807</v>
      </c>
      <c r="C15" t="s">
        <v>42</v>
      </c>
      <c r="D15" t="s">
        <v>808</v>
      </c>
      <c r="E15">
        <v>1</v>
      </c>
      <c r="F15" t="s">
        <v>112</v>
      </c>
      <c r="G15">
        <f>_xlfn.NUMBERVALUE(#REF!)</f>
        <v>193</v>
      </c>
      <c r="H15" t="s">
        <v>809</v>
      </c>
      <c r="I15" t="s">
        <v>114</v>
      </c>
      <c r="J15" t="s">
        <v>807</v>
      </c>
      <c r="K15" t="s">
        <v>810</v>
      </c>
      <c r="L15" t="s">
        <v>111</v>
      </c>
      <c r="M15" t="s">
        <v>111</v>
      </c>
      <c r="N15" t="s">
        <v>111</v>
      </c>
      <c r="O15" t="s">
        <v>111</v>
      </c>
      <c r="P15" t="s">
        <v>164</v>
      </c>
      <c r="Q15" t="s">
        <v>165</v>
      </c>
      <c r="R15" t="s">
        <v>127</v>
      </c>
      <c r="S15" t="s">
        <v>117</v>
      </c>
      <c r="T15" t="s">
        <v>811</v>
      </c>
      <c r="U15" s="8">
        <v>4</v>
      </c>
      <c r="V15" s="4">
        <v>2</v>
      </c>
      <c r="W15" s="4">
        <v>3</v>
      </c>
      <c r="X15" s="4">
        <v>4</v>
      </c>
      <c r="Y15" s="4">
        <v>4</v>
      </c>
      <c r="Z15" s="4">
        <v>4</v>
      </c>
      <c r="AA15" s="4">
        <v>4</v>
      </c>
      <c r="AB15" s="4">
        <v>2</v>
      </c>
      <c r="AC15" s="2">
        <v>3</v>
      </c>
      <c r="AD15" s="2">
        <f>IF(#REF! = 3, 1, IF(#REF! = 2.5, 0.5, IF(#REF! = 3.5, 0.5, 0)))</f>
        <v>1</v>
      </c>
      <c r="AE15" t="s">
        <v>140</v>
      </c>
      <c r="AF15">
        <f>IF(#REF!="PM &lt; 2.5 μm", 1, 0)</f>
        <v>1</v>
      </c>
      <c r="AG15" t="s">
        <v>141</v>
      </c>
      <c r="AH15">
        <f>IF(#REF!="Particles of this size are generally absorbed in the respiratory tract and safely excreted in mucus.", 1, 0)</f>
        <v>0</v>
      </c>
      <c r="AI15" t="s">
        <v>167</v>
      </c>
      <c r="AJ15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3</v>
      </c>
      <c r="AK15">
        <v>3</v>
      </c>
      <c r="AL15">
        <v>2</v>
      </c>
      <c r="AM15">
        <v>3</v>
      </c>
      <c r="AN15">
        <v>3</v>
      </c>
      <c r="AO15">
        <v>3</v>
      </c>
      <c r="AP15">
        <v>3</v>
      </c>
      <c r="AQ15">
        <v>8</v>
      </c>
      <c r="AR15" t="s">
        <v>812</v>
      </c>
    </row>
    <row r="16" spans="1:45" x14ac:dyDescent="0.25">
      <c r="A16" t="s">
        <v>387</v>
      </c>
      <c r="B16" t="s">
        <v>388</v>
      </c>
      <c r="C16" t="s">
        <v>42</v>
      </c>
      <c r="D16" t="s">
        <v>389</v>
      </c>
      <c r="E16">
        <v>1</v>
      </c>
      <c r="F16" t="s">
        <v>112</v>
      </c>
      <c r="G16">
        <f>_xlfn.NUMBERVALUE(#REF!)</f>
        <v>159</v>
      </c>
      <c r="H16" t="s">
        <v>390</v>
      </c>
      <c r="I16" t="s">
        <v>114</v>
      </c>
      <c r="J16" t="s">
        <v>388</v>
      </c>
      <c r="K16" t="s">
        <v>391</v>
      </c>
      <c r="L16" t="s">
        <v>111</v>
      </c>
      <c r="M16" t="s">
        <v>111</v>
      </c>
      <c r="N16" t="s">
        <v>111</v>
      </c>
      <c r="O16" t="s">
        <v>111</v>
      </c>
      <c r="P16" t="s">
        <v>392</v>
      </c>
      <c r="Q16" t="s">
        <v>393</v>
      </c>
      <c r="R16" t="s">
        <v>127</v>
      </c>
      <c r="S16" t="s">
        <v>117</v>
      </c>
      <c r="T16" t="s">
        <v>394</v>
      </c>
      <c r="U16" s="8">
        <v>4</v>
      </c>
      <c r="V16" s="4">
        <v>4</v>
      </c>
      <c r="W16" s="4">
        <v>5</v>
      </c>
      <c r="X16" s="4">
        <v>5</v>
      </c>
      <c r="Y16" s="4">
        <v>1</v>
      </c>
      <c r="Z16" s="4">
        <v>4</v>
      </c>
      <c r="AA16" s="4">
        <v>5</v>
      </c>
      <c r="AB16" s="4">
        <v>2</v>
      </c>
      <c r="AC16" s="2">
        <v>4.5</v>
      </c>
      <c r="AD16" s="2">
        <f>IF(#REF! = 3, 1, IF(#REF! = 2.5, 0.5, IF(#REF! = 3.5, 0.5, 0)))</f>
        <v>0</v>
      </c>
      <c r="AE16" t="s">
        <v>185</v>
      </c>
      <c r="AF16">
        <f>IF(#REF!="PM &lt; 2.5 μm", 1, 0)</f>
        <v>0</v>
      </c>
      <c r="AG16" t="s">
        <v>155</v>
      </c>
      <c r="AH16">
        <f>IF(#REF!="Particles of this size are generally absorbed in the respiratory tract and safely excreted in mucus.", 1, 0)</f>
        <v>0</v>
      </c>
      <c r="AI16" t="s">
        <v>156</v>
      </c>
      <c r="AJ16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4</v>
      </c>
      <c r="AK16">
        <v>1</v>
      </c>
      <c r="AL16">
        <v>1</v>
      </c>
      <c r="AM16">
        <v>2</v>
      </c>
      <c r="AN16">
        <v>1</v>
      </c>
      <c r="AO16">
        <v>2</v>
      </c>
      <c r="AP16">
        <v>2</v>
      </c>
      <c r="AQ16">
        <v>6</v>
      </c>
      <c r="AR16" t="s">
        <v>395</v>
      </c>
    </row>
    <row r="17" spans="1:44" x14ac:dyDescent="0.25">
      <c r="A17" t="s">
        <v>605</v>
      </c>
      <c r="B17" t="s">
        <v>600</v>
      </c>
      <c r="C17" t="s">
        <v>42</v>
      </c>
      <c r="D17" t="s">
        <v>606</v>
      </c>
      <c r="E17">
        <v>1</v>
      </c>
      <c r="F17" t="s">
        <v>112</v>
      </c>
      <c r="G17">
        <f>_xlfn.NUMBERVALUE(#REF!)</f>
        <v>206</v>
      </c>
      <c r="H17" t="s">
        <v>607</v>
      </c>
      <c r="I17" t="s">
        <v>114</v>
      </c>
      <c r="J17" t="s">
        <v>600</v>
      </c>
      <c r="K17" t="s">
        <v>608</v>
      </c>
      <c r="L17" t="s">
        <v>111</v>
      </c>
      <c r="M17" t="s">
        <v>111</v>
      </c>
      <c r="N17" t="s">
        <v>111</v>
      </c>
      <c r="O17" t="s">
        <v>111</v>
      </c>
      <c r="P17" t="s">
        <v>351</v>
      </c>
      <c r="Q17" t="s">
        <v>352</v>
      </c>
      <c r="R17" t="s">
        <v>487</v>
      </c>
      <c r="S17" t="s">
        <v>117</v>
      </c>
      <c r="T17" t="s">
        <v>609</v>
      </c>
      <c r="U17" s="8">
        <v>4</v>
      </c>
      <c r="V17" s="4">
        <v>3</v>
      </c>
      <c r="W17" s="4">
        <v>4</v>
      </c>
      <c r="X17" s="4">
        <v>5</v>
      </c>
      <c r="Y17" s="4">
        <v>3</v>
      </c>
      <c r="Z17" s="4">
        <v>4</v>
      </c>
      <c r="AA17" s="4">
        <v>5</v>
      </c>
      <c r="AB17" s="4">
        <v>3</v>
      </c>
      <c r="AC17" s="2">
        <v>4</v>
      </c>
      <c r="AD17" s="2">
        <f>IF(#REF! = 3, 1, IF(#REF! = 2.5, 0.5, IF(#REF! = 3.5, 0.5, 0)))</f>
        <v>0</v>
      </c>
      <c r="AE17" t="s">
        <v>130</v>
      </c>
      <c r="AF17">
        <f>IF(#REF!="PM &lt; 2.5 μm", 1, 0)</f>
        <v>0</v>
      </c>
      <c r="AG17" t="s">
        <v>141</v>
      </c>
      <c r="AH17">
        <f>IF(#REF!="Particles of this size are generally absorbed in the respiratory tract and safely excreted in mucus.", 1, 0)</f>
        <v>0</v>
      </c>
      <c r="AI17" t="s">
        <v>610</v>
      </c>
      <c r="AJ17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2</v>
      </c>
      <c r="AK17">
        <v>4</v>
      </c>
      <c r="AL17">
        <v>1</v>
      </c>
      <c r="AM17">
        <v>2</v>
      </c>
      <c r="AN17">
        <v>2</v>
      </c>
      <c r="AO17">
        <v>2</v>
      </c>
      <c r="AP17">
        <v>3</v>
      </c>
      <c r="AQ17">
        <v>8</v>
      </c>
      <c r="AR17" t="s">
        <v>611</v>
      </c>
    </row>
    <row r="18" spans="1:44" x14ac:dyDescent="0.25">
      <c r="A18" t="s">
        <v>618</v>
      </c>
      <c r="B18" t="s">
        <v>619</v>
      </c>
      <c r="C18" t="s">
        <v>42</v>
      </c>
      <c r="D18" t="s">
        <v>620</v>
      </c>
      <c r="E18">
        <v>1</v>
      </c>
      <c r="F18" t="s">
        <v>112</v>
      </c>
      <c r="G18">
        <f>_xlfn.NUMBERVALUE(#REF!)</f>
        <v>197</v>
      </c>
      <c r="H18" t="s">
        <v>621</v>
      </c>
      <c r="I18" t="s">
        <v>114</v>
      </c>
      <c r="J18" t="s">
        <v>622</v>
      </c>
      <c r="K18" t="s">
        <v>623</v>
      </c>
      <c r="L18" t="s">
        <v>111</v>
      </c>
      <c r="M18" t="s">
        <v>111</v>
      </c>
      <c r="N18" t="s">
        <v>111</v>
      </c>
      <c r="O18" t="s">
        <v>111</v>
      </c>
      <c r="P18" t="s">
        <v>214</v>
      </c>
      <c r="Q18" t="s">
        <v>215</v>
      </c>
      <c r="R18" t="s">
        <v>487</v>
      </c>
      <c r="S18" t="s">
        <v>117</v>
      </c>
      <c r="T18" t="s">
        <v>624</v>
      </c>
      <c r="U18" s="8">
        <v>3</v>
      </c>
      <c r="V18" s="4">
        <v>5</v>
      </c>
      <c r="W18" s="4">
        <v>2</v>
      </c>
      <c r="X18" s="4">
        <v>3</v>
      </c>
      <c r="Y18" s="4">
        <v>3</v>
      </c>
      <c r="Z18" s="4">
        <v>3</v>
      </c>
      <c r="AA18" s="4">
        <v>5</v>
      </c>
      <c r="AB18" s="4">
        <v>2</v>
      </c>
      <c r="AC18" s="2">
        <v>3.5</v>
      </c>
      <c r="AD18" s="2">
        <f>IF(#REF! = 3, 1, IF(#REF! = 2.5, 0.5, IF(#REF! = 3.5, 0.5, 0)))</f>
        <v>0.5</v>
      </c>
      <c r="AE18" t="s">
        <v>166</v>
      </c>
      <c r="AF18">
        <f>IF(#REF!="PM &lt; 2.5 μm", 1, 0)</f>
        <v>0</v>
      </c>
      <c r="AG18" t="s">
        <v>131</v>
      </c>
      <c r="AH18">
        <f>IF(#REF!="Particles of this size are generally absorbed in the respiratory tract and safely excreted in mucus.", 1, 0)</f>
        <v>0</v>
      </c>
      <c r="AI18" t="s">
        <v>258</v>
      </c>
      <c r="AJ18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1</v>
      </c>
      <c r="AK18">
        <v>4</v>
      </c>
      <c r="AL18">
        <v>3</v>
      </c>
      <c r="AM18">
        <v>3</v>
      </c>
      <c r="AN18">
        <v>4</v>
      </c>
      <c r="AO18">
        <v>3</v>
      </c>
      <c r="AP18">
        <v>3</v>
      </c>
      <c r="AQ18">
        <v>10</v>
      </c>
      <c r="AR18" t="s">
        <v>625</v>
      </c>
    </row>
    <row r="19" spans="1:44" x14ac:dyDescent="0.25">
      <c r="A19" t="s">
        <v>242</v>
      </c>
      <c r="B19" t="s">
        <v>243</v>
      </c>
      <c r="C19" t="s">
        <v>42</v>
      </c>
      <c r="D19" t="s">
        <v>244</v>
      </c>
      <c r="E19">
        <v>1</v>
      </c>
      <c r="F19" t="s">
        <v>112</v>
      </c>
      <c r="G19">
        <f>_xlfn.NUMBERVALUE(#REF!)</f>
        <v>210</v>
      </c>
      <c r="H19" t="s">
        <v>245</v>
      </c>
      <c r="I19" t="s">
        <v>114</v>
      </c>
      <c r="J19" t="s">
        <v>246</v>
      </c>
      <c r="K19" t="s">
        <v>247</v>
      </c>
      <c r="L19" t="s">
        <v>111</v>
      </c>
      <c r="M19" t="s">
        <v>111</v>
      </c>
      <c r="N19" t="s">
        <v>111</v>
      </c>
      <c r="O19" t="s">
        <v>111</v>
      </c>
      <c r="P19" t="s">
        <v>248</v>
      </c>
      <c r="Q19" t="s">
        <v>249</v>
      </c>
      <c r="R19" t="s">
        <v>127</v>
      </c>
      <c r="S19" t="s">
        <v>117</v>
      </c>
      <c r="T19" t="s">
        <v>250</v>
      </c>
      <c r="U19" s="8">
        <v>4</v>
      </c>
      <c r="V19" s="4">
        <v>3</v>
      </c>
      <c r="W19" s="4">
        <v>5</v>
      </c>
      <c r="X19" s="4">
        <v>5</v>
      </c>
      <c r="Y19" s="4">
        <v>3</v>
      </c>
      <c r="Z19" s="4">
        <v>4</v>
      </c>
      <c r="AA19" s="4">
        <v>5</v>
      </c>
      <c r="AB19" s="4">
        <v>3</v>
      </c>
      <c r="AC19" s="2">
        <v>3</v>
      </c>
      <c r="AD19" s="2">
        <f>IF(#REF! = 3, 1, IF(#REF! = 2.5, 0.5, IF(#REF! = 3.5, 0.5, 0)))</f>
        <v>1</v>
      </c>
      <c r="AE19" t="s">
        <v>140</v>
      </c>
      <c r="AF19">
        <f>IF(#REF!="PM &lt; 2.5 μm", 1, 0)</f>
        <v>1</v>
      </c>
      <c r="AG19" t="s">
        <v>175</v>
      </c>
      <c r="AH19">
        <f>IF(#REF!="Particles of this size are generally absorbed in the respiratory tract and safely excreted in mucus.", 1, 0)</f>
        <v>1</v>
      </c>
      <c r="AI19" t="s">
        <v>167</v>
      </c>
      <c r="AJ19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3</v>
      </c>
      <c r="AK19">
        <v>1</v>
      </c>
      <c r="AL19">
        <v>1</v>
      </c>
      <c r="AM19">
        <v>2</v>
      </c>
      <c r="AN19">
        <v>3</v>
      </c>
      <c r="AO19">
        <v>5</v>
      </c>
      <c r="AP19">
        <v>2</v>
      </c>
      <c r="AQ19">
        <v>5</v>
      </c>
      <c r="AR19" t="s">
        <v>251</v>
      </c>
    </row>
    <row r="20" spans="1:44" x14ac:dyDescent="0.25">
      <c r="A20" t="s">
        <v>354</v>
      </c>
      <c r="B20" t="s">
        <v>355</v>
      </c>
      <c r="C20" t="s">
        <v>42</v>
      </c>
      <c r="D20" t="s">
        <v>356</v>
      </c>
      <c r="E20">
        <v>1</v>
      </c>
      <c r="F20" t="s">
        <v>112</v>
      </c>
      <c r="G20">
        <f>_xlfn.NUMBERVALUE(#REF!)</f>
        <v>322</v>
      </c>
      <c r="H20" t="s">
        <v>357</v>
      </c>
      <c r="I20" t="s">
        <v>114</v>
      </c>
      <c r="J20" t="s">
        <v>358</v>
      </c>
      <c r="K20" t="s">
        <v>359</v>
      </c>
      <c r="L20" t="s">
        <v>111</v>
      </c>
      <c r="M20" t="s">
        <v>111</v>
      </c>
      <c r="N20" t="s">
        <v>111</v>
      </c>
      <c r="O20" t="s">
        <v>111</v>
      </c>
      <c r="P20" t="s">
        <v>360</v>
      </c>
      <c r="Q20" t="s">
        <v>361</v>
      </c>
      <c r="R20" t="s">
        <v>127</v>
      </c>
      <c r="S20" t="s">
        <v>117</v>
      </c>
      <c r="T20" t="s">
        <v>362</v>
      </c>
      <c r="U20" s="8">
        <v>3</v>
      </c>
      <c r="V20" s="4">
        <v>2</v>
      </c>
      <c r="W20" s="4">
        <v>2</v>
      </c>
      <c r="X20" s="4">
        <v>5</v>
      </c>
      <c r="Y20" s="4">
        <v>1</v>
      </c>
      <c r="Z20" s="4">
        <v>3</v>
      </c>
      <c r="AA20" s="4">
        <v>5</v>
      </c>
      <c r="AB20" s="4">
        <v>2</v>
      </c>
      <c r="AC20" s="2">
        <v>3.5</v>
      </c>
      <c r="AD20" s="2">
        <f>IF(#REF! = 3, 1, IF(#REF! = 2.5, 0.5, IF(#REF! = 3.5, 0.5, 0)))</f>
        <v>0.5</v>
      </c>
      <c r="AE20" t="s">
        <v>185</v>
      </c>
      <c r="AF20">
        <f>IF(#REF!="PM &lt; 2.5 μm", 1, 0)</f>
        <v>0</v>
      </c>
      <c r="AG20" t="s">
        <v>175</v>
      </c>
      <c r="AH20">
        <f>IF(#REF!="Particles of this size are generally absorbed in the respiratory tract and safely excreted in mucus.", 1, 0)</f>
        <v>1</v>
      </c>
      <c r="AI20" t="s">
        <v>167</v>
      </c>
      <c r="AJ20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3</v>
      </c>
      <c r="AK20">
        <v>1</v>
      </c>
      <c r="AL20">
        <v>4</v>
      </c>
      <c r="AM20">
        <v>4</v>
      </c>
      <c r="AN20">
        <v>4</v>
      </c>
      <c r="AO20">
        <v>4</v>
      </c>
      <c r="AP20">
        <v>3</v>
      </c>
      <c r="AQ20">
        <v>9</v>
      </c>
      <c r="AR20" t="s">
        <v>363</v>
      </c>
    </row>
    <row r="21" spans="1:44" x14ac:dyDescent="0.25">
      <c r="A21" t="s">
        <v>696</v>
      </c>
      <c r="B21" t="s">
        <v>697</v>
      </c>
      <c r="C21" t="s">
        <v>42</v>
      </c>
      <c r="D21" t="s">
        <v>698</v>
      </c>
      <c r="E21">
        <v>1</v>
      </c>
      <c r="F21" t="s">
        <v>112</v>
      </c>
      <c r="G21">
        <f>_xlfn.NUMBERVALUE(#REF!)</f>
        <v>339</v>
      </c>
      <c r="H21" t="s">
        <v>699</v>
      </c>
      <c r="I21" t="s">
        <v>114</v>
      </c>
      <c r="J21" t="s">
        <v>697</v>
      </c>
      <c r="K21" t="s">
        <v>700</v>
      </c>
      <c r="L21" t="s">
        <v>111</v>
      </c>
      <c r="M21" t="s">
        <v>111</v>
      </c>
      <c r="N21" t="s">
        <v>111</v>
      </c>
      <c r="O21" t="s">
        <v>111</v>
      </c>
      <c r="P21" t="s">
        <v>351</v>
      </c>
      <c r="Q21" t="s">
        <v>352</v>
      </c>
      <c r="R21" t="s">
        <v>487</v>
      </c>
      <c r="S21" t="s">
        <v>117</v>
      </c>
      <c r="T21" t="s">
        <v>701</v>
      </c>
      <c r="U21" s="8">
        <v>4</v>
      </c>
      <c r="V21" s="4">
        <v>3</v>
      </c>
      <c r="W21" s="4">
        <v>5</v>
      </c>
      <c r="X21" s="4">
        <v>5</v>
      </c>
      <c r="Y21" s="4">
        <v>3</v>
      </c>
      <c r="Z21" s="4">
        <v>1</v>
      </c>
      <c r="AA21" s="4">
        <v>3</v>
      </c>
      <c r="AB21" s="4">
        <v>1</v>
      </c>
      <c r="AC21" s="2">
        <v>3.5</v>
      </c>
      <c r="AD21" s="2">
        <f>IF(#REF! = 3, 1, IF(#REF! = 2.5, 0.5, IF(#REF! = 3.5, 0.5, 0)))</f>
        <v>0.5</v>
      </c>
      <c r="AE21" t="s">
        <v>140</v>
      </c>
      <c r="AF21">
        <f>IF(#REF!="PM &lt; 2.5 μm", 1, 0)</f>
        <v>1</v>
      </c>
      <c r="AG21" t="s">
        <v>175</v>
      </c>
      <c r="AH21">
        <f>IF(#REF!="Particles of this size are generally absorbed in the respiratory tract and safely excreted in mucus.", 1, 0)</f>
        <v>1</v>
      </c>
      <c r="AI21" t="s">
        <v>224</v>
      </c>
      <c r="AJ21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1</v>
      </c>
      <c r="AK21">
        <v>5</v>
      </c>
      <c r="AL21">
        <v>2</v>
      </c>
      <c r="AM21">
        <v>2</v>
      </c>
      <c r="AN21">
        <v>1</v>
      </c>
      <c r="AO21">
        <v>5</v>
      </c>
      <c r="AP21">
        <v>5</v>
      </c>
      <c r="AQ21">
        <v>7</v>
      </c>
      <c r="AR21" t="s">
        <v>111</v>
      </c>
    </row>
    <row r="22" spans="1:44" x14ac:dyDescent="0.25">
      <c r="A22" t="s">
        <v>335</v>
      </c>
      <c r="B22" t="s">
        <v>336</v>
      </c>
      <c r="C22" t="s">
        <v>42</v>
      </c>
      <c r="D22" t="s">
        <v>337</v>
      </c>
      <c r="E22">
        <v>1</v>
      </c>
      <c r="F22" t="s">
        <v>112</v>
      </c>
      <c r="G22">
        <f>_xlfn.NUMBERVALUE(#REF!)</f>
        <v>335</v>
      </c>
      <c r="H22" t="s">
        <v>338</v>
      </c>
      <c r="I22" t="s">
        <v>114</v>
      </c>
      <c r="J22" t="s">
        <v>339</v>
      </c>
      <c r="K22" t="s">
        <v>340</v>
      </c>
      <c r="L22" t="s">
        <v>111</v>
      </c>
      <c r="M22" t="s">
        <v>111</v>
      </c>
      <c r="N22" t="s">
        <v>111</v>
      </c>
      <c r="O22" t="s">
        <v>111</v>
      </c>
      <c r="P22" t="s">
        <v>341</v>
      </c>
      <c r="Q22" t="s">
        <v>342</v>
      </c>
      <c r="R22" t="s">
        <v>127</v>
      </c>
      <c r="S22" t="s">
        <v>117</v>
      </c>
      <c r="T22" t="s">
        <v>343</v>
      </c>
      <c r="U22" s="8">
        <v>5</v>
      </c>
      <c r="V22" s="4">
        <v>4</v>
      </c>
      <c r="W22" s="4">
        <v>5</v>
      </c>
      <c r="X22" s="4">
        <v>5</v>
      </c>
      <c r="Y22" s="4">
        <v>4</v>
      </c>
      <c r="Z22" s="4">
        <v>5</v>
      </c>
      <c r="AA22" s="4">
        <v>5</v>
      </c>
      <c r="AB22" s="4">
        <v>4</v>
      </c>
      <c r="AC22" s="2">
        <v>3.5</v>
      </c>
      <c r="AD22" s="2">
        <f>IF(#REF! = 3, 1, IF(#REF! = 2.5, 0.5, IF(#REF! = 3.5, 0.5, 0)))</f>
        <v>0.5</v>
      </c>
      <c r="AE22" t="s">
        <v>130</v>
      </c>
      <c r="AF22">
        <f>IF(#REF!="PM &lt; 2.5 μm", 1, 0)</f>
        <v>0</v>
      </c>
      <c r="AG22" t="s">
        <v>175</v>
      </c>
      <c r="AH22">
        <f>IF(#REF!="Particles of this size are generally absorbed in the respiratory tract and safely excreted in mucus.", 1, 0)</f>
        <v>1</v>
      </c>
      <c r="AI22" t="s">
        <v>156</v>
      </c>
      <c r="AJ22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4</v>
      </c>
      <c r="AK22">
        <v>1</v>
      </c>
      <c r="AL22">
        <v>1</v>
      </c>
      <c r="AM22">
        <v>2</v>
      </c>
      <c r="AN22">
        <v>1</v>
      </c>
      <c r="AO22">
        <v>4</v>
      </c>
      <c r="AP22">
        <v>1</v>
      </c>
      <c r="AQ22">
        <v>7</v>
      </c>
      <c r="AR22" t="s">
        <v>344</v>
      </c>
    </row>
    <row r="23" spans="1:44" x14ac:dyDescent="0.25">
      <c r="A23" t="s">
        <v>298</v>
      </c>
      <c r="B23" t="s">
        <v>299</v>
      </c>
      <c r="C23" t="s">
        <v>42</v>
      </c>
      <c r="D23" t="s">
        <v>300</v>
      </c>
      <c r="E23">
        <v>1</v>
      </c>
      <c r="F23" t="s">
        <v>112</v>
      </c>
      <c r="G23">
        <f>_xlfn.NUMBERVALUE(#REF!)</f>
        <v>117</v>
      </c>
      <c r="H23" t="s">
        <v>301</v>
      </c>
      <c r="I23" t="s">
        <v>114</v>
      </c>
      <c r="J23" t="s">
        <v>302</v>
      </c>
      <c r="K23" t="s">
        <v>303</v>
      </c>
      <c r="L23" t="s">
        <v>111</v>
      </c>
      <c r="M23" t="s">
        <v>111</v>
      </c>
      <c r="N23" t="s">
        <v>111</v>
      </c>
      <c r="O23" t="s">
        <v>111</v>
      </c>
      <c r="P23" t="s">
        <v>229</v>
      </c>
      <c r="Q23" t="s">
        <v>230</v>
      </c>
      <c r="R23" t="s">
        <v>127</v>
      </c>
      <c r="S23" t="s">
        <v>117</v>
      </c>
      <c r="T23" t="s">
        <v>304</v>
      </c>
      <c r="U23" s="8">
        <v>4</v>
      </c>
      <c r="V23" s="4">
        <v>4</v>
      </c>
      <c r="W23" s="4">
        <v>5</v>
      </c>
      <c r="X23" s="4">
        <v>5</v>
      </c>
      <c r="Y23" s="4">
        <v>3</v>
      </c>
      <c r="Z23" s="4">
        <v>3</v>
      </c>
      <c r="AA23" s="4">
        <v>4</v>
      </c>
      <c r="AB23" s="4">
        <v>3</v>
      </c>
      <c r="AC23" s="2">
        <v>3.5</v>
      </c>
      <c r="AD23" s="2">
        <f>IF(#REF! = 3, 1, IF(#REF! = 2.5, 0.5, IF(#REF! = 3.5, 0.5, 0)))</f>
        <v>0.5</v>
      </c>
      <c r="AE23" t="s">
        <v>185</v>
      </c>
      <c r="AF23">
        <f>IF(#REF!="PM &lt; 2.5 μm", 1, 0)</f>
        <v>0</v>
      </c>
      <c r="AG23" t="s">
        <v>155</v>
      </c>
      <c r="AH23">
        <f>IF(#REF!="Particles of this size are generally absorbed in the respiratory tract and safely excreted in mucus.", 1, 0)</f>
        <v>0</v>
      </c>
      <c r="AI23" t="s">
        <v>142</v>
      </c>
      <c r="AJ23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2</v>
      </c>
      <c r="AK23">
        <v>3</v>
      </c>
      <c r="AL23">
        <v>2</v>
      </c>
      <c r="AM23">
        <v>3</v>
      </c>
      <c r="AN23">
        <v>3</v>
      </c>
      <c r="AO23">
        <v>4</v>
      </c>
      <c r="AP23">
        <v>3</v>
      </c>
      <c r="AQ23">
        <v>5</v>
      </c>
      <c r="AR23" t="s">
        <v>111</v>
      </c>
    </row>
    <row r="24" spans="1:44" x14ac:dyDescent="0.25">
      <c r="A24" t="s">
        <v>492</v>
      </c>
      <c r="B24" t="s">
        <v>485</v>
      </c>
      <c r="C24" t="s">
        <v>42</v>
      </c>
      <c r="D24" t="s">
        <v>493</v>
      </c>
      <c r="E24">
        <v>1</v>
      </c>
      <c r="F24" t="s">
        <v>112</v>
      </c>
      <c r="G24">
        <f>_xlfn.NUMBERVALUE(#REF!)</f>
        <v>121</v>
      </c>
      <c r="H24" t="s">
        <v>494</v>
      </c>
      <c r="I24" t="s">
        <v>114</v>
      </c>
      <c r="J24" t="s">
        <v>485</v>
      </c>
      <c r="K24" t="s">
        <v>495</v>
      </c>
      <c r="L24" t="s">
        <v>111</v>
      </c>
      <c r="M24" t="s">
        <v>111</v>
      </c>
      <c r="N24" t="s">
        <v>111</v>
      </c>
      <c r="O24" t="s">
        <v>111</v>
      </c>
      <c r="P24" t="s">
        <v>351</v>
      </c>
      <c r="Q24" t="s">
        <v>352</v>
      </c>
      <c r="R24" t="s">
        <v>487</v>
      </c>
      <c r="S24" t="s">
        <v>117</v>
      </c>
      <c r="T24" t="s">
        <v>496</v>
      </c>
      <c r="U24" s="8">
        <v>3</v>
      </c>
      <c r="V24" s="4">
        <v>2</v>
      </c>
      <c r="W24" s="4">
        <v>4</v>
      </c>
      <c r="X24" s="4">
        <v>5</v>
      </c>
      <c r="Y24" s="4">
        <v>1</v>
      </c>
      <c r="Z24" s="4">
        <v>2</v>
      </c>
      <c r="AA24" s="4">
        <v>5</v>
      </c>
      <c r="AB24" s="4">
        <v>2</v>
      </c>
      <c r="AC24" s="2">
        <v>4</v>
      </c>
      <c r="AD24" s="2">
        <f>IF(#REF! = 3, 1, IF(#REF! = 2.5, 0.5, IF(#REF! = 3.5, 0.5, 0)))</f>
        <v>0</v>
      </c>
      <c r="AE24" t="s">
        <v>140</v>
      </c>
      <c r="AF24">
        <f>IF(#REF!="PM &lt; 2.5 μm", 1, 0)</f>
        <v>1</v>
      </c>
      <c r="AG24" t="s">
        <v>175</v>
      </c>
      <c r="AH24">
        <f>IF(#REF!="Particles of this size are generally absorbed in the respiratory tract and safely excreted in mucus.", 1, 0)</f>
        <v>1</v>
      </c>
      <c r="AI24" t="s">
        <v>142</v>
      </c>
      <c r="AJ24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2</v>
      </c>
      <c r="AK24">
        <v>4</v>
      </c>
      <c r="AL24">
        <v>1</v>
      </c>
      <c r="AM24">
        <v>5</v>
      </c>
      <c r="AN24">
        <v>1</v>
      </c>
      <c r="AO24">
        <v>2</v>
      </c>
      <c r="AP24">
        <v>4</v>
      </c>
      <c r="AQ24">
        <v>7</v>
      </c>
      <c r="AR24" t="s">
        <v>497</v>
      </c>
    </row>
    <row r="25" spans="1:44" x14ac:dyDescent="0.25">
      <c r="A25" t="s">
        <v>209</v>
      </c>
      <c r="B25" t="s">
        <v>210</v>
      </c>
      <c r="C25" t="s">
        <v>42</v>
      </c>
      <c r="D25" t="s">
        <v>211</v>
      </c>
      <c r="E25">
        <v>1</v>
      </c>
      <c r="F25" t="s">
        <v>112</v>
      </c>
      <c r="G25">
        <f>_xlfn.NUMBERVALUE(#REF!)</f>
        <v>96</v>
      </c>
      <c r="H25" t="s">
        <v>212</v>
      </c>
      <c r="I25" t="s">
        <v>114</v>
      </c>
      <c r="J25" t="s">
        <v>210</v>
      </c>
      <c r="K25" t="s">
        <v>213</v>
      </c>
      <c r="L25" t="s">
        <v>111</v>
      </c>
      <c r="M25" t="s">
        <v>111</v>
      </c>
      <c r="N25" t="s">
        <v>111</v>
      </c>
      <c r="O25" t="s">
        <v>111</v>
      </c>
      <c r="P25" t="s">
        <v>214</v>
      </c>
      <c r="Q25" t="s">
        <v>215</v>
      </c>
      <c r="R25" t="s">
        <v>127</v>
      </c>
      <c r="S25" t="s">
        <v>117</v>
      </c>
      <c r="T25" t="s">
        <v>216</v>
      </c>
      <c r="U25" s="8">
        <v>1</v>
      </c>
      <c r="V25" s="4">
        <v>2</v>
      </c>
      <c r="W25" s="4">
        <v>5</v>
      </c>
      <c r="X25" s="4">
        <v>2</v>
      </c>
      <c r="Y25" s="4">
        <v>0</v>
      </c>
      <c r="Z25" s="4">
        <v>0</v>
      </c>
      <c r="AA25" s="4">
        <v>2</v>
      </c>
      <c r="AB25" s="4">
        <v>0</v>
      </c>
      <c r="AC25" s="2">
        <v>4</v>
      </c>
      <c r="AD25" s="2">
        <f>IF(#REF! = 3, 1, IF(#REF! = 2.5, 0.5, IF(#REF! = 3.5, 0.5, 0)))</f>
        <v>0</v>
      </c>
      <c r="AE25" t="s">
        <v>130</v>
      </c>
      <c r="AF25">
        <f>IF(#REF!="PM &lt; 2.5 μm", 1, 0)</f>
        <v>0</v>
      </c>
      <c r="AG25" t="s">
        <v>131</v>
      </c>
      <c r="AH25">
        <f>IF(#REF!="Particles of this size are generally absorbed in the respiratory tract and safely excreted in mucus.", 1, 0)</f>
        <v>0</v>
      </c>
      <c r="AI25" t="s">
        <v>167</v>
      </c>
      <c r="AJ25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3</v>
      </c>
      <c r="AK25">
        <v>5</v>
      </c>
      <c r="AL25">
        <v>3</v>
      </c>
      <c r="AM25">
        <v>5</v>
      </c>
      <c r="AN25">
        <v>5</v>
      </c>
      <c r="AO25">
        <v>5</v>
      </c>
      <c r="AP25">
        <v>5</v>
      </c>
      <c r="AQ25">
        <v>8</v>
      </c>
      <c r="AR25" t="s">
        <v>111</v>
      </c>
    </row>
    <row r="26" spans="1:44" x14ac:dyDescent="0.25">
      <c r="A26" t="s">
        <v>404</v>
      </c>
      <c r="B26" t="s">
        <v>405</v>
      </c>
      <c r="C26" t="s">
        <v>42</v>
      </c>
      <c r="D26" t="s">
        <v>406</v>
      </c>
      <c r="E26">
        <v>1</v>
      </c>
      <c r="F26" t="s">
        <v>112</v>
      </c>
      <c r="G26">
        <f>_xlfn.NUMBERVALUE(#REF!)</f>
        <v>199</v>
      </c>
      <c r="H26" t="s">
        <v>407</v>
      </c>
      <c r="I26" t="s">
        <v>114</v>
      </c>
      <c r="J26" t="s">
        <v>408</v>
      </c>
      <c r="K26" t="s">
        <v>409</v>
      </c>
      <c r="L26" t="s">
        <v>111</v>
      </c>
      <c r="M26" t="s">
        <v>111</v>
      </c>
      <c r="N26" t="s">
        <v>111</v>
      </c>
      <c r="O26" t="s">
        <v>111</v>
      </c>
      <c r="P26" t="s">
        <v>351</v>
      </c>
      <c r="Q26" t="s">
        <v>352</v>
      </c>
      <c r="R26" t="s">
        <v>127</v>
      </c>
      <c r="S26" t="s">
        <v>117</v>
      </c>
      <c r="T26" t="s">
        <v>410</v>
      </c>
      <c r="U26" s="8">
        <v>3</v>
      </c>
      <c r="V26" s="4">
        <v>4</v>
      </c>
      <c r="W26" s="4">
        <v>4</v>
      </c>
      <c r="X26" s="4">
        <v>4</v>
      </c>
      <c r="Y26" s="4">
        <v>3</v>
      </c>
      <c r="Z26" s="4">
        <v>4</v>
      </c>
      <c r="AA26" s="4">
        <v>5</v>
      </c>
      <c r="AB26" s="4">
        <v>4</v>
      </c>
      <c r="AC26" s="2">
        <v>4</v>
      </c>
      <c r="AD26" s="2">
        <f>IF(#REF! = 3, 1, IF(#REF! = 2.5, 0.5, IF(#REF! = 3.5, 0.5, 0)))</f>
        <v>0</v>
      </c>
      <c r="AE26" t="s">
        <v>130</v>
      </c>
      <c r="AF26">
        <f>IF(#REF!="PM &lt; 2.5 μm", 1, 0)</f>
        <v>0</v>
      </c>
      <c r="AG26" t="s">
        <v>131</v>
      </c>
      <c r="AH26">
        <f>IF(#REF!="Particles of this size are generally absorbed in the respiratory tract and safely excreted in mucus.", 1, 0)</f>
        <v>0</v>
      </c>
      <c r="AI26" t="s">
        <v>353</v>
      </c>
      <c r="AJ26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3</v>
      </c>
      <c r="AK26">
        <v>3</v>
      </c>
      <c r="AL26">
        <v>3</v>
      </c>
      <c r="AM26">
        <v>4</v>
      </c>
      <c r="AN26">
        <v>4</v>
      </c>
      <c r="AO26">
        <v>4</v>
      </c>
      <c r="AP26">
        <v>4</v>
      </c>
      <c r="AQ26">
        <v>6</v>
      </c>
      <c r="AR26" t="s">
        <v>411</v>
      </c>
    </row>
    <row r="27" spans="1:44" x14ac:dyDescent="0.25">
      <c r="A27" t="s">
        <v>133</v>
      </c>
      <c r="B27" t="s">
        <v>134</v>
      </c>
      <c r="C27" t="s">
        <v>42</v>
      </c>
      <c r="D27" t="s">
        <v>135</v>
      </c>
      <c r="E27">
        <v>1</v>
      </c>
      <c r="F27" t="s">
        <v>112</v>
      </c>
      <c r="G27">
        <f>_xlfn.NUMBERVALUE(#REF!)</f>
        <v>195</v>
      </c>
      <c r="H27" t="s">
        <v>136</v>
      </c>
      <c r="I27" t="s">
        <v>114</v>
      </c>
      <c r="J27" t="s">
        <v>137</v>
      </c>
      <c r="K27" t="s">
        <v>138</v>
      </c>
      <c r="L27" t="s">
        <v>111</v>
      </c>
      <c r="M27" t="s">
        <v>111</v>
      </c>
      <c r="N27" t="s">
        <v>111</v>
      </c>
      <c r="O27" t="s">
        <v>111</v>
      </c>
      <c r="P27" t="s">
        <v>115</v>
      </c>
      <c r="Q27" t="s">
        <v>116</v>
      </c>
      <c r="R27" t="s">
        <v>127</v>
      </c>
      <c r="S27" t="s">
        <v>117</v>
      </c>
      <c r="T27" t="s">
        <v>139</v>
      </c>
      <c r="U27" s="8">
        <v>4</v>
      </c>
      <c r="V27" s="4">
        <v>5</v>
      </c>
      <c r="W27" s="4">
        <v>5</v>
      </c>
      <c r="X27" s="4">
        <v>5</v>
      </c>
      <c r="Y27" s="4">
        <v>3</v>
      </c>
      <c r="Z27" s="4">
        <v>4</v>
      </c>
      <c r="AA27" s="4">
        <v>5</v>
      </c>
      <c r="AB27" s="4">
        <v>3</v>
      </c>
      <c r="AC27" s="2">
        <v>4</v>
      </c>
      <c r="AD27" s="2">
        <f>IF(#REF! = 3, 1, IF(#REF! = 2.5, 0.5, IF(#REF! = 3.5, 0.5, 0)))</f>
        <v>0</v>
      </c>
      <c r="AE27" t="s">
        <v>140</v>
      </c>
      <c r="AF27">
        <f>IF(#REF!="PM &lt; 2.5 μm", 1, 0)</f>
        <v>1</v>
      </c>
      <c r="AG27" t="s">
        <v>141</v>
      </c>
      <c r="AH27">
        <f>IF(#REF!="Particles of this size are generally absorbed in the respiratory tract and safely excreted in mucus.", 1, 0)</f>
        <v>0</v>
      </c>
      <c r="AI27" t="s">
        <v>142</v>
      </c>
      <c r="AJ27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2</v>
      </c>
      <c r="AK27">
        <v>3</v>
      </c>
      <c r="AL27">
        <v>1</v>
      </c>
      <c r="AM27">
        <v>2</v>
      </c>
      <c r="AN27">
        <v>1</v>
      </c>
      <c r="AO27">
        <v>3</v>
      </c>
      <c r="AP27">
        <v>4</v>
      </c>
      <c r="AQ27">
        <v>8</v>
      </c>
      <c r="AR27" t="s">
        <v>144</v>
      </c>
    </row>
    <row r="28" spans="1:44" x14ac:dyDescent="0.25">
      <c r="A28" t="s">
        <v>732</v>
      </c>
      <c r="B28" t="s">
        <v>733</v>
      </c>
      <c r="C28" t="s">
        <v>42</v>
      </c>
      <c r="D28" t="s">
        <v>389</v>
      </c>
      <c r="E28">
        <v>1</v>
      </c>
      <c r="F28" t="s">
        <v>112</v>
      </c>
      <c r="G28">
        <f>_xlfn.NUMBERVALUE(#REF!)</f>
        <v>408</v>
      </c>
      <c r="H28" t="s">
        <v>734</v>
      </c>
      <c r="I28" t="s">
        <v>114</v>
      </c>
      <c r="J28" t="s">
        <v>735</v>
      </c>
      <c r="K28" t="s">
        <v>736</v>
      </c>
      <c r="L28" t="s">
        <v>111</v>
      </c>
      <c r="M28" t="s">
        <v>111</v>
      </c>
      <c r="N28" t="s">
        <v>111</v>
      </c>
      <c r="O28" t="s">
        <v>111</v>
      </c>
      <c r="P28" t="s">
        <v>392</v>
      </c>
      <c r="Q28" t="s">
        <v>393</v>
      </c>
      <c r="R28" t="s">
        <v>487</v>
      </c>
      <c r="S28" t="s">
        <v>117</v>
      </c>
      <c r="T28" t="s">
        <v>737</v>
      </c>
      <c r="U28" s="8">
        <v>4</v>
      </c>
      <c r="V28" s="4">
        <v>3</v>
      </c>
      <c r="W28" s="4">
        <v>3</v>
      </c>
      <c r="X28" s="4">
        <v>4</v>
      </c>
      <c r="Y28" s="4">
        <v>3</v>
      </c>
      <c r="Z28" s="4">
        <v>2</v>
      </c>
      <c r="AA28" s="4">
        <v>4</v>
      </c>
      <c r="AB28" s="4">
        <v>1</v>
      </c>
      <c r="AC28" s="2">
        <v>2.5</v>
      </c>
      <c r="AD28" s="2">
        <f>IF(#REF! = 3, 1, IF(#REF! = 2.5, 0.5, IF(#REF! = 3.5, 0.5, 0)))</f>
        <v>0.5</v>
      </c>
      <c r="AE28" t="s">
        <v>140</v>
      </c>
      <c r="AF28">
        <f>IF(#REF!="PM &lt; 2.5 μm", 1, 0)</f>
        <v>1</v>
      </c>
      <c r="AG28" t="s">
        <v>131</v>
      </c>
      <c r="AH28">
        <f>IF(#REF!="Particles of this size are generally absorbed in the respiratory tract and safely excreted in mucus.", 1, 0)</f>
        <v>0</v>
      </c>
      <c r="AI28" t="s">
        <v>167</v>
      </c>
      <c r="AJ28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3</v>
      </c>
      <c r="AK28">
        <v>3</v>
      </c>
      <c r="AL28">
        <v>1</v>
      </c>
      <c r="AM28">
        <v>2</v>
      </c>
      <c r="AN28">
        <v>1</v>
      </c>
      <c r="AO28">
        <v>3</v>
      </c>
      <c r="AP28">
        <v>3</v>
      </c>
      <c r="AQ28">
        <v>7</v>
      </c>
      <c r="AR28" t="s">
        <v>111</v>
      </c>
    </row>
    <row r="29" spans="1:44" x14ac:dyDescent="0.25">
      <c r="A29" t="s">
        <v>225</v>
      </c>
      <c r="B29" t="s">
        <v>226</v>
      </c>
      <c r="C29" t="s">
        <v>42</v>
      </c>
      <c r="D29" t="s">
        <v>227</v>
      </c>
      <c r="E29">
        <v>1</v>
      </c>
      <c r="F29" t="s">
        <v>112</v>
      </c>
      <c r="G29">
        <f>_xlfn.NUMBERVALUE(#REF!)</f>
        <v>139</v>
      </c>
      <c r="H29" t="s">
        <v>220</v>
      </c>
      <c r="I29" t="s">
        <v>114</v>
      </c>
      <c r="J29" t="s">
        <v>226</v>
      </c>
      <c r="K29" t="s">
        <v>228</v>
      </c>
      <c r="L29" t="s">
        <v>111</v>
      </c>
      <c r="M29" t="s">
        <v>111</v>
      </c>
      <c r="N29" t="s">
        <v>111</v>
      </c>
      <c r="O29" t="s">
        <v>111</v>
      </c>
      <c r="P29" t="s">
        <v>229</v>
      </c>
      <c r="Q29" t="s">
        <v>230</v>
      </c>
      <c r="R29" t="s">
        <v>127</v>
      </c>
      <c r="S29" t="s">
        <v>117</v>
      </c>
      <c r="T29" t="s">
        <v>231</v>
      </c>
      <c r="U29" s="8">
        <v>5</v>
      </c>
      <c r="V29" s="4">
        <v>5</v>
      </c>
      <c r="W29" s="4">
        <v>5</v>
      </c>
      <c r="X29" s="4">
        <v>5</v>
      </c>
      <c r="Y29" s="4">
        <v>3</v>
      </c>
      <c r="Z29" s="4">
        <v>4</v>
      </c>
      <c r="AA29" s="4">
        <v>5</v>
      </c>
      <c r="AB29" s="4">
        <v>4</v>
      </c>
      <c r="AC29" s="2">
        <v>4</v>
      </c>
      <c r="AD29" s="2">
        <f>IF(#REF! = 3, 1, IF(#REF! = 2.5, 0.5, IF(#REF! = 3.5, 0.5, 0)))</f>
        <v>0</v>
      </c>
      <c r="AE29" t="s">
        <v>166</v>
      </c>
      <c r="AF29">
        <f>IF(#REF!="PM &lt; 2.5 μm", 1, 0)</f>
        <v>0</v>
      </c>
      <c r="AG29" t="s">
        <v>155</v>
      </c>
      <c r="AH29">
        <f>IF(#REF!="Particles of this size are generally absorbed in the respiratory tract and safely excreted in mucus.", 1, 0)</f>
        <v>0</v>
      </c>
      <c r="AI29" t="s">
        <v>232</v>
      </c>
      <c r="AJ29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1</v>
      </c>
      <c r="AK29">
        <v>5</v>
      </c>
      <c r="AL29">
        <v>5</v>
      </c>
      <c r="AM29">
        <v>4</v>
      </c>
      <c r="AN29">
        <v>4</v>
      </c>
      <c r="AO29">
        <v>5</v>
      </c>
      <c r="AP29">
        <v>3</v>
      </c>
      <c r="AQ29">
        <v>9</v>
      </c>
      <c r="AR29" t="s">
        <v>111</v>
      </c>
    </row>
    <row r="30" spans="1:44" x14ac:dyDescent="0.25">
      <c r="A30" t="s">
        <v>292</v>
      </c>
      <c r="B30" t="s">
        <v>293</v>
      </c>
      <c r="C30" t="s">
        <v>42</v>
      </c>
      <c r="D30" t="s">
        <v>190</v>
      </c>
      <c r="E30">
        <v>1</v>
      </c>
      <c r="F30" t="s">
        <v>112</v>
      </c>
      <c r="G30">
        <f>_xlfn.NUMBERVALUE(#REF!)</f>
        <v>263</v>
      </c>
      <c r="H30" t="s">
        <v>294</v>
      </c>
      <c r="I30" t="s">
        <v>114</v>
      </c>
      <c r="J30" t="s">
        <v>295</v>
      </c>
      <c r="K30" t="s">
        <v>296</v>
      </c>
      <c r="L30" t="s">
        <v>111</v>
      </c>
      <c r="M30" t="s">
        <v>111</v>
      </c>
      <c r="N30" t="s">
        <v>111</v>
      </c>
      <c r="O30" t="s">
        <v>111</v>
      </c>
      <c r="P30" t="s">
        <v>193</v>
      </c>
      <c r="Q30" t="s">
        <v>194</v>
      </c>
      <c r="R30" t="s">
        <v>127</v>
      </c>
      <c r="S30" t="s">
        <v>117</v>
      </c>
      <c r="T30" t="s">
        <v>297</v>
      </c>
      <c r="U30" s="8">
        <v>4</v>
      </c>
      <c r="V30" s="4">
        <v>4</v>
      </c>
      <c r="W30" s="4">
        <v>4</v>
      </c>
      <c r="X30" s="4">
        <v>4</v>
      </c>
      <c r="Y30" s="4">
        <v>2</v>
      </c>
      <c r="Z30" s="4">
        <v>3</v>
      </c>
      <c r="AA30" s="4">
        <v>4</v>
      </c>
      <c r="AB30" s="4">
        <v>2</v>
      </c>
      <c r="AC30" s="2">
        <v>4</v>
      </c>
      <c r="AD30" s="2">
        <f>IF(#REF! = 3, 1, IF(#REF! = 2.5, 0.5, IF(#REF! = 3.5, 0.5, 0)))</f>
        <v>0</v>
      </c>
      <c r="AE30" t="s">
        <v>130</v>
      </c>
      <c r="AF30">
        <f>IF(#REF!="PM &lt; 2.5 μm", 1, 0)</f>
        <v>0</v>
      </c>
      <c r="AG30" t="s">
        <v>131</v>
      </c>
      <c r="AH30">
        <f>IF(#REF!="Particles of this size are generally absorbed in the respiratory tract and safely excreted in mucus.", 1, 0)</f>
        <v>0</v>
      </c>
      <c r="AI30" t="s">
        <v>186</v>
      </c>
      <c r="AJ30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3</v>
      </c>
      <c r="AK30">
        <v>2</v>
      </c>
      <c r="AL30">
        <v>2</v>
      </c>
      <c r="AM30">
        <v>2</v>
      </c>
      <c r="AN30">
        <v>2</v>
      </c>
      <c r="AO30">
        <v>2</v>
      </c>
      <c r="AP30">
        <v>4</v>
      </c>
      <c r="AQ30">
        <v>7</v>
      </c>
      <c r="AR30" t="s">
        <v>111</v>
      </c>
    </row>
    <row r="31" spans="1:44" x14ac:dyDescent="0.25">
      <c r="A31" t="s">
        <v>651</v>
      </c>
      <c r="B31" t="s">
        <v>652</v>
      </c>
      <c r="C31" t="s">
        <v>42</v>
      </c>
      <c r="D31" t="s">
        <v>653</v>
      </c>
      <c r="E31">
        <v>1</v>
      </c>
      <c r="F31" t="s">
        <v>112</v>
      </c>
      <c r="G31">
        <f>_xlfn.NUMBERVALUE(#REF!)</f>
        <v>270</v>
      </c>
      <c r="H31" t="s">
        <v>654</v>
      </c>
      <c r="I31" t="s">
        <v>114</v>
      </c>
      <c r="J31" t="s">
        <v>652</v>
      </c>
      <c r="K31" t="s">
        <v>655</v>
      </c>
      <c r="L31" t="s">
        <v>111</v>
      </c>
      <c r="M31" t="s">
        <v>111</v>
      </c>
      <c r="N31" t="s">
        <v>111</v>
      </c>
      <c r="O31" t="s">
        <v>111</v>
      </c>
      <c r="P31" t="s">
        <v>656</v>
      </c>
      <c r="Q31" t="s">
        <v>657</v>
      </c>
      <c r="R31" t="s">
        <v>127</v>
      </c>
      <c r="S31" t="s">
        <v>117</v>
      </c>
      <c r="T31" t="s">
        <v>658</v>
      </c>
      <c r="U31" s="8">
        <v>3</v>
      </c>
      <c r="V31" s="4">
        <v>2</v>
      </c>
      <c r="W31" s="4">
        <v>3</v>
      </c>
      <c r="X31" s="4">
        <v>3</v>
      </c>
      <c r="Y31" s="4">
        <v>2</v>
      </c>
      <c r="Z31" s="4">
        <v>0</v>
      </c>
      <c r="AA31" s="4">
        <v>2</v>
      </c>
      <c r="AB31" s="4"/>
      <c r="AC31" s="2">
        <v>3</v>
      </c>
      <c r="AD31" s="2">
        <f>IF(#REF! = 3, 1, IF(#REF! = 2.5, 0.5, IF(#REF! = 3.5, 0.5, 0)))</f>
        <v>1</v>
      </c>
      <c r="AE31" t="s">
        <v>185</v>
      </c>
      <c r="AF31">
        <f>IF(#REF!="PM &lt; 2.5 μm", 1, 0)</f>
        <v>0</v>
      </c>
      <c r="AG31" t="s">
        <v>141</v>
      </c>
      <c r="AH31">
        <f>IF(#REF!="Particles of this size are generally absorbed in the respiratory tract and safely excreted in mucus.", 1, 0)</f>
        <v>0</v>
      </c>
      <c r="AI31" t="s">
        <v>650</v>
      </c>
      <c r="AJ31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3</v>
      </c>
      <c r="AK31">
        <v>2</v>
      </c>
      <c r="AM31">
        <v>2</v>
      </c>
      <c r="AO31">
        <v>2</v>
      </c>
      <c r="AQ31">
        <v>3</v>
      </c>
      <c r="AR31" t="s">
        <v>111</v>
      </c>
    </row>
    <row r="32" spans="1:44" x14ac:dyDescent="0.25">
      <c r="A32" t="s">
        <v>585</v>
      </c>
      <c r="B32" t="s">
        <v>586</v>
      </c>
      <c r="C32" t="s">
        <v>42</v>
      </c>
      <c r="D32" t="s">
        <v>587</v>
      </c>
      <c r="E32">
        <v>1</v>
      </c>
      <c r="F32" t="s">
        <v>112</v>
      </c>
      <c r="G32">
        <f>_xlfn.NUMBERVALUE(#REF!)</f>
        <v>191</v>
      </c>
      <c r="H32" t="s">
        <v>588</v>
      </c>
      <c r="I32" t="s">
        <v>114</v>
      </c>
      <c r="J32" t="s">
        <v>586</v>
      </c>
      <c r="K32" t="s">
        <v>589</v>
      </c>
      <c r="L32" t="s">
        <v>111</v>
      </c>
      <c r="M32" t="s">
        <v>111</v>
      </c>
      <c r="N32" t="s">
        <v>111</v>
      </c>
      <c r="O32" t="s">
        <v>111</v>
      </c>
      <c r="P32" t="s">
        <v>115</v>
      </c>
      <c r="Q32" t="s">
        <v>116</v>
      </c>
      <c r="R32" t="s">
        <v>487</v>
      </c>
      <c r="S32" t="s">
        <v>117</v>
      </c>
      <c r="T32" t="s">
        <v>590</v>
      </c>
      <c r="U32" s="8">
        <v>5</v>
      </c>
      <c r="V32" s="4">
        <v>5</v>
      </c>
      <c r="W32" s="4">
        <v>5</v>
      </c>
      <c r="X32" s="4">
        <v>5</v>
      </c>
      <c r="Y32" s="4">
        <v>3</v>
      </c>
      <c r="Z32" s="4">
        <v>5</v>
      </c>
      <c r="AA32" s="4">
        <v>5</v>
      </c>
      <c r="AB32" s="4">
        <v>5</v>
      </c>
      <c r="AC32" s="2">
        <v>5</v>
      </c>
      <c r="AD32" s="2">
        <f>IF(#REF! = 3, 1, IF(#REF! = 2.5, 0.5, IF(#REF! = 3.5, 0.5, 0)))</f>
        <v>0</v>
      </c>
      <c r="AE32" t="s">
        <v>140</v>
      </c>
      <c r="AF32">
        <f>IF(#REF!="PM &lt; 2.5 μm", 1, 0)</f>
        <v>1</v>
      </c>
      <c r="AG32" t="s">
        <v>175</v>
      </c>
      <c r="AH32">
        <f>IF(#REF!="Particles of this size are generally absorbed in the respiratory tract and safely excreted in mucus.", 1, 0)</f>
        <v>1</v>
      </c>
      <c r="AI32" t="s">
        <v>206</v>
      </c>
      <c r="AJ32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2</v>
      </c>
      <c r="AK32">
        <v>2</v>
      </c>
      <c r="AL32">
        <v>2</v>
      </c>
      <c r="AM32">
        <v>4</v>
      </c>
      <c r="AN32">
        <v>4</v>
      </c>
      <c r="AO32">
        <v>4</v>
      </c>
      <c r="AP32">
        <v>4</v>
      </c>
      <c r="AQ32">
        <v>8</v>
      </c>
      <c r="AR32" t="s">
        <v>111</v>
      </c>
    </row>
    <row r="33" spans="1:44" x14ac:dyDescent="0.25">
      <c r="A33" t="s">
        <v>813</v>
      </c>
      <c r="B33" t="s">
        <v>814</v>
      </c>
      <c r="C33" t="s">
        <v>42</v>
      </c>
      <c r="D33" t="s">
        <v>815</v>
      </c>
      <c r="E33">
        <v>1</v>
      </c>
      <c r="F33" t="s">
        <v>112</v>
      </c>
      <c r="G33">
        <f>_xlfn.NUMBERVALUE(#REF!)</f>
        <v>158</v>
      </c>
      <c r="H33" t="s">
        <v>816</v>
      </c>
      <c r="I33" t="s">
        <v>114</v>
      </c>
      <c r="J33" t="s">
        <v>814</v>
      </c>
      <c r="K33" t="s">
        <v>817</v>
      </c>
      <c r="L33" t="s">
        <v>111</v>
      </c>
      <c r="M33" t="s">
        <v>111</v>
      </c>
      <c r="N33" t="s">
        <v>111</v>
      </c>
      <c r="O33" t="s">
        <v>111</v>
      </c>
      <c r="P33" t="s">
        <v>351</v>
      </c>
      <c r="Q33" t="s">
        <v>352</v>
      </c>
      <c r="R33" t="s">
        <v>127</v>
      </c>
      <c r="S33" t="s">
        <v>117</v>
      </c>
      <c r="T33" t="s">
        <v>590</v>
      </c>
      <c r="U33" s="8">
        <v>5</v>
      </c>
      <c r="V33" s="4">
        <v>4</v>
      </c>
      <c r="W33" s="4">
        <v>5</v>
      </c>
      <c r="X33" s="4">
        <v>5</v>
      </c>
      <c r="Y33" s="4">
        <v>4</v>
      </c>
      <c r="Z33" s="4">
        <v>4</v>
      </c>
      <c r="AA33" s="4">
        <v>5</v>
      </c>
      <c r="AB33" s="4">
        <v>4</v>
      </c>
      <c r="AC33" s="2">
        <v>3</v>
      </c>
      <c r="AD33" s="2">
        <f>IF(#REF! = 3, 1, IF(#REF! = 2.5, 0.5, IF(#REF! = 3.5, 0.5, 0)))</f>
        <v>1</v>
      </c>
      <c r="AE33" t="s">
        <v>140</v>
      </c>
      <c r="AF33">
        <f>IF(#REF!="PM &lt; 2.5 μm", 1, 0)</f>
        <v>1</v>
      </c>
      <c r="AG33" t="s">
        <v>175</v>
      </c>
      <c r="AH33">
        <f>IF(#REF!="Particles of this size are generally absorbed in the respiratory tract and safely excreted in mucus.", 1, 0)</f>
        <v>1</v>
      </c>
      <c r="AI33" t="s">
        <v>186</v>
      </c>
      <c r="AJ33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3</v>
      </c>
      <c r="AK33">
        <v>4</v>
      </c>
      <c r="AL33">
        <v>5</v>
      </c>
      <c r="AM33">
        <v>4</v>
      </c>
      <c r="AN33">
        <v>4</v>
      </c>
      <c r="AO33">
        <v>4</v>
      </c>
      <c r="AP33">
        <v>4</v>
      </c>
      <c r="AQ33">
        <v>9</v>
      </c>
      <c r="AR33" t="s">
        <v>111</v>
      </c>
    </row>
    <row r="34" spans="1:44" x14ac:dyDescent="0.25">
      <c r="A34" t="s">
        <v>743</v>
      </c>
      <c r="B34" t="s">
        <v>744</v>
      </c>
      <c r="C34" t="s">
        <v>42</v>
      </c>
      <c r="D34" t="s">
        <v>389</v>
      </c>
      <c r="E34">
        <v>1</v>
      </c>
      <c r="F34" t="s">
        <v>112</v>
      </c>
      <c r="G34">
        <f>_xlfn.NUMBERVALUE(#REF!)</f>
        <v>383</v>
      </c>
      <c r="H34" t="s">
        <v>745</v>
      </c>
      <c r="I34" t="s">
        <v>114</v>
      </c>
      <c r="J34" t="s">
        <v>746</v>
      </c>
      <c r="K34" t="s">
        <v>747</v>
      </c>
      <c r="L34" t="s">
        <v>111</v>
      </c>
      <c r="M34" t="s">
        <v>111</v>
      </c>
      <c r="N34" t="s">
        <v>111</v>
      </c>
      <c r="O34" t="s">
        <v>111</v>
      </c>
      <c r="P34" t="s">
        <v>392</v>
      </c>
      <c r="Q34" t="s">
        <v>393</v>
      </c>
      <c r="R34" t="s">
        <v>127</v>
      </c>
      <c r="S34" t="s">
        <v>117</v>
      </c>
      <c r="T34" t="s">
        <v>748</v>
      </c>
      <c r="U34" s="8">
        <v>5</v>
      </c>
      <c r="V34" s="4">
        <v>4</v>
      </c>
      <c r="W34" s="4">
        <v>4</v>
      </c>
      <c r="X34" s="4">
        <v>5</v>
      </c>
      <c r="Y34" s="4">
        <v>4</v>
      </c>
      <c r="Z34" s="4">
        <v>3</v>
      </c>
      <c r="AA34" s="4">
        <v>5</v>
      </c>
      <c r="AB34" s="4">
        <v>4</v>
      </c>
      <c r="AC34" s="2">
        <v>4</v>
      </c>
      <c r="AD34" s="2">
        <f>IF(#REF! = 3, 1, IF(#REF! = 2.5, 0.5, IF(#REF! = 3.5, 0.5, 0)))</f>
        <v>0</v>
      </c>
      <c r="AE34" t="s">
        <v>140</v>
      </c>
      <c r="AF34">
        <f>IF(#REF!="PM &lt; 2.5 μm", 1, 0)</f>
        <v>1</v>
      </c>
      <c r="AG34" t="s">
        <v>141</v>
      </c>
      <c r="AH34">
        <f>IF(#REF!="Particles of this size are generally absorbed in the respiratory tract and safely excreted in mucus.", 1, 0)</f>
        <v>0</v>
      </c>
      <c r="AI34" t="s">
        <v>167</v>
      </c>
      <c r="AJ34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3</v>
      </c>
      <c r="AK34">
        <v>4</v>
      </c>
      <c r="AL34">
        <v>5</v>
      </c>
      <c r="AM34">
        <v>4</v>
      </c>
      <c r="AN34">
        <v>4</v>
      </c>
      <c r="AO34">
        <v>2</v>
      </c>
      <c r="AP34">
        <v>3</v>
      </c>
      <c r="AQ34">
        <v>10</v>
      </c>
      <c r="AR34" t="s">
        <v>749</v>
      </c>
    </row>
    <row r="35" spans="1:44" x14ac:dyDescent="0.25">
      <c r="A35" t="s">
        <v>785</v>
      </c>
      <c r="B35" t="s">
        <v>786</v>
      </c>
      <c r="C35" t="s">
        <v>42</v>
      </c>
      <c r="D35" t="s">
        <v>787</v>
      </c>
      <c r="E35">
        <v>1</v>
      </c>
      <c r="F35" t="s">
        <v>112</v>
      </c>
      <c r="G35">
        <f>_xlfn.NUMBERVALUE(#REF!)</f>
        <v>136</v>
      </c>
      <c r="H35" t="s">
        <v>740</v>
      </c>
      <c r="I35" t="s">
        <v>114</v>
      </c>
      <c r="J35" t="s">
        <v>788</v>
      </c>
      <c r="K35" t="s">
        <v>789</v>
      </c>
      <c r="L35" t="s">
        <v>111</v>
      </c>
      <c r="M35" t="s">
        <v>111</v>
      </c>
      <c r="N35" t="s">
        <v>111</v>
      </c>
      <c r="O35" t="s">
        <v>111</v>
      </c>
      <c r="P35" t="s">
        <v>790</v>
      </c>
      <c r="Q35" t="s">
        <v>791</v>
      </c>
      <c r="R35" t="s">
        <v>487</v>
      </c>
      <c r="S35" t="s">
        <v>117</v>
      </c>
      <c r="T35" t="s">
        <v>792</v>
      </c>
      <c r="U35" s="8">
        <v>4</v>
      </c>
      <c r="V35" s="4">
        <v>4</v>
      </c>
      <c r="W35" s="4">
        <v>4</v>
      </c>
      <c r="X35" s="4">
        <v>4</v>
      </c>
      <c r="Y35" s="4">
        <v>2</v>
      </c>
      <c r="Z35" s="4">
        <v>3</v>
      </c>
      <c r="AA35" s="4">
        <v>5</v>
      </c>
      <c r="AB35" s="4">
        <v>2</v>
      </c>
      <c r="AC35" s="2">
        <v>2</v>
      </c>
      <c r="AD35" s="2">
        <f>IF(#REF! = 3, 1, IF(#REF! = 2.5, 0.5, IF(#REF! = 3.5, 0.5, 0)))</f>
        <v>0</v>
      </c>
      <c r="AE35" t="s">
        <v>140</v>
      </c>
      <c r="AF35">
        <f>IF(#REF!="PM &lt; 2.5 μm", 1, 0)</f>
        <v>1</v>
      </c>
      <c r="AG35" t="s">
        <v>155</v>
      </c>
      <c r="AH35">
        <f>IF(#REF!="Particles of this size are generally absorbed in the respiratory tract and safely excreted in mucus.", 1, 0)</f>
        <v>0</v>
      </c>
      <c r="AI35" t="s">
        <v>327</v>
      </c>
      <c r="AJ35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1</v>
      </c>
      <c r="AK35">
        <v>1</v>
      </c>
      <c r="AL35">
        <v>1</v>
      </c>
      <c r="AM35">
        <v>3</v>
      </c>
      <c r="AN35">
        <v>1</v>
      </c>
      <c r="AO35">
        <v>3</v>
      </c>
      <c r="AP35">
        <v>4</v>
      </c>
      <c r="AQ35">
        <v>6</v>
      </c>
      <c r="AR35" t="s">
        <v>793</v>
      </c>
    </row>
    <row r="36" spans="1:44" x14ac:dyDescent="0.25">
      <c r="A36" t="s">
        <v>315</v>
      </c>
      <c r="B36" t="s">
        <v>316</v>
      </c>
      <c r="C36" t="s">
        <v>42</v>
      </c>
      <c r="D36" t="s">
        <v>317</v>
      </c>
      <c r="E36">
        <v>1</v>
      </c>
      <c r="F36" t="s">
        <v>112</v>
      </c>
      <c r="G36">
        <f>_xlfn.NUMBERVALUE(#REF!)</f>
        <v>117</v>
      </c>
      <c r="H36" t="s">
        <v>301</v>
      </c>
      <c r="I36" t="s">
        <v>114</v>
      </c>
      <c r="J36" t="s">
        <v>316</v>
      </c>
      <c r="K36" t="s">
        <v>318</v>
      </c>
      <c r="L36" t="s">
        <v>111</v>
      </c>
      <c r="M36" t="s">
        <v>111</v>
      </c>
      <c r="N36" t="s">
        <v>111</v>
      </c>
      <c r="O36" t="s">
        <v>111</v>
      </c>
      <c r="P36" t="s">
        <v>229</v>
      </c>
      <c r="Q36" t="s">
        <v>230</v>
      </c>
      <c r="R36" t="s">
        <v>127</v>
      </c>
      <c r="S36" t="s">
        <v>117</v>
      </c>
      <c r="T36" t="s">
        <v>319</v>
      </c>
      <c r="U36" s="8">
        <v>4</v>
      </c>
      <c r="V36" s="4">
        <v>5</v>
      </c>
      <c r="W36" s="4">
        <v>3</v>
      </c>
      <c r="X36" s="4">
        <v>4</v>
      </c>
      <c r="Y36" s="4">
        <v>5</v>
      </c>
      <c r="Z36" s="4">
        <v>4</v>
      </c>
      <c r="AA36" s="4">
        <v>5</v>
      </c>
      <c r="AB36" s="4">
        <v>3</v>
      </c>
      <c r="AC36" s="2">
        <v>3</v>
      </c>
      <c r="AD36" s="2">
        <f>IF(#REF! = 3, 1, IF(#REF! = 2.5, 0.5, IF(#REF! = 3.5, 0.5, 0)))</f>
        <v>1</v>
      </c>
      <c r="AE36" t="s">
        <v>130</v>
      </c>
      <c r="AF36">
        <f>IF(#REF!="PM &lt; 2.5 μm", 1, 0)</f>
        <v>0</v>
      </c>
      <c r="AG36" t="s">
        <v>175</v>
      </c>
      <c r="AH36">
        <f>IF(#REF!="Particles of this size are generally absorbed in the respiratory tract and safely excreted in mucus.", 1, 0)</f>
        <v>1</v>
      </c>
      <c r="AI36" t="s">
        <v>167</v>
      </c>
      <c r="AJ36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3</v>
      </c>
      <c r="AK36">
        <v>1</v>
      </c>
      <c r="AL36">
        <v>2</v>
      </c>
      <c r="AM36">
        <v>1</v>
      </c>
      <c r="AN36">
        <v>1</v>
      </c>
      <c r="AO36">
        <v>2</v>
      </c>
      <c r="AP36">
        <v>3</v>
      </c>
      <c r="AQ36">
        <v>7</v>
      </c>
      <c r="AR36" t="s">
        <v>320</v>
      </c>
    </row>
    <row r="37" spans="1:44" x14ac:dyDescent="0.25">
      <c r="A37" t="s">
        <v>599</v>
      </c>
      <c r="B37" t="s">
        <v>600</v>
      </c>
      <c r="C37" t="s">
        <v>42</v>
      </c>
      <c r="D37" t="s">
        <v>601</v>
      </c>
      <c r="E37">
        <v>1</v>
      </c>
      <c r="F37" t="s">
        <v>112</v>
      </c>
      <c r="G37">
        <f>_xlfn.NUMBERVALUE(#REF!)</f>
        <v>176</v>
      </c>
      <c r="H37" t="s">
        <v>602</v>
      </c>
      <c r="I37" t="s">
        <v>114</v>
      </c>
      <c r="J37" t="s">
        <v>600</v>
      </c>
      <c r="K37" t="s">
        <v>603</v>
      </c>
      <c r="L37" t="s">
        <v>111</v>
      </c>
      <c r="M37" t="s">
        <v>111</v>
      </c>
      <c r="N37" t="s">
        <v>111</v>
      </c>
      <c r="O37" t="s">
        <v>111</v>
      </c>
      <c r="P37" t="s">
        <v>351</v>
      </c>
      <c r="Q37" t="s">
        <v>352</v>
      </c>
      <c r="R37" t="s">
        <v>487</v>
      </c>
      <c r="S37" t="s">
        <v>117</v>
      </c>
      <c r="T37" t="s">
        <v>604</v>
      </c>
      <c r="U37" s="8">
        <v>5</v>
      </c>
      <c r="V37" s="4">
        <v>4</v>
      </c>
      <c r="W37" s="4">
        <v>5</v>
      </c>
      <c r="X37" s="4">
        <v>4</v>
      </c>
      <c r="Y37" s="4">
        <v>1</v>
      </c>
      <c r="Z37" s="4">
        <v>2</v>
      </c>
      <c r="AA37" s="4">
        <v>5</v>
      </c>
      <c r="AB37" s="4">
        <v>1</v>
      </c>
      <c r="AC37" s="2">
        <v>5</v>
      </c>
      <c r="AD37" s="2">
        <f>IF(#REF! = 3, 1, IF(#REF! = 2.5, 0.5, IF(#REF! = 3.5, 0.5, 0)))</f>
        <v>0</v>
      </c>
      <c r="AE37" t="s">
        <v>130</v>
      </c>
      <c r="AF37">
        <f>IF(#REF!="PM &lt; 2.5 μm", 1, 0)</f>
        <v>0</v>
      </c>
      <c r="AG37" t="s">
        <v>131</v>
      </c>
      <c r="AH37">
        <f>IF(#REF!="Particles of this size are generally absorbed in the respiratory tract and safely excreted in mucus.", 1, 0)</f>
        <v>0</v>
      </c>
      <c r="AI37" t="s">
        <v>167</v>
      </c>
      <c r="AJ37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3</v>
      </c>
      <c r="AK37">
        <v>4</v>
      </c>
      <c r="AL37">
        <v>5</v>
      </c>
      <c r="AM37">
        <v>2</v>
      </c>
      <c r="AN37">
        <v>2</v>
      </c>
      <c r="AO37">
        <v>3</v>
      </c>
      <c r="AP37">
        <v>5</v>
      </c>
      <c r="AQ37">
        <v>8</v>
      </c>
      <c r="AR37" t="s">
        <v>111</v>
      </c>
    </row>
    <row r="38" spans="1:44" x14ac:dyDescent="0.25">
      <c r="A38" t="s">
        <v>605</v>
      </c>
      <c r="B38" t="s">
        <v>612</v>
      </c>
      <c r="C38" t="s">
        <v>42</v>
      </c>
      <c r="D38" t="s">
        <v>389</v>
      </c>
      <c r="E38">
        <v>1</v>
      </c>
      <c r="F38" t="s">
        <v>112</v>
      </c>
      <c r="G38">
        <f>_xlfn.NUMBERVALUE(#REF!)</f>
        <v>220</v>
      </c>
      <c r="H38" t="s">
        <v>613</v>
      </c>
      <c r="I38" t="s">
        <v>114</v>
      </c>
      <c r="J38" t="s">
        <v>614</v>
      </c>
      <c r="K38" t="s">
        <v>615</v>
      </c>
      <c r="L38" t="s">
        <v>111</v>
      </c>
      <c r="M38" t="s">
        <v>111</v>
      </c>
      <c r="N38" t="s">
        <v>111</v>
      </c>
      <c r="O38" t="s">
        <v>111</v>
      </c>
      <c r="P38" t="s">
        <v>392</v>
      </c>
      <c r="Q38" t="s">
        <v>393</v>
      </c>
      <c r="R38" t="s">
        <v>487</v>
      </c>
      <c r="S38" t="s">
        <v>117</v>
      </c>
      <c r="T38" t="s">
        <v>616</v>
      </c>
      <c r="U38" s="8">
        <v>3</v>
      </c>
      <c r="V38" s="4">
        <v>2</v>
      </c>
      <c r="W38" s="4">
        <v>4</v>
      </c>
      <c r="X38" s="4">
        <v>4</v>
      </c>
      <c r="Y38" s="4">
        <v>2</v>
      </c>
      <c r="Z38" s="4">
        <v>4</v>
      </c>
      <c r="AA38" s="4">
        <v>5</v>
      </c>
      <c r="AB38" s="4">
        <v>3</v>
      </c>
      <c r="AC38" s="2">
        <v>3.5</v>
      </c>
      <c r="AD38" s="2">
        <f>IF(#REF! = 3, 1, IF(#REF! = 2.5, 0.5, IF(#REF! = 3.5, 0.5, 0)))</f>
        <v>0.5</v>
      </c>
      <c r="AE38" t="s">
        <v>130</v>
      </c>
      <c r="AF38">
        <f>IF(#REF!="PM &lt; 2.5 μm", 1, 0)</f>
        <v>0</v>
      </c>
      <c r="AG38" t="s">
        <v>175</v>
      </c>
      <c r="AH38">
        <f>IF(#REF!="Particles of this size are generally absorbed in the respiratory tract and safely excreted in mucus.", 1, 0)</f>
        <v>1</v>
      </c>
      <c r="AI38" t="s">
        <v>167</v>
      </c>
      <c r="AJ38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3</v>
      </c>
      <c r="AK38">
        <v>4</v>
      </c>
      <c r="AM38">
        <v>1</v>
      </c>
      <c r="AN38">
        <v>1</v>
      </c>
      <c r="AO38">
        <v>3</v>
      </c>
      <c r="AP38">
        <v>5</v>
      </c>
      <c r="AQ38">
        <v>6</v>
      </c>
      <c r="AR38" t="s">
        <v>617</v>
      </c>
    </row>
    <row r="39" spans="1:44" x14ac:dyDescent="0.25">
      <c r="A39" t="s">
        <v>372</v>
      </c>
      <c r="B39" t="s">
        <v>373</v>
      </c>
      <c r="C39" t="s">
        <v>42</v>
      </c>
      <c r="D39" t="s">
        <v>374</v>
      </c>
      <c r="E39">
        <v>1</v>
      </c>
      <c r="F39" t="s">
        <v>112</v>
      </c>
      <c r="G39">
        <f>_xlfn.NUMBERVALUE(#REF!)</f>
        <v>2492</v>
      </c>
      <c r="H39" t="s">
        <v>375</v>
      </c>
      <c r="I39" t="s">
        <v>114</v>
      </c>
      <c r="J39" t="s">
        <v>376</v>
      </c>
      <c r="K39" t="s">
        <v>377</v>
      </c>
      <c r="L39" t="s">
        <v>111</v>
      </c>
      <c r="M39" t="s">
        <v>111</v>
      </c>
      <c r="N39" t="s">
        <v>111</v>
      </c>
      <c r="O39" t="s">
        <v>111</v>
      </c>
      <c r="P39" t="s">
        <v>115</v>
      </c>
      <c r="Q39" t="s">
        <v>116</v>
      </c>
      <c r="R39" t="s">
        <v>127</v>
      </c>
      <c r="S39" t="s">
        <v>117</v>
      </c>
      <c r="T39" t="s">
        <v>378</v>
      </c>
      <c r="U39" s="8">
        <v>3</v>
      </c>
      <c r="V39" s="4">
        <v>2</v>
      </c>
      <c r="W39" s="4">
        <v>5</v>
      </c>
      <c r="X39" s="4">
        <v>5</v>
      </c>
      <c r="Y39" s="4">
        <v>3</v>
      </c>
      <c r="Z39" s="4">
        <v>5</v>
      </c>
      <c r="AA39" s="4">
        <v>5</v>
      </c>
      <c r="AB39" s="4">
        <v>3</v>
      </c>
      <c r="AC39" s="2">
        <v>2.5</v>
      </c>
      <c r="AD39" s="2">
        <f>IF(#REF! = 3, 1, IF(#REF! = 2.5, 0.5, IF(#REF! = 3.5, 0.5, 0)))</f>
        <v>0.5</v>
      </c>
      <c r="AE39" t="s">
        <v>140</v>
      </c>
      <c r="AF39">
        <f>IF(#REF!="PM &lt; 2.5 μm", 1, 0)</f>
        <v>1</v>
      </c>
      <c r="AG39" t="s">
        <v>175</v>
      </c>
      <c r="AH39">
        <f>IF(#REF!="Particles of this size are generally absorbed in the respiratory tract and safely excreted in mucus.", 1, 0)</f>
        <v>1</v>
      </c>
      <c r="AI39" t="s">
        <v>156</v>
      </c>
      <c r="AJ39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4</v>
      </c>
      <c r="AK39">
        <v>3</v>
      </c>
      <c r="AL39">
        <v>2</v>
      </c>
      <c r="AM39">
        <v>3</v>
      </c>
      <c r="AN39">
        <v>2</v>
      </c>
      <c r="AO39">
        <v>5</v>
      </c>
      <c r="AP39">
        <v>3</v>
      </c>
      <c r="AQ39">
        <v>6</v>
      </c>
      <c r="AR39" t="s">
        <v>379</v>
      </c>
    </row>
    <row r="40" spans="1:44" x14ac:dyDescent="0.25">
      <c r="A40" t="s">
        <v>571</v>
      </c>
      <c r="B40" t="s">
        <v>572</v>
      </c>
      <c r="C40" t="s">
        <v>42</v>
      </c>
      <c r="D40" t="s">
        <v>389</v>
      </c>
      <c r="E40">
        <v>1</v>
      </c>
      <c r="F40" t="s">
        <v>112</v>
      </c>
      <c r="G40">
        <f>_xlfn.NUMBERVALUE(#REF!)</f>
        <v>146</v>
      </c>
      <c r="H40" t="s">
        <v>573</v>
      </c>
      <c r="I40" t="s">
        <v>114</v>
      </c>
      <c r="J40" t="s">
        <v>572</v>
      </c>
      <c r="K40" t="s">
        <v>574</v>
      </c>
      <c r="L40" t="s">
        <v>111</v>
      </c>
      <c r="M40" t="s">
        <v>111</v>
      </c>
      <c r="N40" t="s">
        <v>111</v>
      </c>
      <c r="O40" t="s">
        <v>111</v>
      </c>
      <c r="P40" t="s">
        <v>392</v>
      </c>
      <c r="Q40" t="s">
        <v>393</v>
      </c>
      <c r="R40" t="s">
        <v>487</v>
      </c>
      <c r="S40" t="s">
        <v>117</v>
      </c>
      <c r="T40" t="s">
        <v>575</v>
      </c>
      <c r="U40" s="8">
        <v>5</v>
      </c>
      <c r="V40" s="4">
        <v>5</v>
      </c>
      <c r="W40" s="4">
        <v>5</v>
      </c>
      <c r="X40" s="4">
        <v>5</v>
      </c>
      <c r="Y40" s="4">
        <v>5</v>
      </c>
      <c r="Z40" s="4">
        <v>5</v>
      </c>
      <c r="AA40" s="4">
        <v>5</v>
      </c>
      <c r="AB40" s="4">
        <v>5</v>
      </c>
      <c r="AC40" s="2">
        <v>4.5</v>
      </c>
      <c r="AD40" s="2">
        <f>IF(#REF! = 3, 1, IF(#REF! = 2.5, 0.5, IF(#REF! = 3.5, 0.5, 0)))</f>
        <v>0</v>
      </c>
      <c r="AE40" t="s">
        <v>130</v>
      </c>
      <c r="AF40">
        <f>IF(#REF!="PM &lt; 2.5 μm", 1, 0)</f>
        <v>0</v>
      </c>
      <c r="AG40" t="s">
        <v>175</v>
      </c>
      <c r="AH40">
        <f>IF(#REF!="Particles of this size are generally absorbed in the respiratory tract and safely excreted in mucus.", 1, 0)</f>
        <v>1</v>
      </c>
      <c r="AI40" t="s">
        <v>206</v>
      </c>
      <c r="AJ40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2</v>
      </c>
      <c r="AK40">
        <v>5</v>
      </c>
      <c r="AL40">
        <v>5</v>
      </c>
      <c r="AM40">
        <v>5</v>
      </c>
      <c r="AN40">
        <v>5</v>
      </c>
      <c r="AO40">
        <v>5</v>
      </c>
      <c r="AP40">
        <v>5</v>
      </c>
      <c r="AQ40">
        <v>8</v>
      </c>
      <c r="AR40" t="s">
        <v>576</v>
      </c>
    </row>
    <row r="41" spans="1:44" x14ac:dyDescent="0.25">
      <c r="A41" t="s">
        <v>145</v>
      </c>
      <c r="B41" t="s">
        <v>146</v>
      </c>
      <c r="C41" t="s">
        <v>42</v>
      </c>
      <c r="D41" t="s">
        <v>147</v>
      </c>
      <c r="E41">
        <v>1</v>
      </c>
      <c r="F41" t="s">
        <v>112</v>
      </c>
      <c r="G41">
        <f>_xlfn.NUMBERVALUE(#REF!)</f>
        <v>84</v>
      </c>
      <c r="H41" t="s">
        <v>148</v>
      </c>
      <c r="I41" t="s">
        <v>114</v>
      </c>
      <c r="J41" t="s">
        <v>149</v>
      </c>
      <c r="K41" t="s">
        <v>150</v>
      </c>
      <c r="L41" t="s">
        <v>111</v>
      </c>
      <c r="M41" t="s">
        <v>111</v>
      </c>
      <c r="N41" t="s">
        <v>111</v>
      </c>
      <c r="O41" t="s">
        <v>111</v>
      </c>
      <c r="P41" t="s">
        <v>151</v>
      </c>
      <c r="Q41" t="s">
        <v>152</v>
      </c>
      <c r="R41" t="s">
        <v>127</v>
      </c>
      <c r="S41" t="s">
        <v>117</v>
      </c>
      <c r="T41" t="s">
        <v>153</v>
      </c>
      <c r="U41" s="8">
        <v>2</v>
      </c>
      <c r="V41" s="4">
        <v>2</v>
      </c>
      <c r="W41" s="4">
        <v>4</v>
      </c>
      <c r="X41" s="4">
        <v>2</v>
      </c>
      <c r="Y41" s="4">
        <v>2</v>
      </c>
      <c r="Z41" s="4">
        <v>3</v>
      </c>
      <c r="AA41" s="4">
        <v>2</v>
      </c>
      <c r="AB41" s="4">
        <v>2</v>
      </c>
      <c r="AC41" s="2">
        <v>2</v>
      </c>
      <c r="AD41" s="2">
        <f>IF(#REF! = 3, 1, IF(#REF! = 2.5, 0.5, IF(#REF! = 3.5, 0.5, 0)))</f>
        <v>0</v>
      </c>
      <c r="AE41" t="s">
        <v>154</v>
      </c>
      <c r="AF41">
        <f>IF(#REF!="PM &lt; 2.5 μm", 1, 0)</f>
        <v>0</v>
      </c>
      <c r="AG41" t="s">
        <v>155</v>
      </c>
      <c r="AH41">
        <f>IF(#REF!="Particles of this size are generally absorbed in the respiratory tract and safely excreted in mucus.", 1, 0)</f>
        <v>0</v>
      </c>
      <c r="AI41" t="s">
        <v>156</v>
      </c>
      <c r="AJ41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4</v>
      </c>
      <c r="AK41">
        <v>2</v>
      </c>
      <c r="AL41">
        <v>3</v>
      </c>
      <c r="AM41">
        <v>1</v>
      </c>
      <c r="AN41">
        <v>2</v>
      </c>
      <c r="AO41">
        <v>2</v>
      </c>
      <c r="AP41">
        <v>2</v>
      </c>
      <c r="AQ41">
        <v>5</v>
      </c>
      <c r="AR41" t="s">
        <v>157</v>
      </c>
    </row>
    <row r="42" spans="1:44" x14ac:dyDescent="0.25">
      <c r="A42" t="s">
        <v>119</v>
      </c>
      <c r="B42" t="s">
        <v>120</v>
      </c>
      <c r="C42" t="s">
        <v>42</v>
      </c>
      <c r="D42" t="s">
        <v>121</v>
      </c>
      <c r="E42">
        <v>1</v>
      </c>
      <c r="F42" t="s">
        <v>112</v>
      </c>
      <c r="G42">
        <f>_xlfn.NUMBERVALUE(#REF!)</f>
        <v>140</v>
      </c>
      <c r="H42" t="s">
        <v>122</v>
      </c>
      <c r="I42" t="s">
        <v>114</v>
      </c>
      <c r="J42" t="s">
        <v>123</v>
      </c>
      <c r="K42" t="s">
        <v>124</v>
      </c>
      <c r="L42" t="s">
        <v>111</v>
      </c>
      <c r="M42" t="s">
        <v>111</v>
      </c>
      <c r="N42" t="s">
        <v>111</v>
      </c>
      <c r="O42" t="s">
        <v>111</v>
      </c>
      <c r="P42" t="s">
        <v>125</v>
      </c>
      <c r="Q42" t="s">
        <v>126</v>
      </c>
      <c r="R42" t="s">
        <v>127</v>
      </c>
      <c r="S42" t="s">
        <v>117</v>
      </c>
      <c r="T42" t="s">
        <v>128</v>
      </c>
      <c r="U42" s="8">
        <v>3</v>
      </c>
      <c r="V42" s="4">
        <v>3</v>
      </c>
      <c r="W42" s="4">
        <v>2</v>
      </c>
      <c r="X42" s="4">
        <v>4</v>
      </c>
      <c r="Y42" s="4">
        <v>3</v>
      </c>
      <c r="Z42" s="4">
        <v>3</v>
      </c>
      <c r="AA42" s="4">
        <v>5</v>
      </c>
      <c r="AB42" s="4">
        <v>1</v>
      </c>
      <c r="AC42" s="2">
        <v>4</v>
      </c>
      <c r="AD42" s="2">
        <f>IF(#REF! = 3, 1, IF(#REF! = 2.5, 0.5, IF(#REF! = 3.5, 0.5, 0)))</f>
        <v>0</v>
      </c>
      <c r="AE42" t="s">
        <v>130</v>
      </c>
      <c r="AF42">
        <f>IF(#REF!="PM &lt; 2.5 μm", 1, 0)</f>
        <v>0</v>
      </c>
      <c r="AG42" t="s">
        <v>131</v>
      </c>
      <c r="AH42">
        <f>IF(#REF!="Particles of this size are generally absorbed in the respiratory tract and safely excreted in mucus.", 1, 0)</f>
        <v>0</v>
      </c>
      <c r="AI42" t="s">
        <v>132</v>
      </c>
      <c r="AJ42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2</v>
      </c>
      <c r="AK42">
        <v>1</v>
      </c>
      <c r="AL42">
        <v>1</v>
      </c>
      <c r="AM42">
        <v>2</v>
      </c>
      <c r="AN42">
        <v>2</v>
      </c>
      <c r="AO42">
        <v>4</v>
      </c>
      <c r="AP42">
        <v>5</v>
      </c>
      <c r="AQ42">
        <v>6</v>
      </c>
      <c r="AR42" t="s">
        <v>111</v>
      </c>
    </row>
    <row r="43" spans="1:44" x14ac:dyDescent="0.25">
      <c r="A43" t="s">
        <v>540</v>
      </c>
      <c r="B43" t="s">
        <v>541</v>
      </c>
      <c r="C43" t="s">
        <v>42</v>
      </c>
      <c r="D43" t="s">
        <v>542</v>
      </c>
      <c r="E43">
        <v>1</v>
      </c>
      <c r="F43" t="s">
        <v>112</v>
      </c>
      <c r="G43">
        <f>_xlfn.NUMBERVALUE(#REF!)</f>
        <v>181</v>
      </c>
      <c r="H43" t="s">
        <v>543</v>
      </c>
      <c r="I43" t="s">
        <v>114</v>
      </c>
      <c r="J43" t="s">
        <v>541</v>
      </c>
      <c r="K43" t="s">
        <v>544</v>
      </c>
      <c r="L43" t="s">
        <v>111</v>
      </c>
      <c r="M43" t="s">
        <v>111</v>
      </c>
      <c r="N43" t="s">
        <v>111</v>
      </c>
      <c r="O43" t="s">
        <v>111</v>
      </c>
      <c r="P43" t="s">
        <v>351</v>
      </c>
      <c r="Q43" t="s">
        <v>352</v>
      </c>
      <c r="R43" t="s">
        <v>487</v>
      </c>
      <c r="S43" t="s">
        <v>117</v>
      </c>
      <c r="T43" t="s">
        <v>545</v>
      </c>
      <c r="U43" s="8">
        <v>4</v>
      </c>
      <c r="V43" s="4">
        <v>4</v>
      </c>
      <c r="W43" s="4">
        <v>3</v>
      </c>
      <c r="X43" s="4">
        <v>2</v>
      </c>
      <c r="Y43" s="4">
        <v>3</v>
      </c>
      <c r="Z43" s="4"/>
      <c r="AA43" s="4">
        <v>2</v>
      </c>
      <c r="AB43" s="4">
        <v>0</v>
      </c>
      <c r="AC43" s="2">
        <v>1.5</v>
      </c>
      <c r="AD43" s="2">
        <f>IF(#REF! = 3, 1, IF(#REF! = 2.5, 0.5, IF(#REF! = 3.5, 0.5, 0)))</f>
        <v>0</v>
      </c>
      <c r="AE43" t="s">
        <v>130</v>
      </c>
      <c r="AF43">
        <f>IF(#REF!="PM &lt; 2.5 μm", 1, 0)</f>
        <v>0</v>
      </c>
      <c r="AG43" t="s">
        <v>155</v>
      </c>
      <c r="AH43">
        <f>IF(#REF!="Particles of this size are generally absorbed in the respiratory tract and safely excreted in mucus.", 1, 0)</f>
        <v>0</v>
      </c>
      <c r="AI43" t="s">
        <v>546</v>
      </c>
      <c r="AJ43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2</v>
      </c>
      <c r="AK43">
        <v>3</v>
      </c>
      <c r="AL43">
        <v>4</v>
      </c>
      <c r="AM43">
        <v>3</v>
      </c>
      <c r="AN43">
        <v>2</v>
      </c>
      <c r="AO43">
        <v>1</v>
      </c>
      <c r="AP43">
        <v>2</v>
      </c>
      <c r="AQ43">
        <v>6</v>
      </c>
      <c r="AR43" t="s">
        <v>547</v>
      </c>
    </row>
    <row r="44" spans="1:44" x14ac:dyDescent="0.25">
      <c r="A44" t="s">
        <v>769</v>
      </c>
      <c r="B44" t="s">
        <v>770</v>
      </c>
      <c r="C44" t="s">
        <v>42</v>
      </c>
      <c r="D44" t="s">
        <v>771</v>
      </c>
      <c r="E44">
        <v>1</v>
      </c>
      <c r="F44" t="s">
        <v>112</v>
      </c>
      <c r="G44">
        <f>_xlfn.NUMBERVALUE(#REF!)</f>
        <v>138</v>
      </c>
      <c r="H44" t="s">
        <v>772</v>
      </c>
      <c r="I44" t="s">
        <v>114</v>
      </c>
      <c r="J44" t="s">
        <v>770</v>
      </c>
      <c r="K44" t="s">
        <v>773</v>
      </c>
      <c r="L44" t="s">
        <v>111</v>
      </c>
      <c r="M44" t="s">
        <v>111</v>
      </c>
      <c r="N44" t="s">
        <v>111</v>
      </c>
      <c r="O44" t="s">
        <v>111</v>
      </c>
      <c r="P44" t="s">
        <v>656</v>
      </c>
      <c r="Q44" t="s">
        <v>657</v>
      </c>
      <c r="R44" t="s">
        <v>487</v>
      </c>
      <c r="S44" t="s">
        <v>117</v>
      </c>
      <c r="T44" t="s">
        <v>545</v>
      </c>
      <c r="U44" s="8">
        <v>4</v>
      </c>
      <c r="V44" s="4">
        <v>5</v>
      </c>
      <c r="W44" s="4">
        <v>3</v>
      </c>
      <c r="X44" s="4">
        <v>5</v>
      </c>
      <c r="Y44" s="4">
        <v>3</v>
      </c>
      <c r="Z44" s="4">
        <v>5</v>
      </c>
      <c r="AA44" s="4">
        <v>5</v>
      </c>
      <c r="AB44" s="4">
        <v>1</v>
      </c>
      <c r="AC44" s="2">
        <v>3.5</v>
      </c>
      <c r="AD44" s="2">
        <f>IF(#REF! = 3, 1, IF(#REF! = 2.5, 0.5, IF(#REF! = 3.5, 0.5, 0)))</f>
        <v>0.5</v>
      </c>
      <c r="AE44" t="s">
        <v>130</v>
      </c>
      <c r="AF44">
        <f>IF(#REF!="PM &lt; 2.5 μm", 1, 0)</f>
        <v>0</v>
      </c>
      <c r="AG44" t="s">
        <v>155</v>
      </c>
      <c r="AH44">
        <f>IF(#REF!="Particles of this size are generally absorbed in the respiratory tract and safely excreted in mucus.", 1, 0)</f>
        <v>0</v>
      </c>
      <c r="AI44" t="s">
        <v>132</v>
      </c>
      <c r="AJ44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2</v>
      </c>
      <c r="AK44">
        <v>4</v>
      </c>
      <c r="AL44">
        <v>1</v>
      </c>
      <c r="AM44">
        <v>4</v>
      </c>
      <c r="AN44">
        <v>3</v>
      </c>
      <c r="AO44">
        <v>4</v>
      </c>
      <c r="AP44">
        <v>3</v>
      </c>
      <c r="AQ44">
        <v>8</v>
      </c>
      <c r="AR44" t="s">
        <v>774</v>
      </c>
    </row>
    <row r="45" spans="1:44" x14ac:dyDescent="0.25">
      <c r="A45" t="s">
        <v>515</v>
      </c>
      <c r="B45" t="s">
        <v>548</v>
      </c>
      <c r="C45" t="s">
        <v>42</v>
      </c>
      <c r="D45" t="s">
        <v>549</v>
      </c>
      <c r="E45">
        <v>1</v>
      </c>
      <c r="F45" t="s">
        <v>112</v>
      </c>
      <c r="G45">
        <f>_xlfn.NUMBERVALUE(#REF!)</f>
        <v>157</v>
      </c>
      <c r="H45" t="s">
        <v>550</v>
      </c>
      <c r="I45" t="s">
        <v>114</v>
      </c>
      <c r="J45" t="s">
        <v>551</v>
      </c>
      <c r="K45" t="s">
        <v>552</v>
      </c>
      <c r="L45" t="s">
        <v>111</v>
      </c>
      <c r="M45" t="s">
        <v>111</v>
      </c>
      <c r="N45" t="s">
        <v>111</v>
      </c>
      <c r="O45" t="s">
        <v>111</v>
      </c>
      <c r="P45" t="s">
        <v>115</v>
      </c>
      <c r="Q45" t="s">
        <v>116</v>
      </c>
      <c r="R45" t="s">
        <v>487</v>
      </c>
      <c r="S45" t="s">
        <v>117</v>
      </c>
      <c r="T45" t="s">
        <v>553</v>
      </c>
      <c r="U45" s="8">
        <v>2</v>
      </c>
      <c r="V45" s="4">
        <v>2</v>
      </c>
      <c r="W45" s="4">
        <v>5</v>
      </c>
      <c r="X45" s="4">
        <v>5</v>
      </c>
      <c r="Y45" s="4">
        <v>1</v>
      </c>
      <c r="Z45" s="4">
        <v>1</v>
      </c>
      <c r="AA45" s="4">
        <v>0</v>
      </c>
      <c r="AB45" s="4">
        <v>3</v>
      </c>
      <c r="AC45" s="2">
        <v>3</v>
      </c>
      <c r="AD45" s="2">
        <f>IF(#REF! = 3, 1, IF(#REF! = 2.5, 0.5, IF(#REF! = 3.5, 0.5, 0)))</f>
        <v>1</v>
      </c>
      <c r="AE45" t="s">
        <v>130</v>
      </c>
      <c r="AF45">
        <f>IF(#REF!="PM &lt; 2.5 μm", 1, 0)</f>
        <v>0</v>
      </c>
      <c r="AG45" t="s">
        <v>141</v>
      </c>
      <c r="AH45">
        <f>IF(#REF!="Particles of this size are generally absorbed in the respiratory tract and safely excreted in mucus.", 1, 0)</f>
        <v>0</v>
      </c>
      <c r="AI45" t="s">
        <v>142</v>
      </c>
      <c r="AJ45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2</v>
      </c>
      <c r="AK45">
        <v>3</v>
      </c>
      <c r="AL45">
        <v>0</v>
      </c>
      <c r="AM45">
        <v>3</v>
      </c>
      <c r="AN45">
        <v>0</v>
      </c>
      <c r="AO45">
        <v>1</v>
      </c>
      <c r="AP45">
        <v>4</v>
      </c>
      <c r="AQ45">
        <v>5</v>
      </c>
      <c r="AR45" t="s">
        <v>111</v>
      </c>
    </row>
    <row r="46" spans="1:44" x14ac:dyDescent="0.25">
      <c r="A46" t="s">
        <v>267</v>
      </c>
      <c r="B46" t="s">
        <v>268</v>
      </c>
      <c r="C46" t="s">
        <v>42</v>
      </c>
      <c r="D46" t="s">
        <v>269</v>
      </c>
      <c r="E46">
        <v>1</v>
      </c>
      <c r="F46" t="s">
        <v>112</v>
      </c>
      <c r="G46">
        <f>_xlfn.NUMBERVALUE(#REF!)</f>
        <v>301</v>
      </c>
      <c r="H46" t="s">
        <v>270</v>
      </c>
      <c r="I46" t="s">
        <v>114</v>
      </c>
      <c r="J46" t="s">
        <v>268</v>
      </c>
      <c r="K46" t="s">
        <v>271</v>
      </c>
      <c r="L46" t="s">
        <v>111</v>
      </c>
      <c r="M46" t="s">
        <v>111</v>
      </c>
      <c r="N46" t="s">
        <v>111</v>
      </c>
      <c r="O46" t="s">
        <v>111</v>
      </c>
      <c r="P46" t="s">
        <v>164</v>
      </c>
      <c r="Q46" t="s">
        <v>165</v>
      </c>
      <c r="R46" t="s">
        <v>127</v>
      </c>
      <c r="S46" t="s">
        <v>117</v>
      </c>
      <c r="T46" t="s">
        <v>272</v>
      </c>
      <c r="U46" s="8">
        <v>5</v>
      </c>
      <c r="V46" s="4">
        <v>5</v>
      </c>
      <c r="W46" s="4">
        <v>4</v>
      </c>
      <c r="X46" s="4">
        <v>5</v>
      </c>
      <c r="Y46" s="4">
        <v>1</v>
      </c>
      <c r="Z46" s="4">
        <v>2</v>
      </c>
      <c r="AA46" s="4">
        <v>5</v>
      </c>
      <c r="AB46" s="4">
        <v>2</v>
      </c>
      <c r="AC46" s="2">
        <v>3</v>
      </c>
      <c r="AD46" s="2">
        <f>IF(#REF! = 3, 1, IF(#REF! = 2.5, 0.5, IF(#REF! = 3.5, 0.5, 0)))</f>
        <v>1</v>
      </c>
      <c r="AE46" t="s">
        <v>166</v>
      </c>
      <c r="AF46">
        <f>IF(#REF!="PM &lt; 2.5 μm", 1, 0)</f>
        <v>0</v>
      </c>
      <c r="AG46" t="s">
        <v>131</v>
      </c>
      <c r="AH46">
        <f>IF(#REF!="Particles of this size are generally absorbed in the respiratory tract and safely excreted in mucus.", 1, 0)</f>
        <v>0</v>
      </c>
      <c r="AI46" t="s">
        <v>167</v>
      </c>
      <c r="AJ46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3</v>
      </c>
      <c r="AK46">
        <v>5</v>
      </c>
      <c r="AL46">
        <v>3</v>
      </c>
      <c r="AM46">
        <v>5</v>
      </c>
      <c r="AN46">
        <v>5</v>
      </c>
      <c r="AO46">
        <v>5</v>
      </c>
      <c r="AP46">
        <v>5</v>
      </c>
      <c r="AQ46">
        <v>10</v>
      </c>
      <c r="AR46" t="s">
        <v>273</v>
      </c>
    </row>
    <row r="47" spans="1:44" x14ac:dyDescent="0.25">
      <c r="A47" t="s">
        <v>469</v>
      </c>
      <c r="B47" t="s">
        <v>470</v>
      </c>
      <c r="C47" t="s">
        <v>42</v>
      </c>
      <c r="D47" t="s">
        <v>389</v>
      </c>
      <c r="E47">
        <v>1</v>
      </c>
      <c r="F47" t="s">
        <v>112</v>
      </c>
      <c r="G47">
        <f>_xlfn.NUMBERVALUE(#REF!)</f>
        <v>164</v>
      </c>
      <c r="H47" t="s">
        <v>432</v>
      </c>
      <c r="I47" t="s">
        <v>114</v>
      </c>
      <c r="J47" t="s">
        <v>471</v>
      </c>
      <c r="K47" t="s">
        <v>472</v>
      </c>
      <c r="L47" t="s">
        <v>111</v>
      </c>
      <c r="M47" t="s">
        <v>111</v>
      </c>
      <c r="N47" t="s">
        <v>111</v>
      </c>
      <c r="O47" t="s">
        <v>111</v>
      </c>
      <c r="P47" t="s">
        <v>392</v>
      </c>
      <c r="Q47" t="s">
        <v>393</v>
      </c>
      <c r="R47" t="s">
        <v>127</v>
      </c>
      <c r="S47" t="s">
        <v>117</v>
      </c>
      <c r="T47" t="s">
        <v>473</v>
      </c>
      <c r="U47" s="8">
        <v>4</v>
      </c>
      <c r="V47" s="4">
        <v>4</v>
      </c>
      <c r="W47" s="4">
        <v>5</v>
      </c>
      <c r="X47" s="4">
        <v>3</v>
      </c>
      <c r="Y47" s="4">
        <v>2</v>
      </c>
      <c r="Z47" s="4">
        <v>3</v>
      </c>
      <c r="AA47" s="4">
        <v>5</v>
      </c>
      <c r="AB47" s="4">
        <v>2</v>
      </c>
      <c r="AC47" s="2">
        <v>2</v>
      </c>
      <c r="AD47" s="2">
        <f>IF(#REF! = 3, 1, IF(#REF! = 2.5, 0.5, IF(#REF! = 3.5, 0.5, 0)))</f>
        <v>0</v>
      </c>
      <c r="AE47" t="s">
        <v>140</v>
      </c>
      <c r="AF47">
        <f>IF(#REF!="PM &lt; 2.5 μm", 1, 0)</f>
        <v>1</v>
      </c>
      <c r="AG47" t="s">
        <v>141</v>
      </c>
      <c r="AH47">
        <f>IF(#REF!="Particles of this size are generally absorbed in the respiratory tract and safely excreted in mucus.", 1, 0)</f>
        <v>0</v>
      </c>
      <c r="AI47" t="s">
        <v>156</v>
      </c>
      <c r="AJ47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4</v>
      </c>
      <c r="AK47">
        <v>4</v>
      </c>
      <c r="AL47">
        <v>1</v>
      </c>
      <c r="AM47">
        <v>2</v>
      </c>
      <c r="AN47">
        <v>1</v>
      </c>
      <c r="AO47">
        <v>4</v>
      </c>
      <c r="AP47">
        <v>4</v>
      </c>
      <c r="AQ47">
        <v>8</v>
      </c>
      <c r="AR47" t="s">
        <v>474</v>
      </c>
    </row>
    <row r="48" spans="1:44" x14ac:dyDescent="0.25">
      <c r="A48" t="s">
        <v>429</v>
      </c>
      <c r="B48" t="s">
        <v>430</v>
      </c>
      <c r="C48" t="s">
        <v>42</v>
      </c>
      <c r="D48" t="s">
        <v>431</v>
      </c>
      <c r="E48">
        <v>1</v>
      </c>
      <c r="F48" t="s">
        <v>112</v>
      </c>
      <c r="G48">
        <f>_xlfn.NUMBERVALUE(#REF!)</f>
        <v>164</v>
      </c>
      <c r="H48" t="s">
        <v>432</v>
      </c>
      <c r="I48" t="s">
        <v>114</v>
      </c>
      <c r="J48" t="s">
        <v>433</v>
      </c>
      <c r="K48" t="s">
        <v>434</v>
      </c>
      <c r="L48" t="s">
        <v>111</v>
      </c>
      <c r="M48" t="s">
        <v>111</v>
      </c>
      <c r="N48" t="s">
        <v>111</v>
      </c>
      <c r="O48" t="s">
        <v>111</v>
      </c>
      <c r="P48" t="s">
        <v>435</v>
      </c>
      <c r="Q48" t="s">
        <v>436</v>
      </c>
      <c r="R48" t="s">
        <v>127</v>
      </c>
      <c r="S48" t="s">
        <v>117</v>
      </c>
      <c r="T48" t="s">
        <v>437</v>
      </c>
      <c r="U48" s="8">
        <v>4</v>
      </c>
      <c r="V48" s="4">
        <v>4</v>
      </c>
      <c r="W48" s="4">
        <v>4</v>
      </c>
      <c r="X48" s="4">
        <v>4</v>
      </c>
      <c r="Y48" s="4">
        <v>4</v>
      </c>
      <c r="Z48" s="4">
        <v>5</v>
      </c>
      <c r="AA48" s="4">
        <v>5</v>
      </c>
      <c r="AB48" s="4">
        <v>4</v>
      </c>
      <c r="AC48" s="2">
        <v>3</v>
      </c>
      <c r="AD48" s="2">
        <f>IF(#REF! = 3, 1, IF(#REF! = 2.5, 0.5, IF(#REF! = 3.5, 0.5, 0)))</f>
        <v>1</v>
      </c>
      <c r="AE48" t="s">
        <v>154</v>
      </c>
      <c r="AF48">
        <f>IF(#REF!="PM &lt; 2.5 μm", 1, 0)</f>
        <v>0</v>
      </c>
      <c r="AG48" t="s">
        <v>175</v>
      </c>
      <c r="AH48">
        <f>IF(#REF!="Particles of this size are generally absorbed in the respiratory tract and safely excreted in mucus.", 1, 0)</f>
        <v>1</v>
      </c>
      <c r="AI48" t="s">
        <v>142</v>
      </c>
      <c r="AJ48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2</v>
      </c>
      <c r="AK48">
        <v>5</v>
      </c>
      <c r="AL48">
        <v>2</v>
      </c>
      <c r="AM48">
        <v>4</v>
      </c>
      <c r="AN48">
        <v>4</v>
      </c>
      <c r="AO48">
        <v>4</v>
      </c>
      <c r="AP48">
        <v>2</v>
      </c>
      <c r="AQ48">
        <v>7</v>
      </c>
      <c r="AR48" t="s">
        <v>111</v>
      </c>
    </row>
    <row r="49" spans="1:44" x14ac:dyDescent="0.25">
      <c r="A49" t="s">
        <v>794</v>
      </c>
      <c r="B49" t="s">
        <v>795</v>
      </c>
      <c r="C49" t="s">
        <v>42</v>
      </c>
      <c r="D49" t="s">
        <v>389</v>
      </c>
      <c r="E49">
        <v>1</v>
      </c>
      <c r="F49" t="s">
        <v>112</v>
      </c>
      <c r="G49">
        <f>_xlfn.NUMBERVALUE(#REF!)</f>
        <v>5259</v>
      </c>
      <c r="H49" t="s">
        <v>796</v>
      </c>
      <c r="I49" t="s">
        <v>114</v>
      </c>
      <c r="J49" t="s">
        <v>797</v>
      </c>
      <c r="K49" t="s">
        <v>798</v>
      </c>
      <c r="L49" t="s">
        <v>111</v>
      </c>
      <c r="M49" t="s">
        <v>111</v>
      </c>
      <c r="N49" t="s">
        <v>111</v>
      </c>
      <c r="O49" t="s">
        <v>111</v>
      </c>
      <c r="P49" t="s">
        <v>392</v>
      </c>
      <c r="Q49" t="s">
        <v>393</v>
      </c>
      <c r="R49" t="s">
        <v>487</v>
      </c>
      <c r="S49" t="s">
        <v>117</v>
      </c>
      <c r="T49" t="s">
        <v>799</v>
      </c>
      <c r="U49" s="8">
        <v>4</v>
      </c>
      <c r="V49" s="4">
        <v>4</v>
      </c>
      <c r="W49" s="4">
        <v>4</v>
      </c>
      <c r="X49" s="4">
        <v>5</v>
      </c>
      <c r="Y49" s="4">
        <v>4</v>
      </c>
      <c r="Z49" s="4">
        <v>3</v>
      </c>
      <c r="AA49" s="4">
        <v>5</v>
      </c>
      <c r="AB49" s="4">
        <v>5</v>
      </c>
      <c r="AC49" s="2">
        <v>3</v>
      </c>
      <c r="AD49" s="2">
        <f>IF(#REF! = 3, 1, IF(#REF! = 2.5, 0.5, IF(#REF! = 3.5, 0.5, 0)))</f>
        <v>1</v>
      </c>
      <c r="AE49" t="s">
        <v>154</v>
      </c>
      <c r="AF49">
        <f>IF(#REF!="PM &lt; 2.5 μm", 1, 0)</f>
        <v>0</v>
      </c>
      <c r="AG49" t="s">
        <v>175</v>
      </c>
      <c r="AH49">
        <f>IF(#REF!="Particles of this size are generally absorbed in the respiratory tract and safely excreted in mucus.", 1, 0)</f>
        <v>1</v>
      </c>
      <c r="AI49" t="s">
        <v>526</v>
      </c>
      <c r="AJ49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-1</v>
      </c>
      <c r="AQ49">
        <v>5</v>
      </c>
      <c r="AR49" t="s">
        <v>314</v>
      </c>
    </row>
    <row r="50" spans="1:44" x14ac:dyDescent="0.25">
      <c r="A50" t="s">
        <v>765</v>
      </c>
      <c r="B50" t="s">
        <v>766</v>
      </c>
      <c r="C50" t="s">
        <v>42</v>
      </c>
      <c r="D50" t="s">
        <v>389</v>
      </c>
      <c r="E50">
        <v>1</v>
      </c>
      <c r="F50" t="s">
        <v>112</v>
      </c>
      <c r="G50">
        <f>_xlfn.NUMBERVALUE(#REF!)</f>
        <v>100</v>
      </c>
      <c r="H50" t="s">
        <v>112</v>
      </c>
      <c r="I50" t="s">
        <v>114</v>
      </c>
      <c r="J50" t="s">
        <v>766</v>
      </c>
      <c r="K50" t="s">
        <v>767</v>
      </c>
      <c r="L50" t="s">
        <v>111</v>
      </c>
      <c r="M50" t="s">
        <v>111</v>
      </c>
      <c r="N50" t="s">
        <v>111</v>
      </c>
      <c r="O50" t="s">
        <v>111</v>
      </c>
      <c r="P50" t="s">
        <v>392</v>
      </c>
      <c r="Q50" t="s">
        <v>393</v>
      </c>
      <c r="R50" t="s">
        <v>487</v>
      </c>
      <c r="S50" t="s">
        <v>117</v>
      </c>
      <c r="T50" t="s">
        <v>768</v>
      </c>
      <c r="U50" s="8">
        <v>5</v>
      </c>
      <c r="V50" s="4">
        <v>4</v>
      </c>
      <c r="W50" s="4">
        <v>5</v>
      </c>
      <c r="X50" s="4">
        <v>5</v>
      </c>
      <c r="Y50" s="4">
        <v>5</v>
      </c>
      <c r="Z50" s="4">
        <v>5</v>
      </c>
      <c r="AA50" s="4">
        <v>5</v>
      </c>
      <c r="AB50" s="4">
        <v>5</v>
      </c>
      <c r="AC50" s="2">
        <v>4.5</v>
      </c>
      <c r="AD50" s="2">
        <f>IF(#REF! = 3, 1, IF(#REF! = 2.5, 0.5, IF(#REF! = 3.5, 0.5, 0)))</f>
        <v>0</v>
      </c>
      <c r="AE50" t="s">
        <v>130</v>
      </c>
      <c r="AF50">
        <f>IF(#REF!="PM &lt; 2.5 μm", 1, 0)</f>
        <v>0</v>
      </c>
      <c r="AG50" t="s">
        <v>141</v>
      </c>
      <c r="AH50">
        <f>IF(#REF!="Particles of this size are generally absorbed in the respiratory tract and safely excreted in mucus.", 1, 0)</f>
        <v>0</v>
      </c>
      <c r="AI50" t="s">
        <v>156</v>
      </c>
      <c r="AJ50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4</v>
      </c>
      <c r="AK50">
        <v>5</v>
      </c>
      <c r="AL50">
        <v>5</v>
      </c>
      <c r="AM50">
        <v>5</v>
      </c>
      <c r="AN50">
        <v>5</v>
      </c>
      <c r="AO50">
        <v>5</v>
      </c>
      <c r="AP50">
        <v>3</v>
      </c>
      <c r="AQ50">
        <v>10</v>
      </c>
      <c r="AR50" t="s">
        <v>111</v>
      </c>
    </row>
    <row r="51" spans="1:44" x14ac:dyDescent="0.25">
      <c r="A51" t="s">
        <v>779</v>
      </c>
      <c r="B51" t="s">
        <v>780</v>
      </c>
      <c r="C51" t="s">
        <v>42</v>
      </c>
      <c r="D51" t="s">
        <v>389</v>
      </c>
      <c r="E51">
        <v>1</v>
      </c>
      <c r="F51" t="s">
        <v>112</v>
      </c>
      <c r="G51">
        <f>_xlfn.NUMBERVALUE(#REF!)</f>
        <v>5879</v>
      </c>
      <c r="H51" t="s">
        <v>781</v>
      </c>
      <c r="I51" t="s">
        <v>114</v>
      </c>
      <c r="J51" t="s">
        <v>780</v>
      </c>
      <c r="K51" t="s">
        <v>782</v>
      </c>
      <c r="L51" t="s">
        <v>111</v>
      </c>
      <c r="M51" t="s">
        <v>111</v>
      </c>
      <c r="N51" t="s">
        <v>111</v>
      </c>
      <c r="O51" t="s">
        <v>111</v>
      </c>
      <c r="P51" t="s">
        <v>392</v>
      </c>
      <c r="Q51" t="s">
        <v>393</v>
      </c>
      <c r="R51" t="s">
        <v>127</v>
      </c>
      <c r="S51" t="s">
        <v>117</v>
      </c>
      <c r="T51" t="s">
        <v>783</v>
      </c>
      <c r="U51" s="8">
        <v>4</v>
      </c>
      <c r="V51" s="4">
        <v>3</v>
      </c>
      <c r="W51" s="4">
        <v>2</v>
      </c>
      <c r="X51" s="4">
        <v>5</v>
      </c>
      <c r="Y51" s="4">
        <v>2</v>
      </c>
      <c r="Z51" s="4">
        <v>5</v>
      </c>
      <c r="AA51" s="4">
        <v>5</v>
      </c>
      <c r="AB51" s="4">
        <v>1</v>
      </c>
      <c r="AC51" s="2">
        <v>5</v>
      </c>
      <c r="AD51" s="2">
        <f>IF(#REF! = 3, 1, IF(#REF! = 2.5, 0.5, IF(#REF! = 3.5, 0.5, 0)))</f>
        <v>0</v>
      </c>
      <c r="AE51" t="s">
        <v>130</v>
      </c>
      <c r="AF51">
        <f>IF(#REF!="PM &lt; 2.5 μm", 1, 0)</f>
        <v>0</v>
      </c>
      <c r="AG51" t="s">
        <v>155</v>
      </c>
      <c r="AH51">
        <f>IF(#REF!="Particles of this size are generally absorbed in the respiratory tract and safely excreted in mucus.", 1, 0)</f>
        <v>0</v>
      </c>
      <c r="AI51" t="s">
        <v>526</v>
      </c>
      <c r="AJ51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-1</v>
      </c>
      <c r="AK51">
        <v>5</v>
      </c>
      <c r="AL51">
        <v>3</v>
      </c>
      <c r="AM51">
        <v>1</v>
      </c>
      <c r="AN51">
        <v>1</v>
      </c>
      <c r="AO51">
        <v>2</v>
      </c>
      <c r="AP51">
        <v>5</v>
      </c>
      <c r="AQ51">
        <v>8</v>
      </c>
      <c r="AR51" t="s">
        <v>784</v>
      </c>
    </row>
    <row r="52" spans="1:44" x14ac:dyDescent="0.25">
      <c r="A52" t="s">
        <v>282</v>
      </c>
      <c r="B52" t="s">
        <v>283</v>
      </c>
      <c r="C52" t="s">
        <v>42</v>
      </c>
      <c r="D52" t="s">
        <v>284</v>
      </c>
      <c r="E52">
        <v>1</v>
      </c>
      <c r="F52" t="s">
        <v>112</v>
      </c>
      <c r="G52">
        <f>_xlfn.NUMBERVALUE(#REF!)</f>
        <v>216</v>
      </c>
      <c r="H52" t="s">
        <v>285</v>
      </c>
      <c r="I52" t="s">
        <v>114</v>
      </c>
      <c r="J52" t="s">
        <v>286</v>
      </c>
      <c r="K52" t="s">
        <v>287</v>
      </c>
      <c r="L52" t="s">
        <v>111</v>
      </c>
      <c r="M52" t="s">
        <v>111</v>
      </c>
      <c r="N52" t="s">
        <v>111</v>
      </c>
      <c r="O52" t="s">
        <v>111</v>
      </c>
      <c r="P52" t="s">
        <v>288</v>
      </c>
      <c r="Q52" t="s">
        <v>289</v>
      </c>
      <c r="R52" t="s">
        <v>127</v>
      </c>
      <c r="S52" t="s">
        <v>117</v>
      </c>
      <c r="T52" t="s">
        <v>290</v>
      </c>
      <c r="U52" s="8">
        <v>3</v>
      </c>
      <c r="V52" s="4">
        <v>2</v>
      </c>
      <c r="W52" s="4">
        <v>3</v>
      </c>
      <c r="X52" s="4">
        <v>5</v>
      </c>
      <c r="Y52" s="4">
        <v>3</v>
      </c>
      <c r="Z52" s="4">
        <v>3</v>
      </c>
      <c r="AA52" s="4">
        <v>5</v>
      </c>
      <c r="AB52" s="4">
        <v>1</v>
      </c>
      <c r="AC52" s="2">
        <v>3</v>
      </c>
      <c r="AD52" s="2">
        <f>IF(#REF! = 3, 1, IF(#REF! = 2.5, 0.5, IF(#REF! = 3.5, 0.5, 0)))</f>
        <v>1</v>
      </c>
      <c r="AE52" t="s">
        <v>166</v>
      </c>
      <c r="AF52">
        <f>IF(#REF!="PM &lt; 2.5 μm", 1, 0)</f>
        <v>0</v>
      </c>
      <c r="AG52" t="s">
        <v>131</v>
      </c>
      <c r="AH52">
        <f>IF(#REF!="Particles of this size are generally absorbed in the respiratory tract and safely excreted in mucus.", 1, 0)</f>
        <v>0</v>
      </c>
      <c r="AI52" t="s">
        <v>224</v>
      </c>
      <c r="AJ52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1</v>
      </c>
      <c r="AK52">
        <v>1</v>
      </c>
      <c r="AL52">
        <v>1</v>
      </c>
      <c r="AM52">
        <v>3</v>
      </c>
      <c r="AN52">
        <v>1</v>
      </c>
      <c r="AO52">
        <v>3</v>
      </c>
      <c r="AP52">
        <v>2</v>
      </c>
      <c r="AQ52">
        <v>7</v>
      </c>
      <c r="AR52" t="s">
        <v>291</v>
      </c>
    </row>
    <row r="53" spans="1:44" x14ac:dyDescent="0.25">
      <c r="A53" t="s">
        <v>756</v>
      </c>
      <c r="B53" t="s">
        <v>757</v>
      </c>
      <c r="C53" t="s">
        <v>42</v>
      </c>
      <c r="D53" t="s">
        <v>758</v>
      </c>
      <c r="E53">
        <v>1</v>
      </c>
      <c r="F53" t="s">
        <v>112</v>
      </c>
      <c r="G53">
        <f>_xlfn.NUMBERVALUE(#REF!)</f>
        <v>198</v>
      </c>
      <c r="H53" t="s">
        <v>759</v>
      </c>
      <c r="I53" t="s">
        <v>114</v>
      </c>
      <c r="J53" t="s">
        <v>757</v>
      </c>
      <c r="K53" t="s">
        <v>760</v>
      </c>
      <c r="L53" t="s">
        <v>111</v>
      </c>
      <c r="M53" t="s">
        <v>111</v>
      </c>
      <c r="N53" t="s">
        <v>111</v>
      </c>
      <c r="O53" t="s">
        <v>111</v>
      </c>
      <c r="P53" t="s">
        <v>761</v>
      </c>
      <c r="Q53" t="s">
        <v>762</v>
      </c>
      <c r="R53" t="s">
        <v>127</v>
      </c>
      <c r="S53" t="s">
        <v>117</v>
      </c>
      <c r="T53" t="s">
        <v>763</v>
      </c>
      <c r="U53" s="8">
        <v>5</v>
      </c>
      <c r="V53" s="4">
        <v>5</v>
      </c>
      <c r="W53" s="4">
        <v>3</v>
      </c>
      <c r="X53" s="4">
        <v>5</v>
      </c>
      <c r="Y53" s="4">
        <v>4</v>
      </c>
      <c r="Z53" s="4">
        <v>5</v>
      </c>
      <c r="AA53" s="4">
        <v>5</v>
      </c>
      <c r="AB53" s="4">
        <v>3</v>
      </c>
      <c r="AC53" s="2">
        <v>4</v>
      </c>
      <c r="AD53" s="2">
        <f>IF(#REF! = 3, 1, IF(#REF! = 2.5, 0.5, IF(#REF! = 3.5, 0.5, 0)))</f>
        <v>0</v>
      </c>
      <c r="AE53" t="s">
        <v>185</v>
      </c>
      <c r="AF53">
        <f>IF(#REF!="PM &lt; 2.5 μm", 1, 0)</f>
        <v>0</v>
      </c>
      <c r="AG53" t="s">
        <v>131</v>
      </c>
      <c r="AH53">
        <f>IF(#REF!="Particles of this size are generally absorbed in the respiratory tract and safely excreted in mucus.", 1, 0)</f>
        <v>0</v>
      </c>
      <c r="AI53" t="s">
        <v>186</v>
      </c>
      <c r="AJ53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3</v>
      </c>
      <c r="AK53">
        <v>4</v>
      </c>
      <c r="AL53">
        <v>2</v>
      </c>
      <c r="AM53">
        <v>4</v>
      </c>
      <c r="AN53">
        <v>5</v>
      </c>
      <c r="AO53">
        <v>5</v>
      </c>
      <c r="AP53">
        <v>4</v>
      </c>
      <c r="AQ53">
        <v>10</v>
      </c>
      <c r="AR53" t="s">
        <v>764</v>
      </c>
    </row>
    <row r="54" spans="1:44" x14ac:dyDescent="0.25">
      <c r="A54" t="s">
        <v>197</v>
      </c>
      <c r="B54" t="s">
        <v>198</v>
      </c>
      <c r="C54" t="s">
        <v>42</v>
      </c>
      <c r="D54" t="s">
        <v>199</v>
      </c>
      <c r="E54">
        <v>1</v>
      </c>
      <c r="F54" t="s">
        <v>112</v>
      </c>
      <c r="G54">
        <f>_xlfn.NUMBERVALUE(#REF!)</f>
        <v>234</v>
      </c>
      <c r="H54" t="s">
        <v>200</v>
      </c>
      <c r="I54" t="s">
        <v>114</v>
      </c>
      <c r="J54" t="s">
        <v>201</v>
      </c>
      <c r="K54" t="s">
        <v>202</v>
      </c>
      <c r="L54" t="s">
        <v>111</v>
      </c>
      <c r="M54" t="s">
        <v>111</v>
      </c>
      <c r="N54" t="s">
        <v>111</v>
      </c>
      <c r="O54" t="s">
        <v>111</v>
      </c>
      <c r="P54" t="s">
        <v>203</v>
      </c>
      <c r="Q54" t="s">
        <v>204</v>
      </c>
      <c r="R54" t="s">
        <v>127</v>
      </c>
      <c r="S54" t="s">
        <v>117</v>
      </c>
      <c r="T54" t="s">
        <v>205</v>
      </c>
      <c r="U54" s="8">
        <v>5</v>
      </c>
      <c r="V54" s="4">
        <v>5</v>
      </c>
      <c r="W54" s="4">
        <v>5</v>
      </c>
      <c r="X54" s="4">
        <v>5</v>
      </c>
      <c r="Y54" s="4">
        <v>4</v>
      </c>
      <c r="Z54" s="4">
        <v>4</v>
      </c>
      <c r="AA54" s="4">
        <v>5</v>
      </c>
      <c r="AB54" s="4">
        <v>5</v>
      </c>
      <c r="AC54" s="2">
        <v>3.5</v>
      </c>
      <c r="AD54" s="2">
        <f>IF(#REF! = 3, 1, IF(#REF! = 2.5, 0.5, IF(#REF! = 3.5, 0.5, 0)))</f>
        <v>0.5</v>
      </c>
      <c r="AE54" t="s">
        <v>130</v>
      </c>
      <c r="AF54">
        <f>IF(#REF!="PM &lt; 2.5 μm", 1, 0)</f>
        <v>0</v>
      </c>
      <c r="AG54" t="s">
        <v>141</v>
      </c>
      <c r="AH54">
        <f>IF(#REF!="Particles of this size are generally absorbed in the respiratory tract and safely excreted in mucus.", 1, 0)</f>
        <v>0</v>
      </c>
      <c r="AI54" t="s">
        <v>206</v>
      </c>
      <c r="AJ54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2</v>
      </c>
      <c r="AK54">
        <v>5</v>
      </c>
      <c r="AL54">
        <v>4</v>
      </c>
      <c r="AM54">
        <v>5</v>
      </c>
      <c r="AN54">
        <v>4</v>
      </c>
      <c r="AO54">
        <v>5</v>
      </c>
      <c r="AP54">
        <v>4</v>
      </c>
      <c r="AQ54">
        <v>9</v>
      </c>
      <c r="AR54" t="s">
        <v>208</v>
      </c>
    </row>
    <row r="55" spans="1:44" x14ac:dyDescent="0.25">
      <c r="A55" t="s">
        <v>727</v>
      </c>
      <c r="B55" t="s">
        <v>728</v>
      </c>
      <c r="C55" t="s">
        <v>42</v>
      </c>
      <c r="D55" t="s">
        <v>389</v>
      </c>
      <c r="E55">
        <v>1</v>
      </c>
      <c r="F55" t="s">
        <v>112</v>
      </c>
      <c r="G55">
        <f>_xlfn.NUMBERVALUE(#REF!)</f>
        <v>81</v>
      </c>
      <c r="H55" t="s">
        <v>729</v>
      </c>
      <c r="I55" t="s">
        <v>114</v>
      </c>
      <c r="J55" t="s">
        <v>728</v>
      </c>
      <c r="K55" t="s">
        <v>730</v>
      </c>
      <c r="L55" t="s">
        <v>111</v>
      </c>
      <c r="M55" t="s">
        <v>111</v>
      </c>
      <c r="N55" t="s">
        <v>111</v>
      </c>
      <c r="O55" t="s">
        <v>111</v>
      </c>
      <c r="P55" t="s">
        <v>392</v>
      </c>
      <c r="Q55" t="s">
        <v>393</v>
      </c>
      <c r="R55" t="s">
        <v>127</v>
      </c>
      <c r="S55" t="s">
        <v>117</v>
      </c>
      <c r="T55" t="s">
        <v>731</v>
      </c>
      <c r="U55" s="8">
        <v>4</v>
      </c>
      <c r="V55" s="4">
        <v>5</v>
      </c>
      <c r="W55" s="4">
        <v>4</v>
      </c>
      <c r="X55" s="4">
        <v>5</v>
      </c>
      <c r="Y55" s="4">
        <v>4</v>
      </c>
      <c r="Z55" s="4">
        <v>3</v>
      </c>
      <c r="AA55" s="4">
        <v>5</v>
      </c>
      <c r="AB55" s="4">
        <v>4</v>
      </c>
      <c r="AC55" s="2">
        <v>4</v>
      </c>
      <c r="AD55" s="2">
        <f>IF(#REF! = 3, 1, IF(#REF! = 2.5, 0.5, IF(#REF! = 3.5, 0.5, 0)))</f>
        <v>0</v>
      </c>
      <c r="AE55" t="s">
        <v>154</v>
      </c>
      <c r="AF55">
        <f>IF(#REF!="PM &lt; 2.5 μm", 1, 0)</f>
        <v>0</v>
      </c>
      <c r="AG55" t="s">
        <v>141</v>
      </c>
      <c r="AH55">
        <f>IF(#REF!="Particles of this size are generally absorbed in the respiratory tract and safely excreted in mucus.", 1, 0)</f>
        <v>0</v>
      </c>
      <c r="AI55" t="s">
        <v>280</v>
      </c>
      <c r="AJ55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2</v>
      </c>
      <c r="AK55">
        <v>5</v>
      </c>
      <c r="AL55">
        <v>3</v>
      </c>
      <c r="AM55">
        <v>5</v>
      </c>
      <c r="AN55">
        <v>5</v>
      </c>
      <c r="AO55">
        <v>5</v>
      </c>
      <c r="AP55">
        <v>4</v>
      </c>
      <c r="AQ55">
        <v>9</v>
      </c>
      <c r="AR55" t="s">
        <v>111</v>
      </c>
    </row>
    <row r="56" spans="1:44" x14ac:dyDescent="0.25">
      <c r="A56" t="s">
        <v>672</v>
      </c>
      <c r="B56" t="s">
        <v>673</v>
      </c>
      <c r="C56" t="s">
        <v>42</v>
      </c>
      <c r="D56" t="s">
        <v>674</v>
      </c>
      <c r="E56">
        <v>1</v>
      </c>
      <c r="F56" t="s">
        <v>112</v>
      </c>
      <c r="G56">
        <f>_xlfn.NUMBERVALUE(#REF!)</f>
        <v>320</v>
      </c>
      <c r="H56" t="s">
        <v>675</v>
      </c>
      <c r="I56" t="s">
        <v>114</v>
      </c>
      <c r="J56" t="s">
        <v>673</v>
      </c>
      <c r="K56" t="s">
        <v>676</v>
      </c>
      <c r="L56" t="s">
        <v>111</v>
      </c>
      <c r="M56" t="s">
        <v>111</v>
      </c>
      <c r="N56" t="s">
        <v>111</v>
      </c>
      <c r="O56" t="s">
        <v>111</v>
      </c>
      <c r="P56" t="s">
        <v>351</v>
      </c>
      <c r="Q56" t="s">
        <v>352</v>
      </c>
      <c r="R56" t="s">
        <v>487</v>
      </c>
      <c r="S56" t="s">
        <v>117</v>
      </c>
      <c r="T56" t="s">
        <v>677</v>
      </c>
      <c r="U56" s="8">
        <v>5</v>
      </c>
      <c r="V56" s="4">
        <v>3</v>
      </c>
      <c r="W56" s="4">
        <v>5</v>
      </c>
      <c r="X56" s="4">
        <v>5</v>
      </c>
      <c r="Y56" s="4">
        <v>3</v>
      </c>
      <c r="Z56" s="4">
        <v>4</v>
      </c>
      <c r="AA56" s="4">
        <v>5</v>
      </c>
      <c r="AB56" s="4">
        <v>5</v>
      </c>
      <c r="AC56" s="2">
        <v>3</v>
      </c>
      <c r="AD56" s="2">
        <f>IF(#REF! = 3, 1, IF(#REF! = 2.5, 0.5, IF(#REF! = 3.5, 0.5, 0)))</f>
        <v>1</v>
      </c>
      <c r="AE56" t="s">
        <v>154</v>
      </c>
      <c r="AF56">
        <f>IF(#REF!="PM &lt; 2.5 μm", 1, 0)</f>
        <v>0</v>
      </c>
      <c r="AG56" t="s">
        <v>175</v>
      </c>
      <c r="AH56">
        <f>IF(#REF!="Particles of this size are generally absorbed in the respiratory tract and safely excreted in mucus.", 1, 0)</f>
        <v>1</v>
      </c>
      <c r="AI56" t="s">
        <v>186</v>
      </c>
      <c r="AJ56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3</v>
      </c>
      <c r="AK56">
        <v>3</v>
      </c>
      <c r="AL56">
        <v>4</v>
      </c>
      <c r="AM56">
        <v>4</v>
      </c>
      <c r="AN56">
        <v>4</v>
      </c>
      <c r="AO56">
        <v>4</v>
      </c>
      <c r="AP56">
        <v>4</v>
      </c>
      <c r="AQ56">
        <v>8</v>
      </c>
      <c r="AR56" t="s">
        <v>678</v>
      </c>
    </row>
    <row r="57" spans="1:44" x14ac:dyDescent="0.25">
      <c r="A57" t="s">
        <v>443</v>
      </c>
      <c r="B57" t="s">
        <v>444</v>
      </c>
      <c r="C57" t="s">
        <v>42</v>
      </c>
      <c r="D57" t="s">
        <v>445</v>
      </c>
      <c r="E57">
        <v>1</v>
      </c>
      <c r="F57" t="s">
        <v>112</v>
      </c>
      <c r="G57">
        <f>_xlfn.NUMBERVALUE(#REF!)</f>
        <v>77</v>
      </c>
      <c r="H57" t="s">
        <v>446</v>
      </c>
      <c r="I57" t="s">
        <v>114</v>
      </c>
      <c r="J57" t="s">
        <v>447</v>
      </c>
      <c r="K57" t="s">
        <v>448</v>
      </c>
      <c r="L57" t="s">
        <v>111</v>
      </c>
      <c r="M57" t="s">
        <v>111</v>
      </c>
      <c r="N57" t="s">
        <v>111</v>
      </c>
      <c r="O57" t="s">
        <v>111</v>
      </c>
      <c r="P57" t="s">
        <v>351</v>
      </c>
      <c r="Q57" t="s">
        <v>352</v>
      </c>
      <c r="R57" t="s">
        <v>127</v>
      </c>
      <c r="S57" t="s">
        <v>117</v>
      </c>
      <c r="T57" t="s">
        <v>449</v>
      </c>
      <c r="U57" s="8">
        <v>5</v>
      </c>
      <c r="V57" s="4">
        <v>5</v>
      </c>
      <c r="W57" s="4">
        <v>5</v>
      </c>
      <c r="X57" s="4">
        <v>5</v>
      </c>
      <c r="Y57" s="4">
        <v>3</v>
      </c>
      <c r="Z57" s="4">
        <v>3</v>
      </c>
      <c r="AA57" s="4">
        <v>5</v>
      </c>
      <c r="AB57" s="4">
        <v>2</v>
      </c>
      <c r="AC57" s="2">
        <v>2.5</v>
      </c>
      <c r="AD57" s="2">
        <f>IF(#REF! = 3, 1, IF(#REF! = 2.5, 0.5, IF(#REF! = 3.5, 0.5, 0)))</f>
        <v>0.5</v>
      </c>
      <c r="AE57" t="s">
        <v>154</v>
      </c>
      <c r="AF57">
        <f>IF(#REF!="PM &lt; 2.5 μm", 1, 0)</f>
        <v>0</v>
      </c>
      <c r="AG57" t="s">
        <v>141</v>
      </c>
      <c r="AH57">
        <f>IF(#REF!="Particles of this size are generally absorbed in the respiratory tract and safely excreted in mucus.", 1, 0)</f>
        <v>0</v>
      </c>
      <c r="AI57" t="s">
        <v>450</v>
      </c>
      <c r="AJ57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2</v>
      </c>
      <c r="AK57">
        <v>3</v>
      </c>
      <c r="AL57">
        <v>4</v>
      </c>
      <c r="AN57">
        <v>4</v>
      </c>
      <c r="AO57">
        <v>4</v>
      </c>
      <c r="AP57">
        <v>4</v>
      </c>
      <c r="AQ57">
        <v>8</v>
      </c>
      <c r="AR57" t="s">
        <v>111</v>
      </c>
    </row>
    <row r="58" spans="1:44" x14ac:dyDescent="0.25">
      <c r="A58" t="s">
        <v>233</v>
      </c>
      <c r="B58" t="s">
        <v>234</v>
      </c>
      <c r="C58" t="s">
        <v>42</v>
      </c>
      <c r="D58" t="s">
        <v>235</v>
      </c>
      <c r="E58">
        <v>1</v>
      </c>
      <c r="F58" t="s">
        <v>112</v>
      </c>
      <c r="G58">
        <f>_xlfn.NUMBERVALUE(#REF!)</f>
        <v>174</v>
      </c>
      <c r="H58" t="s">
        <v>236</v>
      </c>
      <c r="I58" t="s">
        <v>114</v>
      </c>
      <c r="J58" t="s">
        <v>234</v>
      </c>
      <c r="K58" t="s">
        <v>237</v>
      </c>
      <c r="L58" t="s">
        <v>111</v>
      </c>
      <c r="M58" t="s">
        <v>111</v>
      </c>
      <c r="N58" t="s">
        <v>111</v>
      </c>
      <c r="O58" t="s">
        <v>111</v>
      </c>
      <c r="P58" t="s">
        <v>238</v>
      </c>
      <c r="Q58" t="s">
        <v>239</v>
      </c>
      <c r="R58" t="s">
        <v>127</v>
      </c>
      <c r="S58" t="s">
        <v>117</v>
      </c>
      <c r="T58" t="s">
        <v>240</v>
      </c>
      <c r="U58" s="8">
        <v>5</v>
      </c>
      <c r="V58" s="4">
        <v>4</v>
      </c>
      <c r="W58" s="4">
        <v>3</v>
      </c>
      <c r="X58" s="4">
        <v>4</v>
      </c>
      <c r="Y58" s="4">
        <v>3</v>
      </c>
      <c r="Z58" s="4">
        <v>4</v>
      </c>
      <c r="AA58" s="4">
        <v>5</v>
      </c>
      <c r="AB58" s="4">
        <v>2</v>
      </c>
      <c r="AC58" s="2">
        <v>4</v>
      </c>
      <c r="AD58" s="2">
        <f>IF(#REF! = 3, 1, IF(#REF! = 2.5, 0.5, IF(#REF! = 3.5, 0.5, 0)))</f>
        <v>0</v>
      </c>
      <c r="AE58" t="s">
        <v>130</v>
      </c>
      <c r="AF58">
        <f>IF(#REF!="PM &lt; 2.5 μm", 1, 0)</f>
        <v>0</v>
      </c>
      <c r="AG58" t="s">
        <v>131</v>
      </c>
      <c r="AH58">
        <f>IF(#REF!="Particles of this size are generally absorbed in the respiratory tract and safely excreted in mucus.", 1, 0)</f>
        <v>0</v>
      </c>
      <c r="AI58" t="s">
        <v>167</v>
      </c>
      <c r="AJ58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3</v>
      </c>
      <c r="AK58">
        <v>4</v>
      </c>
      <c r="AL58">
        <v>3</v>
      </c>
      <c r="AM58">
        <v>4</v>
      </c>
      <c r="AN58">
        <v>3</v>
      </c>
      <c r="AO58">
        <v>4</v>
      </c>
      <c r="AP58">
        <v>4</v>
      </c>
      <c r="AQ58">
        <v>8</v>
      </c>
      <c r="AR58" t="s">
        <v>241</v>
      </c>
    </row>
    <row r="59" spans="1:44" x14ac:dyDescent="0.25">
      <c r="A59" t="s">
        <v>177</v>
      </c>
      <c r="B59" t="s">
        <v>178</v>
      </c>
      <c r="C59" t="s">
        <v>42</v>
      </c>
      <c r="D59" t="s">
        <v>179</v>
      </c>
      <c r="E59">
        <v>1</v>
      </c>
      <c r="F59" t="s">
        <v>112</v>
      </c>
      <c r="G59">
        <f>_xlfn.NUMBERVALUE(#REF!)</f>
        <v>291</v>
      </c>
      <c r="H59" t="s">
        <v>180</v>
      </c>
      <c r="I59" t="s">
        <v>114</v>
      </c>
      <c r="J59" t="s">
        <v>178</v>
      </c>
      <c r="K59" t="s">
        <v>181</v>
      </c>
      <c r="L59" t="s">
        <v>111</v>
      </c>
      <c r="M59" t="s">
        <v>111</v>
      </c>
      <c r="N59" t="s">
        <v>111</v>
      </c>
      <c r="O59" t="s">
        <v>111</v>
      </c>
      <c r="P59" t="s">
        <v>182</v>
      </c>
      <c r="Q59" t="s">
        <v>183</v>
      </c>
      <c r="R59" t="s">
        <v>127</v>
      </c>
      <c r="S59" t="s">
        <v>117</v>
      </c>
      <c r="T59" t="s">
        <v>184</v>
      </c>
      <c r="U59" s="8">
        <v>5</v>
      </c>
      <c r="V59" s="4">
        <v>4</v>
      </c>
      <c r="W59" s="4">
        <v>5</v>
      </c>
      <c r="X59" s="4">
        <v>5</v>
      </c>
      <c r="Y59" s="4">
        <v>5</v>
      </c>
      <c r="Z59" s="4">
        <v>5</v>
      </c>
      <c r="AA59" s="4">
        <v>5</v>
      </c>
      <c r="AB59" s="4">
        <v>4</v>
      </c>
      <c r="AC59" s="2">
        <v>4.5</v>
      </c>
      <c r="AD59" s="2">
        <f>IF(#REF! = 3, 1, IF(#REF! = 2.5, 0.5, IF(#REF! = 3.5, 0.5, 0)))</f>
        <v>0</v>
      </c>
      <c r="AE59" t="s">
        <v>185</v>
      </c>
      <c r="AF59">
        <f>IF(#REF!="PM &lt; 2.5 μm", 1, 0)</f>
        <v>0</v>
      </c>
      <c r="AG59" t="s">
        <v>141</v>
      </c>
      <c r="AH59">
        <f>IF(#REF!="Particles of this size are generally absorbed in the respiratory tract and safely excreted in mucus.", 1, 0)</f>
        <v>0</v>
      </c>
      <c r="AI59" t="s">
        <v>186</v>
      </c>
      <c r="AJ59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3</v>
      </c>
      <c r="AK59">
        <v>1</v>
      </c>
      <c r="AL59">
        <v>1</v>
      </c>
      <c r="AM59">
        <v>2</v>
      </c>
      <c r="AN59">
        <v>1</v>
      </c>
      <c r="AO59">
        <v>2</v>
      </c>
      <c r="AP59">
        <v>4</v>
      </c>
      <c r="AQ59">
        <v>7</v>
      </c>
      <c r="AR59" t="s">
        <v>187</v>
      </c>
    </row>
    <row r="60" spans="1:44" x14ac:dyDescent="0.25">
      <c r="A60" t="s">
        <v>679</v>
      </c>
      <c r="B60" t="s">
        <v>680</v>
      </c>
      <c r="C60" t="s">
        <v>42</v>
      </c>
      <c r="D60" t="s">
        <v>681</v>
      </c>
      <c r="E60">
        <v>1</v>
      </c>
      <c r="F60" t="s">
        <v>112</v>
      </c>
      <c r="G60">
        <f>_xlfn.NUMBERVALUE(#REF!)</f>
        <v>343</v>
      </c>
      <c r="H60" t="s">
        <v>682</v>
      </c>
      <c r="I60" t="s">
        <v>114</v>
      </c>
      <c r="J60" t="s">
        <v>680</v>
      </c>
      <c r="K60" t="s">
        <v>683</v>
      </c>
      <c r="L60" t="s">
        <v>111</v>
      </c>
      <c r="M60" t="s">
        <v>111</v>
      </c>
      <c r="N60" t="s">
        <v>111</v>
      </c>
      <c r="O60" t="s">
        <v>111</v>
      </c>
      <c r="P60" t="s">
        <v>351</v>
      </c>
      <c r="Q60" t="s">
        <v>352</v>
      </c>
      <c r="R60" t="s">
        <v>127</v>
      </c>
      <c r="S60" t="s">
        <v>117</v>
      </c>
      <c r="T60" t="s">
        <v>684</v>
      </c>
      <c r="U60" s="8">
        <v>3</v>
      </c>
      <c r="V60" s="4">
        <v>4</v>
      </c>
      <c r="W60" s="4">
        <v>4</v>
      </c>
      <c r="X60" s="4">
        <v>3</v>
      </c>
      <c r="Y60" s="4">
        <v>3</v>
      </c>
      <c r="Z60" s="4">
        <v>2</v>
      </c>
      <c r="AA60" s="4">
        <v>5</v>
      </c>
      <c r="AB60" s="4">
        <v>3</v>
      </c>
      <c r="AC60" s="2">
        <v>3.5</v>
      </c>
      <c r="AD60" s="2">
        <f>IF(#REF! = 3, 1, IF(#REF! = 2.5, 0.5, IF(#REF! = 3.5, 0.5, 0)))</f>
        <v>0.5</v>
      </c>
      <c r="AE60" t="s">
        <v>130</v>
      </c>
      <c r="AF60">
        <f>IF(#REF!="PM &lt; 2.5 μm", 1, 0)</f>
        <v>0</v>
      </c>
      <c r="AG60" t="s">
        <v>141</v>
      </c>
      <c r="AH60">
        <f>IF(#REF!="Particles of this size are generally absorbed in the respiratory tract and safely excreted in mucus.", 1, 0)</f>
        <v>0</v>
      </c>
      <c r="AI60" t="s">
        <v>258</v>
      </c>
      <c r="AJ60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1</v>
      </c>
      <c r="AK60">
        <v>3</v>
      </c>
      <c r="AL60">
        <v>3</v>
      </c>
      <c r="AM60">
        <v>3</v>
      </c>
      <c r="AN60">
        <v>3</v>
      </c>
      <c r="AO60">
        <v>3</v>
      </c>
      <c r="AP60">
        <v>3</v>
      </c>
      <c r="AQ60">
        <v>5</v>
      </c>
      <c r="AR60" t="s">
        <v>111</v>
      </c>
    </row>
    <row r="61" spans="1:44" x14ac:dyDescent="0.25">
      <c r="A61" t="s">
        <v>396</v>
      </c>
      <c r="B61" t="s">
        <v>397</v>
      </c>
      <c r="C61" t="s">
        <v>42</v>
      </c>
      <c r="D61" t="s">
        <v>398</v>
      </c>
      <c r="E61">
        <v>1</v>
      </c>
      <c r="F61" t="s">
        <v>112</v>
      </c>
      <c r="G61">
        <f>_xlfn.NUMBERVALUE(#REF!)</f>
        <v>123</v>
      </c>
      <c r="H61" t="s">
        <v>399</v>
      </c>
      <c r="I61" t="s">
        <v>114</v>
      </c>
      <c r="J61" t="s">
        <v>397</v>
      </c>
      <c r="K61" t="s">
        <v>400</v>
      </c>
      <c r="L61" t="s">
        <v>111</v>
      </c>
      <c r="M61" t="s">
        <v>111</v>
      </c>
      <c r="N61" t="s">
        <v>111</v>
      </c>
      <c r="O61" t="s">
        <v>111</v>
      </c>
      <c r="P61" t="s">
        <v>351</v>
      </c>
      <c r="Q61" t="s">
        <v>352</v>
      </c>
      <c r="R61" t="s">
        <v>127</v>
      </c>
      <c r="S61" t="s">
        <v>117</v>
      </c>
      <c r="T61" t="s">
        <v>401</v>
      </c>
      <c r="U61" s="8">
        <v>5</v>
      </c>
      <c r="V61" s="4">
        <v>3</v>
      </c>
      <c r="W61" s="4">
        <v>5</v>
      </c>
      <c r="X61" s="4">
        <v>5</v>
      </c>
      <c r="Y61" s="4">
        <v>3</v>
      </c>
      <c r="Z61" s="4">
        <v>5</v>
      </c>
      <c r="AA61" s="4">
        <v>5</v>
      </c>
      <c r="AB61" s="4">
        <v>3</v>
      </c>
      <c r="AC61" s="2">
        <v>4</v>
      </c>
      <c r="AD61" s="2">
        <f>IF(#REF! = 3, 1, IF(#REF! = 2.5, 0.5, IF(#REF! = 3.5, 0.5, 0)))</f>
        <v>0</v>
      </c>
      <c r="AE61" t="s">
        <v>130</v>
      </c>
      <c r="AF61">
        <f>IF(#REF!="PM &lt; 2.5 μm", 1, 0)</f>
        <v>0</v>
      </c>
      <c r="AG61" t="s">
        <v>141</v>
      </c>
      <c r="AH61">
        <f>IF(#REF!="Particles of this size are generally absorbed in the respiratory tract and safely excreted in mucus.", 1, 0)</f>
        <v>0</v>
      </c>
      <c r="AI61" t="s">
        <v>402</v>
      </c>
      <c r="AJ61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1</v>
      </c>
      <c r="AK61">
        <v>5</v>
      </c>
      <c r="AL61">
        <v>3</v>
      </c>
      <c r="AM61">
        <v>5</v>
      </c>
      <c r="AN61">
        <v>3</v>
      </c>
      <c r="AO61">
        <v>5</v>
      </c>
      <c r="AP61">
        <v>5</v>
      </c>
      <c r="AQ61">
        <v>8</v>
      </c>
      <c r="AR61" t="s">
        <v>403</v>
      </c>
    </row>
    <row r="62" spans="1:44" x14ac:dyDescent="0.25">
      <c r="A62" t="s">
        <v>488</v>
      </c>
      <c r="B62" t="s">
        <v>666</v>
      </c>
      <c r="C62" t="s">
        <v>42</v>
      </c>
      <c r="D62" t="s">
        <v>667</v>
      </c>
      <c r="E62">
        <v>1</v>
      </c>
      <c r="F62" t="s">
        <v>112</v>
      </c>
      <c r="G62">
        <f>_xlfn.NUMBERVALUE(#REF!)</f>
        <v>329</v>
      </c>
      <c r="H62" t="s">
        <v>668</v>
      </c>
      <c r="I62" t="s">
        <v>114</v>
      </c>
      <c r="J62" t="s">
        <v>666</v>
      </c>
      <c r="K62" t="s">
        <v>669</v>
      </c>
      <c r="L62" t="s">
        <v>111</v>
      </c>
      <c r="M62" t="s">
        <v>111</v>
      </c>
      <c r="N62" t="s">
        <v>111</v>
      </c>
      <c r="O62" t="s">
        <v>111</v>
      </c>
      <c r="P62" t="s">
        <v>115</v>
      </c>
      <c r="Q62" t="s">
        <v>116</v>
      </c>
      <c r="R62" t="s">
        <v>127</v>
      </c>
      <c r="S62" t="s">
        <v>117</v>
      </c>
      <c r="T62" t="s">
        <v>670</v>
      </c>
      <c r="U62" s="8">
        <v>5</v>
      </c>
      <c r="V62" s="4">
        <v>4</v>
      </c>
      <c r="W62" s="4">
        <v>5</v>
      </c>
      <c r="X62" s="4">
        <v>5</v>
      </c>
      <c r="Y62" s="4">
        <v>4</v>
      </c>
      <c r="Z62" s="4">
        <v>5</v>
      </c>
      <c r="AA62" s="4">
        <v>5</v>
      </c>
      <c r="AB62" s="4">
        <v>4</v>
      </c>
      <c r="AC62" s="2">
        <v>2.5</v>
      </c>
      <c r="AD62" s="2">
        <f>IF(#REF! = 3, 1, IF(#REF! = 2.5, 0.5, IF(#REF! = 3.5, 0.5, 0)))</f>
        <v>0.5</v>
      </c>
      <c r="AE62" t="s">
        <v>154</v>
      </c>
      <c r="AF62">
        <f>IF(#REF!="PM &lt; 2.5 μm", 1, 0)</f>
        <v>0</v>
      </c>
      <c r="AG62" t="s">
        <v>175</v>
      </c>
      <c r="AH62">
        <f>IF(#REF!="Particles of this size are generally absorbed in the respiratory tract and safely excreted in mucus.", 1, 0)</f>
        <v>1</v>
      </c>
      <c r="AI62" t="s">
        <v>142</v>
      </c>
      <c r="AJ62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2</v>
      </c>
      <c r="AK62">
        <v>2</v>
      </c>
      <c r="AL62">
        <v>3</v>
      </c>
      <c r="AM62">
        <v>3</v>
      </c>
      <c r="AN62">
        <v>2</v>
      </c>
      <c r="AO62">
        <v>3</v>
      </c>
      <c r="AP62">
        <v>4</v>
      </c>
      <c r="AQ62">
        <v>10</v>
      </c>
      <c r="AR62" t="s">
        <v>671</v>
      </c>
    </row>
    <row r="63" spans="1:44" x14ac:dyDescent="0.25">
      <c r="A63" t="s">
        <v>738</v>
      </c>
      <c r="B63" t="s">
        <v>739</v>
      </c>
      <c r="C63" t="s">
        <v>42</v>
      </c>
      <c r="D63" t="s">
        <v>389</v>
      </c>
      <c r="E63">
        <v>1</v>
      </c>
      <c r="F63" t="s">
        <v>112</v>
      </c>
      <c r="G63">
        <f>_xlfn.NUMBERVALUE(#REF!)</f>
        <v>136</v>
      </c>
      <c r="H63" t="s">
        <v>740</v>
      </c>
      <c r="I63" t="s">
        <v>114</v>
      </c>
      <c r="J63" t="s">
        <v>739</v>
      </c>
      <c r="K63" t="s">
        <v>741</v>
      </c>
      <c r="L63" t="s">
        <v>111</v>
      </c>
      <c r="M63" t="s">
        <v>111</v>
      </c>
      <c r="N63" t="s">
        <v>111</v>
      </c>
      <c r="O63" t="s">
        <v>111</v>
      </c>
      <c r="P63" t="s">
        <v>392</v>
      </c>
      <c r="Q63" t="s">
        <v>393</v>
      </c>
      <c r="R63" t="s">
        <v>127</v>
      </c>
      <c r="S63" t="s">
        <v>117</v>
      </c>
      <c r="T63" t="s">
        <v>742</v>
      </c>
      <c r="U63" s="8">
        <v>5</v>
      </c>
      <c r="V63" s="4">
        <v>4</v>
      </c>
      <c r="W63" s="4">
        <v>5</v>
      </c>
      <c r="X63" s="4">
        <v>5</v>
      </c>
      <c r="Y63" s="4">
        <v>5</v>
      </c>
      <c r="Z63" s="4">
        <v>5</v>
      </c>
      <c r="AA63" s="4">
        <v>5</v>
      </c>
      <c r="AB63" s="4">
        <v>3</v>
      </c>
      <c r="AC63" s="2">
        <v>3.5</v>
      </c>
      <c r="AD63" s="2">
        <f>IF(#REF! = 3, 1, IF(#REF! = 2.5, 0.5, IF(#REF! = 3.5, 0.5, 0)))</f>
        <v>0.5</v>
      </c>
      <c r="AE63" t="s">
        <v>130</v>
      </c>
      <c r="AF63">
        <f>IF(#REF!="PM &lt; 2.5 μm", 1, 0)</f>
        <v>0</v>
      </c>
      <c r="AG63" t="s">
        <v>131</v>
      </c>
      <c r="AH63">
        <f>IF(#REF!="Particles of this size are generally absorbed in the respiratory tract and safely excreted in mucus.", 1, 0)</f>
        <v>0</v>
      </c>
      <c r="AI63" t="s">
        <v>420</v>
      </c>
      <c r="AJ63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1</v>
      </c>
      <c r="AK63">
        <v>4</v>
      </c>
      <c r="AL63">
        <v>3</v>
      </c>
      <c r="AM63">
        <v>3</v>
      </c>
      <c r="AN63">
        <v>5</v>
      </c>
      <c r="AO63">
        <v>5</v>
      </c>
      <c r="AP63">
        <v>5</v>
      </c>
      <c r="AQ63">
        <v>7</v>
      </c>
      <c r="AR63" t="s">
        <v>111</v>
      </c>
    </row>
    <row r="64" spans="1:44" x14ac:dyDescent="0.25">
      <c r="A64" t="s">
        <v>412</v>
      </c>
      <c r="B64" t="s">
        <v>413</v>
      </c>
      <c r="C64" t="s">
        <v>42</v>
      </c>
      <c r="D64" t="s">
        <v>307</v>
      </c>
      <c r="E64">
        <v>1</v>
      </c>
      <c r="F64" t="s">
        <v>112</v>
      </c>
      <c r="G64">
        <f>_xlfn.NUMBERVALUE(#REF!)</f>
        <v>56</v>
      </c>
      <c r="H64" t="s">
        <v>414</v>
      </c>
      <c r="I64" t="s">
        <v>114</v>
      </c>
      <c r="J64" t="s">
        <v>413</v>
      </c>
      <c r="K64" t="s">
        <v>415</v>
      </c>
      <c r="L64" t="s">
        <v>111</v>
      </c>
      <c r="M64" t="s">
        <v>111</v>
      </c>
      <c r="N64" t="s">
        <v>111</v>
      </c>
      <c r="O64" t="s">
        <v>111</v>
      </c>
      <c r="P64" t="s">
        <v>311</v>
      </c>
      <c r="Q64" t="s">
        <v>312</v>
      </c>
      <c r="R64" t="s">
        <v>127</v>
      </c>
      <c r="S64" t="s">
        <v>117</v>
      </c>
      <c r="T64" t="s">
        <v>416</v>
      </c>
      <c r="U64" s="8">
        <v>4</v>
      </c>
      <c r="V64" s="4">
        <v>4</v>
      </c>
      <c r="W64" s="4">
        <v>5</v>
      </c>
      <c r="X64" s="4">
        <v>5</v>
      </c>
      <c r="Y64" s="4"/>
      <c r="Z64" s="4"/>
      <c r="AA64" s="4">
        <v>5</v>
      </c>
      <c r="AB64" s="4"/>
      <c r="AC64" s="2">
        <v>2.5</v>
      </c>
      <c r="AD64" s="2">
        <f>IF(#REF! = 3, 1, IF(#REF! = 2.5, 0.5, IF(#REF! = 3.5, 0.5, 0)))</f>
        <v>0.5</v>
      </c>
      <c r="AE64" t="s">
        <v>130</v>
      </c>
      <c r="AF64">
        <f>IF(#REF!="PM &lt; 2.5 μm", 1, 0)</f>
        <v>0</v>
      </c>
      <c r="AG64" t="s">
        <v>175</v>
      </c>
      <c r="AH64">
        <f>IF(#REF!="Particles of this size are generally absorbed in the respiratory tract and safely excreted in mucus.", 1, 0)</f>
        <v>1</v>
      </c>
      <c r="AI64" t="s">
        <v>142</v>
      </c>
      <c r="AJ64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2</v>
      </c>
      <c r="AK64">
        <v>4</v>
      </c>
      <c r="AL64">
        <v>5</v>
      </c>
      <c r="AM64">
        <v>4</v>
      </c>
      <c r="AN64">
        <v>3</v>
      </c>
      <c r="AO64">
        <v>5</v>
      </c>
      <c r="AP64">
        <v>5</v>
      </c>
      <c r="AQ64">
        <v>4</v>
      </c>
      <c r="AR64" t="s">
        <v>111</v>
      </c>
    </row>
    <row r="65" spans="1:44" x14ac:dyDescent="0.25">
      <c r="A65" t="s">
        <v>632</v>
      </c>
      <c r="B65" t="s">
        <v>633</v>
      </c>
      <c r="C65" t="s">
        <v>42</v>
      </c>
      <c r="D65" t="s">
        <v>389</v>
      </c>
      <c r="E65">
        <v>1</v>
      </c>
      <c r="F65" t="s">
        <v>112</v>
      </c>
      <c r="G65">
        <f>_xlfn.NUMBERVALUE(#REF!)</f>
        <v>267</v>
      </c>
      <c r="H65" t="s">
        <v>634</v>
      </c>
      <c r="I65" t="s">
        <v>114</v>
      </c>
      <c r="J65" t="s">
        <v>635</v>
      </c>
      <c r="K65" t="s">
        <v>636</v>
      </c>
      <c r="L65" t="s">
        <v>111</v>
      </c>
      <c r="M65" t="s">
        <v>111</v>
      </c>
      <c r="N65" t="s">
        <v>111</v>
      </c>
      <c r="O65" t="s">
        <v>111</v>
      </c>
      <c r="P65" t="s">
        <v>392</v>
      </c>
      <c r="Q65" t="s">
        <v>393</v>
      </c>
      <c r="R65" t="s">
        <v>487</v>
      </c>
      <c r="S65" t="s">
        <v>117</v>
      </c>
      <c r="T65" t="s">
        <v>637</v>
      </c>
      <c r="U65" s="8">
        <v>4</v>
      </c>
      <c r="V65" s="4">
        <v>4</v>
      </c>
      <c r="W65" s="4">
        <v>3</v>
      </c>
      <c r="X65" s="4">
        <v>5</v>
      </c>
      <c r="Y65" s="4">
        <v>3</v>
      </c>
      <c r="Z65" s="4">
        <v>3</v>
      </c>
      <c r="AA65" s="4">
        <v>4</v>
      </c>
      <c r="AB65" s="4">
        <v>3</v>
      </c>
      <c r="AC65" s="2">
        <v>4</v>
      </c>
      <c r="AD65" s="2">
        <f>IF(#REF! = 3, 1, IF(#REF! = 2.5, 0.5, IF(#REF! = 3.5, 0.5, 0)))</f>
        <v>0</v>
      </c>
      <c r="AE65" t="s">
        <v>130</v>
      </c>
      <c r="AF65">
        <f>IF(#REF!="PM &lt; 2.5 μm", 1, 0)</f>
        <v>0</v>
      </c>
      <c r="AG65" t="s">
        <v>175</v>
      </c>
      <c r="AH65">
        <f>IF(#REF!="Particles of this size are generally absorbed in the respiratory tract and safely excreted in mucus.", 1, 0)</f>
        <v>1</v>
      </c>
      <c r="AI65" t="s">
        <v>327</v>
      </c>
      <c r="AJ65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1</v>
      </c>
      <c r="AK65">
        <v>5</v>
      </c>
      <c r="AL65">
        <v>3</v>
      </c>
      <c r="AM65">
        <v>2</v>
      </c>
      <c r="AN65">
        <v>2</v>
      </c>
      <c r="AO65">
        <v>4</v>
      </c>
      <c r="AP65">
        <v>3</v>
      </c>
      <c r="AQ65">
        <v>6</v>
      </c>
      <c r="AR65" t="s">
        <v>638</v>
      </c>
    </row>
    <row r="66" spans="1:44" x14ac:dyDescent="0.25">
      <c r="A66" t="s">
        <v>305</v>
      </c>
      <c r="B66" t="s">
        <v>306</v>
      </c>
      <c r="C66" t="s">
        <v>42</v>
      </c>
      <c r="D66" t="s">
        <v>307</v>
      </c>
      <c r="E66">
        <v>1</v>
      </c>
      <c r="F66" t="s">
        <v>112</v>
      </c>
      <c r="G66">
        <f>_xlfn.NUMBERVALUE(#REF!)</f>
        <v>107</v>
      </c>
      <c r="H66" t="s">
        <v>308</v>
      </c>
      <c r="I66" t="s">
        <v>114</v>
      </c>
      <c r="J66" t="s">
        <v>309</v>
      </c>
      <c r="K66" t="s">
        <v>310</v>
      </c>
      <c r="L66" t="s">
        <v>111</v>
      </c>
      <c r="M66" t="s">
        <v>111</v>
      </c>
      <c r="N66" t="s">
        <v>111</v>
      </c>
      <c r="O66" t="s">
        <v>111</v>
      </c>
      <c r="P66" t="s">
        <v>311</v>
      </c>
      <c r="Q66" t="s">
        <v>312</v>
      </c>
      <c r="R66" t="s">
        <v>127</v>
      </c>
      <c r="S66" t="s">
        <v>117</v>
      </c>
      <c r="T66" t="s">
        <v>313</v>
      </c>
      <c r="U66" s="8">
        <v>4</v>
      </c>
      <c r="V66" s="4">
        <v>4</v>
      </c>
      <c r="W66" s="4">
        <v>4</v>
      </c>
      <c r="X66" s="4">
        <v>4</v>
      </c>
      <c r="Y66" s="4">
        <v>4</v>
      </c>
      <c r="Z66" s="4">
        <v>4</v>
      </c>
      <c r="AA66" s="4">
        <v>4</v>
      </c>
      <c r="AB66" s="4">
        <v>3</v>
      </c>
      <c r="AC66" s="2">
        <v>3</v>
      </c>
      <c r="AD66" s="2">
        <f>IF(#REF! = 3, 1, IF(#REF! = 2.5, 0.5, IF(#REF! = 3.5, 0.5, 0)))</f>
        <v>1</v>
      </c>
      <c r="AE66" t="s">
        <v>130</v>
      </c>
      <c r="AF66">
        <f>IF(#REF!="PM &lt; 2.5 μm", 1, 0)</f>
        <v>0</v>
      </c>
      <c r="AG66" t="s">
        <v>141</v>
      </c>
      <c r="AH66">
        <f>IF(#REF!="Particles of this size are generally absorbed in the respiratory tract and safely excreted in mucus.", 1, 0)</f>
        <v>0</v>
      </c>
      <c r="AI66" t="s">
        <v>167</v>
      </c>
      <c r="AJ66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3</v>
      </c>
      <c r="AK66">
        <v>2</v>
      </c>
      <c r="AL66">
        <v>1</v>
      </c>
      <c r="AM66">
        <v>3</v>
      </c>
      <c r="AN66">
        <v>1</v>
      </c>
      <c r="AO66">
        <v>3</v>
      </c>
      <c r="AP66">
        <v>3</v>
      </c>
      <c r="AQ66">
        <v>8</v>
      </c>
      <c r="AR66" t="s">
        <v>314</v>
      </c>
    </row>
    <row r="67" spans="1:44" x14ac:dyDescent="0.25">
      <c r="A67" t="s">
        <v>475</v>
      </c>
      <c r="B67" t="s">
        <v>476</v>
      </c>
      <c r="C67" t="s">
        <v>42</v>
      </c>
      <c r="D67" t="s">
        <v>389</v>
      </c>
      <c r="E67">
        <v>1</v>
      </c>
      <c r="F67" t="s">
        <v>112</v>
      </c>
      <c r="G67">
        <f>_xlfn.NUMBERVALUE(#REF!)</f>
        <v>207</v>
      </c>
      <c r="H67" t="s">
        <v>477</v>
      </c>
      <c r="I67" t="s">
        <v>114</v>
      </c>
      <c r="J67" t="s">
        <v>478</v>
      </c>
      <c r="K67" t="s">
        <v>479</v>
      </c>
      <c r="L67" t="s">
        <v>111</v>
      </c>
      <c r="M67" t="s">
        <v>111</v>
      </c>
      <c r="N67" t="s">
        <v>111</v>
      </c>
      <c r="O67" t="s">
        <v>111</v>
      </c>
      <c r="P67" t="s">
        <v>392</v>
      </c>
      <c r="Q67" t="s">
        <v>393</v>
      </c>
      <c r="R67" t="s">
        <v>127</v>
      </c>
      <c r="S67" t="s">
        <v>117</v>
      </c>
      <c r="T67" t="s">
        <v>480</v>
      </c>
      <c r="U67" s="8">
        <v>4</v>
      </c>
      <c r="V67" s="4">
        <v>1</v>
      </c>
      <c r="W67" s="4">
        <v>3</v>
      </c>
      <c r="X67" s="4">
        <v>5</v>
      </c>
      <c r="Y67" s="4">
        <v>1</v>
      </c>
      <c r="Z67" s="4">
        <v>3</v>
      </c>
      <c r="AA67" s="4">
        <v>4</v>
      </c>
      <c r="AB67" s="4">
        <v>1</v>
      </c>
      <c r="AC67" s="2">
        <v>4.5</v>
      </c>
      <c r="AD67" s="2">
        <f>IF(#REF! = 3, 1, IF(#REF! = 2.5, 0.5, IF(#REF! = 3.5, 0.5, 0)))</f>
        <v>0</v>
      </c>
      <c r="AE67" t="s">
        <v>185</v>
      </c>
      <c r="AF67">
        <f>IF(#REF!="PM &lt; 2.5 μm", 1, 0)</f>
        <v>0</v>
      </c>
      <c r="AG67" t="s">
        <v>175</v>
      </c>
      <c r="AH67">
        <f>IF(#REF!="Particles of this size are generally absorbed in the respiratory tract and safely excreted in mucus.", 1, 0)</f>
        <v>1</v>
      </c>
      <c r="AI67" t="s">
        <v>232</v>
      </c>
      <c r="AJ67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1</v>
      </c>
      <c r="AK67">
        <v>3</v>
      </c>
      <c r="AL67">
        <v>2</v>
      </c>
      <c r="AM67">
        <v>4</v>
      </c>
      <c r="AN67">
        <v>4</v>
      </c>
      <c r="AO67">
        <v>5</v>
      </c>
      <c r="AP67">
        <v>2</v>
      </c>
      <c r="AQ67">
        <v>5</v>
      </c>
      <c r="AR67" t="s">
        <v>481</v>
      </c>
    </row>
    <row r="68" spans="1:44" x14ac:dyDescent="0.25">
      <c r="A68" t="s">
        <v>158</v>
      </c>
      <c r="B68" t="s">
        <v>159</v>
      </c>
      <c r="C68" t="s">
        <v>42</v>
      </c>
      <c r="D68" t="s">
        <v>160</v>
      </c>
      <c r="E68">
        <v>1</v>
      </c>
      <c r="F68" t="s">
        <v>112</v>
      </c>
      <c r="G68">
        <f>_xlfn.NUMBERVALUE(#REF!)</f>
        <v>224</v>
      </c>
      <c r="H68" t="s">
        <v>161</v>
      </c>
      <c r="I68" t="s">
        <v>114</v>
      </c>
      <c r="J68" t="s">
        <v>162</v>
      </c>
      <c r="K68" t="s">
        <v>163</v>
      </c>
      <c r="L68" t="s">
        <v>111</v>
      </c>
      <c r="M68" t="s">
        <v>111</v>
      </c>
      <c r="N68" t="s">
        <v>111</v>
      </c>
      <c r="O68" t="s">
        <v>111</v>
      </c>
      <c r="P68" t="s">
        <v>164</v>
      </c>
      <c r="Q68" t="s">
        <v>165</v>
      </c>
      <c r="R68" t="s">
        <v>127</v>
      </c>
      <c r="S68" t="s">
        <v>117</v>
      </c>
      <c r="T68" t="s">
        <v>111</v>
      </c>
      <c r="U68" s="8">
        <v>4</v>
      </c>
      <c r="V68" s="4">
        <v>4</v>
      </c>
      <c r="W68" s="4">
        <v>4</v>
      </c>
      <c r="X68" s="4">
        <v>5</v>
      </c>
      <c r="Y68" s="4">
        <v>2</v>
      </c>
      <c r="Z68" s="4">
        <v>2</v>
      </c>
      <c r="AA68" s="4">
        <v>5</v>
      </c>
      <c r="AB68" s="4">
        <v>3</v>
      </c>
      <c r="AC68" s="2">
        <v>3</v>
      </c>
      <c r="AD68" s="2">
        <f>IF(#REF! = 3, 1, IF(#REF! = 2.5, 0.5, IF(#REF! = 3.5, 0.5, 0)))</f>
        <v>1</v>
      </c>
      <c r="AE68" t="s">
        <v>166</v>
      </c>
      <c r="AF68">
        <f>IF(#REF!="PM &lt; 2.5 μm", 1, 0)</f>
        <v>0</v>
      </c>
      <c r="AG68" t="s">
        <v>141</v>
      </c>
      <c r="AH68">
        <f>IF(#REF!="Particles of this size are generally absorbed in the respiratory tract and safely excreted in mucus.", 1, 0)</f>
        <v>0</v>
      </c>
      <c r="AI68" t="s">
        <v>167</v>
      </c>
      <c r="AJ68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3</v>
      </c>
      <c r="AK68">
        <v>4</v>
      </c>
      <c r="AL68">
        <v>0</v>
      </c>
      <c r="AM68">
        <v>2</v>
      </c>
      <c r="AN68">
        <v>2</v>
      </c>
      <c r="AO68">
        <v>4</v>
      </c>
      <c r="AP68">
        <v>3</v>
      </c>
      <c r="AQ68">
        <v>6</v>
      </c>
      <c r="AR68" t="s">
        <v>168</v>
      </c>
    </row>
    <row r="69" spans="1:44" x14ac:dyDescent="0.25">
      <c r="A69" t="s">
        <v>169</v>
      </c>
      <c r="B69" t="s">
        <v>170</v>
      </c>
      <c r="C69" t="s">
        <v>42</v>
      </c>
      <c r="D69" t="s">
        <v>171</v>
      </c>
      <c r="E69">
        <v>1</v>
      </c>
      <c r="F69" t="s">
        <v>112</v>
      </c>
      <c r="G69">
        <f>_xlfn.NUMBERVALUE(#REF!)</f>
        <v>84</v>
      </c>
      <c r="H69" t="s">
        <v>148</v>
      </c>
      <c r="I69" t="s">
        <v>114</v>
      </c>
      <c r="J69" t="s">
        <v>170</v>
      </c>
      <c r="K69" t="s">
        <v>172</v>
      </c>
      <c r="L69" t="s">
        <v>111</v>
      </c>
      <c r="M69" t="s">
        <v>111</v>
      </c>
      <c r="N69" t="s">
        <v>111</v>
      </c>
      <c r="O69" t="s">
        <v>111</v>
      </c>
      <c r="P69" t="s">
        <v>173</v>
      </c>
      <c r="Q69" t="s">
        <v>174</v>
      </c>
      <c r="R69" t="s">
        <v>127</v>
      </c>
      <c r="S69" t="s">
        <v>117</v>
      </c>
      <c r="T69" t="s">
        <v>111</v>
      </c>
      <c r="U69" s="8">
        <v>4</v>
      </c>
      <c r="V69" s="4">
        <v>4</v>
      </c>
      <c r="W69" s="4">
        <v>3</v>
      </c>
      <c r="X69" s="4">
        <v>4</v>
      </c>
      <c r="Y69" s="4">
        <v>2</v>
      </c>
      <c r="Z69" s="4">
        <v>1</v>
      </c>
      <c r="AA69" s="4">
        <v>4</v>
      </c>
      <c r="AB69" s="4">
        <v>1</v>
      </c>
      <c r="AC69" s="2">
        <v>5</v>
      </c>
      <c r="AD69" s="2">
        <f>IF(#REF! = 3, 1, IF(#REF! = 2.5, 0.5, IF(#REF! = 3.5, 0.5, 0)))</f>
        <v>0</v>
      </c>
      <c r="AE69" t="s">
        <v>130</v>
      </c>
      <c r="AF69">
        <f>IF(#REF!="PM &lt; 2.5 μm", 1, 0)</f>
        <v>0</v>
      </c>
      <c r="AG69" t="s">
        <v>175</v>
      </c>
      <c r="AH69">
        <f>IF(#REF!="Particles of this size are generally absorbed in the respiratory tract and safely excreted in mucus.", 1, 0)</f>
        <v>1</v>
      </c>
      <c r="AI69" t="s">
        <v>176</v>
      </c>
      <c r="AJ69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1</v>
      </c>
      <c r="AK69">
        <v>5</v>
      </c>
      <c r="AL69">
        <v>4</v>
      </c>
      <c r="AM69">
        <v>5</v>
      </c>
      <c r="AN69">
        <v>4</v>
      </c>
      <c r="AO69">
        <v>5</v>
      </c>
      <c r="AP69">
        <v>5</v>
      </c>
      <c r="AQ69">
        <v>8</v>
      </c>
      <c r="AR69" t="s">
        <v>111</v>
      </c>
    </row>
    <row r="70" spans="1:44" x14ac:dyDescent="0.25">
      <c r="A70" t="s">
        <v>188</v>
      </c>
      <c r="B70" t="s">
        <v>189</v>
      </c>
      <c r="C70" t="s">
        <v>42</v>
      </c>
      <c r="D70" t="s">
        <v>190</v>
      </c>
      <c r="E70">
        <v>1</v>
      </c>
      <c r="F70" t="s">
        <v>112</v>
      </c>
      <c r="G70">
        <f>_xlfn.NUMBERVALUE(#REF!)</f>
        <v>163</v>
      </c>
      <c r="H70" t="s">
        <v>191</v>
      </c>
      <c r="I70" t="s">
        <v>114</v>
      </c>
      <c r="J70" t="s">
        <v>189</v>
      </c>
      <c r="K70" t="s">
        <v>192</v>
      </c>
      <c r="L70" t="s">
        <v>111</v>
      </c>
      <c r="M70" t="s">
        <v>111</v>
      </c>
      <c r="N70" t="s">
        <v>111</v>
      </c>
      <c r="O70" t="s">
        <v>111</v>
      </c>
      <c r="P70" t="s">
        <v>193</v>
      </c>
      <c r="Q70" t="s">
        <v>194</v>
      </c>
      <c r="R70" t="s">
        <v>127</v>
      </c>
      <c r="S70" t="s">
        <v>117</v>
      </c>
      <c r="T70" t="s">
        <v>1271</v>
      </c>
      <c r="U70" s="8">
        <v>3</v>
      </c>
      <c r="V70" s="4">
        <v>1</v>
      </c>
      <c r="W70" s="4">
        <v>3</v>
      </c>
      <c r="X70" s="4">
        <v>3</v>
      </c>
      <c r="Y70" s="4">
        <v>1</v>
      </c>
      <c r="Z70" s="4">
        <v>5</v>
      </c>
      <c r="AA70" s="4">
        <v>5</v>
      </c>
      <c r="AB70" s="4">
        <v>1</v>
      </c>
      <c r="AC70" s="2">
        <v>2</v>
      </c>
      <c r="AD70" s="2">
        <f>IF(#REF! = 3, 1, IF(#REF! = 2.5, 0.5, IF(#REF! = 3.5, 0.5, 0)))</f>
        <v>0</v>
      </c>
      <c r="AE70" t="s">
        <v>185</v>
      </c>
      <c r="AF70">
        <f>IF(#REF!="PM &lt; 2.5 μm", 1, 0)</f>
        <v>0</v>
      </c>
      <c r="AG70" t="s">
        <v>155</v>
      </c>
      <c r="AH70">
        <f>IF(#REF!="Particles of this size are generally absorbed in the respiratory tract and safely excreted in mucus.", 1, 0)</f>
        <v>0</v>
      </c>
      <c r="AI70" t="s">
        <v>195</v>
      </c>
      <c r="AJ70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0</v>
      </c>
      <c r="AK70">
        <v>1</v>
      </c>
      <c r="AL70">
        <v>2</v>
      </c>
      <c r="AM70">
        <v>2</v>
      </c>
      <c r="AO70">
        <v>2</v>
      </c>
      <c r="AP70">
        <v>2</v>
      </c>
      <c r="AQ70">
        <v>7</v>
      </c>
      <c r="AR70" t="s">
        <v>196</v>
      </c>
    </row>
    <row r="71" spans="1:44" x14ac:dyDescent="0.25">
      <c r="A71" t="s">
        <v>217</v>
      </c>
      <c r="B71" t="s">
        <v>218</v>
      </c>
      <c r="C71" t="s">
        <v>42</v>
      </c>
      <c r="D71" t="s">
        <v>219</v>
      </c>
      <c r="E71">
        <v>1</v>
      </c>
      <c r="F71" t="s">
        <v>112</v>
      </c>
      <c r="G71">
        <f>_xlfn.NUMBERVALUE(#REF!)</f>
        <v>139</v>
      </c>
      <c r="H71" t="s">
        <v>220</v>
      </c>
      <c r="I71" t="s">
        <v>114</v>
      </c>
      <c r="J71" t="s">
        <v>218</v>
      </c>
      <c r="K71" t="s">
        <v>221</v>
      </c>
      <c r="L71" t="s">
        <v>111</v>
      </c>
      <c r="M71" t="s">
        <v>111</v>
      </c>
      <c r="N71" t="s">
        <v>111</v>
      </c>
      <c r="O71" t="s">
        <v>111</v>
      </c>
      <c r="P71" t="s">
        <v>222</v>
      </c>
      <c r="Q71" t="s">
        <v>223</v>
      </c>
      <c r="R71" t="s">
        <v>127</v>
      </c>
      <c r="S71" t="s">
        <v>117</v>
      </c>
      <c r="T71" t="s">
        <v>111</v>
      </c>
      <c r="U71" s="8">
        <v>5</v>
      </c>
      <c r="V71" s="4">
        <v>4</v>
      </c>
      <c r="W71" s="4">
        <v>5</v>
      </c>
      <c r="X71" s="4">
        <v>5</v>
      </c>
      <c r="Y71" s="4">
        <v>1</v>
      </c>
      <c r="Z71" s="4">
        <v>3</v>
      </c>
      <c r="AA71" s="4">
        <v>5</v>
      </c>
      <c r="AB71" s="4">
        <v>3</v>
      </c>
      <c r="AC71" s="2">
        <v>4</v>
      </c>
      <c r="AD71" s="2">
        <f>IF(#REF! = 3, 1, IF(#REF! = 2.5, 0.5, IF(#REF! = 3.5, 0.5, 0)))</f>
        <v>0</v>
      </c>
      <c r="AE71" t="s">
        <v>185</v>
      </c>
      <c r="AF71">
        <f>IF(#REF!="PM &lt; 2.5 μm", 1, 0)</f>
        <v>0</v>
      </c>
      <c r="AG71" t="s">
        <v>175</v>
      </c>
      <c r="AH71">
        <f>IF(#REF!="Particles of this size are generally absorbed in the respiratory tract and safely excreted in mucus.", 1, 0)</f>
        <v>1</v>
      </c>
      <c r="AI71" t="s">
        <v>224</v>
      </c>
      <c r="AJ71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1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3</v>
      </c>
      <c r="AQ71">
        <v>10</v>
      </c>
      <c r="AR71" t="s">
        <v>111</v>
      </c>
    </row>
    <row r="72" spans="1:44" x14ac:dyDescent="0.25">
      <c r="A72" t="s">
        <v>252</v>
      </c>
      <c r="B72" t="s">
        <v>253</v>
      </c>
      <c r="C72" t="s">
        <v>42</v>
      </c>
      <c r="D72" t="s">
        <v>254</v>
      </c>
      <c r="E72">
        <v>1</v>
      </c>
      <c r="F72" t="s">
        <v>112</v>
      </c>
      <c r="G72">
        <f>_xlfn.NUMBERVALUE(#REF!)</f>
        <v>140</v>
      </c>
      <c r="H72" t="s">
        <v>122</v>
      </c>
      <c r="I72" t="s">
        <v>114</v>
      </c>
      <c r="J72" t="s">
        <v>253</v>
      </c>
      <c r="K72" t="s">
        <v>255</v>
      </c>
      <c r="L72" t="s">
        <v>111</v>
      </c>
      <c r="M72" t="s">
        <v>111</v>
      </c>
      <c r="N72" t="s">
        <v>111</v>
      </c>
      <c r="O72" t="s">
        <v>111</v>
      </c>
      <c r="P72" t="s">
        <v>256</v>
      </c>
      <c r="Q72" t="s">
        <v>257</v>
      </c>
      <c r="R72" t="s">
        <v>127</v>
      </c>
      <c r="S72" t="s">
        <v>117</v>
      </c>
      <c r="T72" t="s">
        <v>111</v>
      </c>
      <c r="U72" s="8">
        <v>5</v>
      </c>
      <c r="V72" s="4">
        <v>5</v>
      </c>
      <c r="W72" s="4">
        <v>2</v>
      </c>
      <c r="X72" s="4">
        <v>3</v>
      </c>
      <c r="Y72" s="4">
        <v>5</v>
      </c>
      <c r="Z72" s="4">
        <v>5</v>
      </c>
      <c r="AA72" s="4">
        <v>5</v>
      </c>
      <c r="AB72" s="4">
        <v>3</v>
      </c>
      <c r="AC72" s="2">
        <v>3</v>
      </c>
      <c r="AD72" s="2">
        <f>IF(#REF! = 3, 1, IF(#REF! = 2.5, 0.5, IF(#REF! = 3.5, 0.5, 0)))</f>
        <v>1</v>
      </c>
      <c r="AE72" t="s">
        <v>140</v>
      </c>
      <c r="AF72">
        <f>IF(#REF!="PM &lt; 2.5 μm", 1, 0)</f>
        <v>1</v>
      </c>
      <c r="AG72" t="s">
        <v>141</v>
      </c>
      <c r="AH72">
        <f>IF(#REF!="Particles of this size are generally absorbed in the respiratory tract and safely excreted in mucus.", 1, 0)</f>
        <v>0</v>
      </c>
      <c r="AI72" t="s">
        <v>258</v>
      </c>
      <c r="AJ72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1</v>
      </c>
      <c r="AK72">
        <v>3</v>
      </c>
      <c r="AL72">
        <v>3</v>
      </c>
      <c r="AM72">
        <v>1</v>
      </c>
      <c r="AN72">
        <v>1</v>
      </c>
      <c r="AO72">
        <v>5</v>
      </c>
      <c r="AP72">
        <v>5</v>
      </c>
      <c r="AQ72">
        <v>9</v>
      </c>
      <c r="AR72" t="s">
        <v>259</v>
      </c>
    </row>
    <row r="73" spans="1:44" x14ac:dyDescent="0.25">
      <c r="A73" t="s">
        <v>274</v>
      </c>
      <c r="B73" t="s">
        <v>275</v>
      </c>
      <c r="C73" t="s">
        <v>42</v>
      </c>
      <c r="D73" t="s">
        <v>276</v>
      </c>
      <c r="E73">
        <v>1</v>
      </c>
      <c r="F73" t="s">
        <v>112</v>
      </c>
      <c r="G73">
        <f>_xlfn.NUMBERVALUE(#REF!)</f>
        <v>163</v>
      </c>
      <c r="H73" t="s">
        <v>191</v>
      </c>
      <c r="I73" t="s">
        <v>114</v>
      </c>
      <c r="J73" t="s">
        <v>275</v>
      </c>
      <c r="K73" t="s">
        <v>277</v>
      </c>
      <c r="L73" t="s">
        <v>111</v>
      </c>
      <c r="M73" t="s">
        <v>111</v>
      </c>
      <c r="N73" t="s">
        <v>111</v>
      </c>
      <c r="O73" t="s">
        <v>111</v>
      </c>
      <c r="P73" t="s">
        <v>278</v>
      </c>
      <c r="Q73" t="s">
        <v>279</v>
      </c>
      <c r="R73" t="s">
        <v>127</v>
      </c>
      <c r="S73" t="s">
        <v>117</v>
      </c>
      <c r="T73" t="s">
        <v>111</v>
      </c>
      <c r="U73" s="8">
        <v>5</v>
      </c>
      <c r="V73" s="4">
        <v>5</v>
      </c>
      <c r="W73" s="4">
        <v>5</v>
      </c>
      <c r="X73" s="4">
        <v>5</v>
      </c>
      <c r="Y73" s="4">
        <v>5</v>
      </c>
      <c r="Z73" s="4">
        <v>5</v>
      </c>
      <c r="AA73" s="4">
        <v>5</v>
      </c>
      <c r="AB73" s="4">
        <v>5</v>
      </c>
      <c r="AC73" s="2">
        <v>5</v>
      </c>
      <c r="AD73" s="2">
        <f>IF(#REF! = 3, 1, IF(#REF! = 2.5, 0.5, IF(#REF! = 3.5, 0.5, 0)))</f>
        <v>0</v>
      </c>
      <c r="AE73" t="s">
        <v>154</v>
      </c>
      <c r="AF73">
        <f>IF(#REF!="PM &lt; 2.5 μm", 1, 0)</f>
        <v>0</v>
      </c>
      <c r="AG73" t="s">
        <v>131</v>
      </c>
      <c r="AH73">
        <f>IF(#REF!="Particles of this size are generally absorbed in the respiratory tract and safely excreted in mucus.", 1, 0)</f>
        <v>0</v>
      </c>
      <c r="AI73" t="s">
        <v>280</v>
      </c>
      <c r="AJ73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2</v>
      </c>
      <c r="AK73">
        <v>5</v>
      </c>
      <c r="AL73">
        <v>5</v>
      </c>
      <c r="AM73">
        <v>5</v>
      </c>
      <c r="AN73">
        <v>5</v>
      </c>
      <c r="AO73">
        <v>5</v>
      </c>
      <c r="AP73">
        <v>5</v>
      </c>
      <c r="AQ73">
        <v>10</v>
      </c>
      <c r="AR73" t="s">
        <v>281</v>
      </c>
    </row>
    <row r="74" spans="1:44" x14ac:dyDescent="0.25">
      <c r="A74" t="s">
        <v>321</v>
      </c>
      <c r="B74" t="s">
        <v>322</v>
      </c>
      <c r="C74" t="s">
        <v>42</v>
      </c>
      <c r="D74" t="s">
        <v>323</v>
      </c>
      <c r="E74">
        <v>1</v>
      </c>
      <c r="F74" t="s">
        <v>112</v>
      </c>
      <c r="G74">
        <f>_xlfn.NUMBERVALUE(#REF!)</f>
        <v>163</v>
      </c>
      <c r="H74" t="s">
        <v>191</v>
      </c>
      <c r="I74" t="s">
        <v>114</v>
      </c>
      <c r="J74" t="s">
        <v>322</v>
      </c>
      <c r="K74" t="s">
        <v>324</v>
      </c>
      <c r="L74" t="s">
        <v>111</v>
      </c>
      <c r="M74" t="s">
        <v>111</v>
      </c>
      <c r="N74" t="s">
        <v>111</v>
      </c>
      <c r="O74" t="s">
        <v>111</v>
      </c>
      <c r="P74" t="s">
        <v>325</v>
      </c>
      <c r="Q74" t="s">
        <v>326</v>
      </c>
      <c r="R74" t="s">
        <v>127</v>
      </c>
      <c r="S74" t="s">
        <v>117</v>
      </c>
      <c r="T74" t="s">
        <v>111</v>
      </c>
      <c r="U74" s="8">
        <v>3</v>
      </c>
      <c r="V74" s="4">
        <v>3</v>
      </c>
      <c r="W74" s="4">
        <v>4</v>
      </c>
      <c r="X74" s="4">
        <v>5</v>
      </c>
      <c r="Y74" s="4">
        <v>3</v>
      </c>
      <c r="Z74" s="4">
        <v>3</v>
      </c>
      <c r="AA74" s="4">
        <v>4</v>
      </c>
      <c r="AB74" s="4"/>
      <c r="AC74" s="2">
        <v>4</v>
      </c>
      <c r="AD74" s="2">
        <f>IF(#REF! = 3, 1, IF(#REF! = 2.5, 0.5, IF(#REF! = 3.5, 0.5, 0)))</f>
        <v>0</v>
      </c>
      <c r="AE74" t="s">
        <v>185</v>
      </c>
      <c r="AF74">
        <f>IF(#REF!="PM &lt; 2.5 μm", 1, 0)</f>
        <v>0</v>
      </c>
      <c r="AG74" t="s">
        <v>131</v>
      </c>
      <c r="AH74">
        <f>IF(#REF!="Particles of this size are generally absorbed in the respiratory tract and safely excreted in mucus.", 1, 0)</f>
        <v>0</v>
      </c>
      <c r="AI74" t="s">
        <v>327</v>
      </c>
      <c r="AJ74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1</v>
      </c>
      <c r="AK74">
        <v>3</v>
      </c>
      <c r="AL74">
        <v>4</v>
      </c>
      <c r="AM74">
        <v>3</v>
      </c>
      <c r="AN74">
        <v>3</v>
      </c>
      <c r="AO74">
        <v>3</v>
      </c>
      <c r="AP74">
        <v>3</v>
      </c>
      <c r="AQ74">
        <v>7</v>
      </c>
      <c r="AR74" t="s">
        <v>328</v>
      </c>
    </row>
    <row r="75" spans="1:44" x14ac:dyDescent="0.25">
      <c r="A75" t="s">
        <v>329</v>
      </c>
      <c r="B75" t="s">
        <v>330</v>
      </c>
      <c r="C75" t="s">
        <v>42</v>
      </c>
      <c r="D75" t="s">
        <v>331</v>
      </c>
      <c r="E75">
        <v>1</v>
      </c>
      <c r="F75" t="s">
        <v>112</v>
      </c>
      <c r="G75">
        <f>_xlfn.NUMBERVALUE(#REF!)</f>
        <v>179</v>
      </c>
      <c r="H75" t="s">
        <v>332</v>
      </c>
      <c r="I75" t="s">
        <v>114</v>
      </c>
      <c r="J75" t="s">
        <v>330</v>
      </c>
      <c r="K75" t="s">
        <v>333</v>
      </c>
      <c r="L75" t="s">
        <v>111</v>
      </c>
      <c r="M75" t="s">
        <v>111</v>
      </c>
      <c r="N75" t="s">
        <v>111</v>
      </c>
      <c r="O75" t="s">
        <v>111</v>
      </c>
      <c r="P75" t="s">
        <v>151</v>
      </c>
      <c r="Q75" t="s">
        <v>152</v>
      </c>
      <c r="R75" t="s">
        <v>127</v>
      </c>
      <c r="S75" t="s">
        <v>117</v>
      </c>
      <c r="T75" t="s">
        <v>111</v>
      </c>
      <c r="U75" s="8">
        <v>4</v>
      </c>
      <c r="V75" s="4">
        <v>5</v>
      </c>
      <c r="W75" s="4">
        <v>5</v>
      </c>
      <c r="X75" s="4">
        <v>5</v>
      </c>
      <c r="Y75" s="4">
        <v>4</v>
      </c>
      <c r="Z75" s="4">
        <v>5</v>
      </c>
      <c r="AA75" s="4">
        <v>5</v>
      </c>
      <c r="AB75" s="4">
        <v>4</v>
      </c>
      <c r="AC75" s="2">
        <v>4</v>
      </c>
      <c r="AD75" s="2">
        <f>IF(#REF! = 3, 1, IF(#REF! = 2.5, 0.5, IF(#REF! = 3.5, 0.5, 0)))</f>
        <v>0</v>
      </c>
      <c r="AE75" t="s">
        <v>140</v>
      </c>
      <c r="AF75">
        <f>IF(#REF!="PM &lt; 2.5 μm", 1, 0)</f>
        <v>1</v>
      </c>
      <c r="AG75" t="s">
        <v>141</v>
      </c>
      <c r="AH75">
        <f>IF(#REF!="Particles of this size are generally absorbed in the respiratory tract and safely excreted in mucus.", 1, 0)</f>
        <v>0</v>
      </c>
      <c r="AI75" t="s">
        <v>156</v>
      </c>
      <c r="AJ75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4</v>
      </c>
      <c r="AK75">
        <v>3</v>
      </c>
      <c r="AL75">
        <v>4</v>
      </c>
      <c r="AM75">
        <v>2</v>
      </c>
      <c r="AN75">
        <v>1</v>
      </c>
      <c r="AO75">
        <v>1</v>
      </c>
      <c r="AP75">
        <v>3</v>
      </c>
      <c r="AQ75">
        <v>8</v>
      </c>
      <c r="AR75" t="s">
        <v>334</v>
      </c>
    </row>
    <row r="76" spans="1:44" x14ac:dyDescent="0.25">
      <c r="A76" t="s">
        <v>345</v>
      </c>
      <c r="B76" t="s">
        <v>346</v>
      </c>
      <c r="C76" t="s">
        <v>42</v>
      </c>
      <c r="D76" t="s">
        <v>347</v>
      </c>
      <c r="E76">
        <v>1</v>
      </c>
      <c r="F76" t="s">
        <v>112</v>
      </c>
      <c r="G76">
        <f>_xlfn.NUMBERVALUE(#REF!)</f>
        <v>104</v>
      </c>
      <c r="H76" t="s">
        <v>348</v>
      </c>
      <c r="I76" t="s">
        <v>114</v>
      </c>
      <c r="J76" t="s">
        <v>349</v>
      </c>
      <c r="K76" t="s">
        <v>350</v>
      </c>
      <c r="L76" t="s">
        <v>111</v>
      </c>
      <c r="M76" t="s">
        <v>111</v>
      </c>
      <c r="N76" t="s">
        <v>111</v>
      </c>
      <c r="O76" t="s">
        <v>111</v>
      </c>
      <c r="P76" t="s">
        <v>351</v>
      </c>
      <c r="Q76" t="s">
        <v>352</v>
      </c>
      <c r="R76" t="s">
        <v>127</v>
      </c>
      <c r="S76" t="s">
        <v>117</v>
      </c>
      <c r="T76" t="s">
        <v>111</v>
      </c>
      <c r="U76" s="8">
        <v>4</v>
      </c>
      <c r="V76" s="4">
        <v>4</v>
      </c>
      <c r="W76" s="4">
        <v>3</v>
      </c>
      <c r="X76" s="4">
        <v>4</v>
      </c>
      <c r="Y76" s="4">
        <v>3</v>
      </c>
      <c r="Z76" s="4">
        <v>4</v>
      </c>
      <c r="AA76" s="4">
        <v>5</v>
      </c>
      <c r="AB76" s="4">
        <v>3</v>
      </c>
      <c r="AC76" s="2">
        <v>3</v>
      </c>
      <c r="AD76" s="2">
        <f>IF(#REF! = 3, 1, IF(#REF! = 2.5, 0.5, IF(#REF! = 3.5, 0.5, 0)))</f>
        <v>1</v>
      </c>
      <c r="AE76" t="s">
        <v>154</v>
      </c>
      <c r="AF76">
        <f>IF(#REF!="PM &lt; 2.5 μm", 1, 0)</f>
        <v>0</v>
      </c>
      <c r="AG76" t="s">
        <v>141</v>
      </c>
      <c r="AH76">
        <f>IF(#REF!="Particles of this size are generally absorbed in the respiratory tract and safely excreted in mucus.", 1, 0)</f>
        <v>0</v>
      </c>
      <c r="AI76" t="s">
        <v>353</v>
      </c>
      <c r="AJ76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3</v>
      </c>
      <c r="AK76">
        <v>1</v>
      </c>
      <c r="AL76">
        <v>1</v>
      </c>
      <c r="AM76">
        <v>2</v>
      </c>
      <c r="AN76">
        <v>1</v>
      </c>
      <c r="AO76">
        <v>2</v>
      </c>
      <c r="AP76">
        <v>4</v>
      </c>
      <c r="AQ76">
        <v>7</v>
      </c>
      <c r="AR76" t="s">
        <v>111</v>
      </c>
    </row>
    <row r="77" spans="1:44" x14ac:dyDescent="0.25">
      <c r="A77" t="s">
        <v>364</v>
      </c>
      <c r="B77" t="s">
        <v>365</v>
      </c>
      <c r="C77" t="s">
        <v>42</v>
      </c>
      <c r="D77" t="s">
        <v>366</v>
      </c>
      <c r="E77">
        <v>1</v>
      </c>
      <c r="F77" t="s">
        <v>112</v>
      </c>
      <c r="G77">
        <f>_xlfn.NUMBERVALUE(#REF!)</f>
        <v>144</v>
      </c>
      <c r="H77" t="s">
        <v>367</v>
      </c>
      <c r="I77" t="s">
        <v>114</v>
      </c>
      <c r="J77" t="s">
        <v>368</v>
      </c>
      <c r="K77" t="s">
        <v>369</v>
      </c>
      <c r="L77" t="s">
        <v>111</v>
      </c>
      <c r="M77" t="s">
        <v>111</v>
      </c>
      <c r="N77" t="s">
        <v>111</v>
      </c>
      <c r="O77" t="s">
        <v>111</v>
      </c>
      <c r="P77" t="s">
        <v>115</v>
      </c>
      <c r="Q77" t="s">
        <v>116</v>
      </c>
      <c r="R77" t="s">
        <v>127</v>
      </c>
      <c r="S77" t="s">
        <v>117</v>
      </c>
      <c r="T77" t="s">
        <v>111</v>
      </c>
      <c r="U77" s="8">
        <v>4</v>
      </c>
      <c r="V77" s="4">
        <v>3</v>
      </c>
      <c r="W77" s="4">
        <v>3</v>
      </c>
      <c r="X77" s="4">
        <v>5</v>
      </c>
      <c r="Y77" s="4">
        <v>3</v>
      </c>
      <c r="Z77" s="4">
        <v>4</v>
      </c>
      <c r="AA77" s="4">
        <v>5</v>
      </c>
      <c r="AB77" s="4">
        <v>3</v>
      </c>
      <c r="AC77" s="2">
        <v>3.5</v>
      </c>
      <c r="AD77" s="2">
        <f>IF(#REF! = 3, 1, IF(#REF! = 2.5, 0.5, IF(#REF! = 3.5, 0.5, 0)))</f>
        <v>0.5</v>
      </c>
      <c r="AE77" t="s">
        <v>140</v>
      </c>
      <c r="AF77">
        <f>IF(#REF!="PM &lt; 2.5 μm", 1, 0)</f>
        <v>1</v>
      </c>
      <c r="AG77" t="s">
        <v>141</v>
      </c>
      <c r="AH77">
        <f>IF(#REF!="Particles of this size are generally absorbed in the respiratory tract and safely excreted in mucus.", 1, 0)</f>
        <v>0</v>
      </c>
      <c r="AI77" t="s">
        <v>370</v>
      </c>
      <c r="AJ77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2</v>
      </c>
      <c r="AK77">
        <v>3</v>
      </c>
      <c r="AL77">
        <v>5</v>
      </c>
      <c r="AM77">
        <v>3</v>
      </c>
      <c r="AN77">
        <v>4</v>
      </c>
      <c r="AO77">
        <v>4</v>
      </c>
      <c r="AP77">
        <v>5</v>
      </c>
      <c r="AQ77">
        <v>8</v>
      </c>
      <c r="AR77" t="s">
        <v>371</v>
      </c>
    </row>
    <row r="78" spans="1:44" x14ac:dyDescent="0.25">
      <c r="A78" t="s">
        <v>380</v>
      </c>
      <c r="B78" t="s">
        <v>381</v>
      </c>
      <c r="C78" t="s">
        <v>42</v>
      </c>
      <c r="D78" t="s">
        <v>382</v>
      </c>
      <c r="E78">
        <v>1</v>
      </c>
      <c r="F78" t="s">
        <v>112</v>
      </c>
      <c r="G78">
        <f>_xlfn.NUMBERVALUE(#REF!)</f>
        <v>1710</v>
      </c>
      <c r="H78" t="s">
        <v>383</v>
      </c>
      <c r="I78" t="s">
        <v>114</v>
      </c>
      <c r="J78" t="s">
        <v>384</v>
      </c>
      <c r="K78" t="s">
        <v>385</v>
      </c>
      <c r="L78" t="s">
        <v>111</v>
      </c>
      <c r="M78" t="s">
        <v>111</v>
      </c>
      <c r="N78" t="s">
        <v>111</v>
      </c>
      <c r="O78" t="s">
        <v>111</v>
      </c>
      <c r="P78" t="s">
        <v>229</v>
      </c>
      <c r="Q78" t="s">
        <v>230</v>
      </c>
      <c r="R78" t="s">
        <v>127</v>
      </c>
      <c r="S78" t="s">
        <v>117</v>
      </c>
      <c r="T78" t="s">
        <v>111</v>
      </c>
      <c r="U78" s="8">
        <v>3</v>
      </c>
      <c r="V78" s="4">
        <v>3</v>
      </c>
      <c r="W78" s="4">
        <v>4</v>
      </c>
      <c r="X78" s="4">
        <v>4</v>
      </c>
      <c r="Y78" s="4">
        <v>2</v>
      </c>
      <c r="Z78" s="4">
        <v>3</v>
      </c>
      <c r="AA78" s="4">
        <v>4</v>
      </c>
      <c r="AB78" s="4">
        <v>3</v>
      </c>
      <c r="AC78" s="2">
        <v>2.5</v>
      </c>
      <c r="AD78" s="2">
        <f>IF(#REF! = 3, 1, IF(#REF! = 2.5, 0.5, IF(#REF! = 3.5, 0.5, 0)))</f>
        <v>0.5</v>
      </c>
      <c r="AE78" t="s">
        <v>130</v>
      </c>
      <c r="AF78">
        <f>IF(#REF!="PM &lt; 2.5 μm", 1, 0)</f>
        <v>0</v>
      </c>
      <c r="AG78" t="s">
        <v>141</v>
      </c>
      <c r="AH78">
        <f>IF(#REF!="Particles of this size are generally absorbed in the respiratory tract and safely excreted in mucus.", 1, 0)</f>
        <v>0</v>
      </c>
      <c r="AI78" t="s">
        <v>167</v>
      </c>
      <c r="AJ78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3</v>
      </c>
      <c r="AK78">
        <v>5</v>
      </c>
      <c r="AL78">
        <v>3</v>
      </c>
      <c r="AM78">
        <v>3</v>
      </c>
      <c r="AN78">
        <v>2</v>
      </c>
      <c r="AO78">
        <v>5</v>
      </c>
      <c r="AP78">
        <v>3</v>
      </c>
      <c r="AQ78">
        <v>7</v>
      </c>
      <c r="AR78" t="s">
        <v>386</v>
      </c>
    </row>
    <row r="79" spans="1:44" x14ac:dyDescent="0.25">
      <c r="A79" t="s">
        <v>417</v>
      </c>
      <c r="B79" t="s">
        <v>413</v>
      </c>
      <c r="C79" t="s">
        <v>42</v>
      </c>
      <c r="D79" t="s">
        <v>389</v>
      </c>
      <c r="E79">
        <v>1</v>
      </c>
      <c r="F79" t="s">
        <v>112</v>
      </c>
      <c r="G79">
        <f>_xlfn.NUMBERVALUE(#REF!)</f>
        <v>68506</v>
      </c>
      <c r="H79" t="s">
        <v>418</v>
      </c>
      <c r="I79" t="s">
        <v>114</v>
      </c>
      <c r="J79" t="s">
        <v>413</v>
      </c>
      <c r="K79" t="s">
        <v>419</v>
      </c>
      <c r="L79" t="s">
        <v>111</v>
      </c>
      <c r="M79" t="s">
        <v>111</v>
      </c>
      <c r="N79" t="s">
        <v>111</v>
      </c>
      <c r="O79" t="s">
        <v>111</v>
      </c>
      <c r="P79" t="s">
        <v>392</v>
      </c>
      <c r="Q79" t="s">
        <v>393</v>
      </c>
      <c r="R79" t="s">
        <v>127</v>
      </c>
      <c r="S79" t="s">
        <v>117</v>
      </c>
      <c r="T79" t="s">
        <v>111</v>
      </c>
      <c r="U79" s="8">
        <v>4</v>
      </c>
      <c r="V79" s="4">
        <v>2</v>
      </c>
      <c r="W79" s="4">
        <v>4</v>
      </c>
      <c r="X79" s="4">
        <v>4</v>
      </c>
      <c r="Y79" s="4">
        <v>2</v>
      </c>
      <c r="Z79" s="4">
        <v>2</v>
      </c>
      <c r="AA79" s="4">
        <v>4</v>
      </c>
      <c r="AB79" s="4">
        <v>1</v>
      </c>
      <c r="AC79" s="2">
        <v>2</v>
      </c>
      <c r="AD79" s="2">
        <f>IF(#REF! = 3, 1, IF(#REF! = 2.5, 0.5, IF(#REF! = 3.5, 0.5, 0)))</f>
        <v>0</v>
      </c>
      <c r="AE79" t="s">
        <v>140</v>
      </c>
      <c r="AF79">
        <f>IF(#REF!="PM &lt; 2.5 μm", 1, 0)</f>
        <v>1</v>
      </c>
      <c r="AG79" t="s">
        <v>175</v>
      </c>
      <c r="AH79">
        <f>IF(#REF!="Particles of this size are generally absorbed in the respiratory tract and safely excreted in mucus.", 1, 0)</f>
        <v>1</v>
      </c>
      <c r="AI79" t="s">
        <v>420</v>
      </c>
      <c r="AJ79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1</v>
      </c>
      <c r="AK79">
        <v>2</v>
      </c>
      <c r="AL79">
        <v>3</v>
      </c>
      <c r="AM79">
        <v>2</v>
      </c>
      <c r="AN79">
        <v>2</v>
      </c>
      <c r="AO79">
        <v>2</v>
      </c>
      <c r="AP79">
        <v>4</v>
      </c>
      <c r="AQ79">
        <v>6</v>
      </c>
      <c r="AR79" t="s">
        <v>111</v>
      </c>
    </row>
    <row r="80" spans="1:44" x14ac:dyDescent="0.25">
      <c r="A80" t="s">
        <v>421</v>
      </c>
      <c r="B80" t="s">
        <v>422</v>
      </c>
      <c r="C80" t="s">
        <v>42</v>
      </c>
      <c r="D80" t="s">
        <v>423</v>
      </c>
      <c r="E80">
        <v>1</v>
      </c>
      <c r="F80" t="s">
        <v>112</v>
      </c>
      <c r="G80">
        <f>_xlfn.NUMBERVALUE(#REF!)</f>
        <v>241</v>
      </c>
      <c r="H80" t="s">
        <v>424</v>
      </c>
      <c r="I80" t="s">
        <v>114</v>
      </c>
      <c r="J80" t="s">
        <v>425</v>
      </c>
      <c r="K80" t="s">
        <v>426</v>
      </c>
      <c r="L80" t="s">
        <v>111</v>
      </c>
      <c r="M80" t="s">
        <v>111</v>
      </c>
      <c r="N80" t="s">
        <v>111</v>
      </c>
      <c r="O80" t="s">
        <v>111</v>
      </c>
      <c r="P80" t="s">
        <v>427</v>
      </c>
      <c r="Q80" t="s">
        <v>428</v>
      </c>
      <c r="R80" t="s">
        <v>127</v>
      </c>
      <c r="S80" t="s">
        <v>117</v>
      </c>
      <c r="T80" t="s">
        <v>111</v>
      </c>
      <c r="U80" s="8">
        <v>5</v>
      </c>
      <c r="V80" s="4">
        <v>5</v>
      </c>
      <c r="W80" s="4">
        <v>5</v>
      </c>
      <c r="X80" s="4">
        <v>5</v>
      </c>
      <c r="Y80" s="4">
        <v>5</v>
      </c>
      <c r="Z80" s="4">
        <v>5</v>
      </c>
      <c r="AA80" s="4">
        <v>5</v>
      </c>
      <c r="AB80" s="4">
        <v>3</v>
      </c>
      <c r="AC80" s="2">
        <v>2</v>
      </c>
      <c r="AD80" s="2">
        <f>IF(#REF! = 3, 1, IF(#REF! = 2.5, 0.5, IF(#REF! = 3.5, 0.5, 0)))</f>
        <v>0</v>
      </c>
      <c r="AE80" t="s">
        <v>130</v>
      </c>
      <c r="AF80">
        <f>IF(#REF!="PM &lt; 2.5 μm", 1, 0)</f>
        <v>0</v>
      </c>
      <c r="AG80" t="s">
        <v>141</v>
      </c>
      <c r="AH80">
        <f>IF(#REF!="Particles of this size are generally absorbed in the respiratory tract and safely excreted in mucus.", 1, 0)</f>
        <v>0</v>
      </c>
      <c r="AI80" t="s">
        <v>156</v>
      </c>
      <c r="AJ80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4</v>
      </c>
      <c r="AK80">
        <v>3</v>
      </c>
      <c r="AL80">
        <v>1</v>
      </c>
      <c r="AM80">
        <v>3</v>
      </c>
      <c r="AN80">
        <v>3</v>
      </c>
      <c r="AO80">
        <v>3</v>
      </c>
      <c r="AP80">
        <v>3</v>
      </c>
      <c r="AQ80">
        <v>6</v>
      </c>
      <c r="AR80" t="s">
        <v>111</v>
      </c>
    </row>
    <row r="81" spans="1:44" x14ac:dyDescent="0.25">
      <c r="A81" t="s">
        <v>438</v>
      </c>
      <c r="B81" t="s">
        <v>439</v>
      </c>
      <c r="C81" t="s">
        <v>42</v>
      </c>
      <c r="D81" t="s">
        <v>389</v>
      </c>
      <c r="E81">
        <v>1</v>
      </c>
      <c r="F81" t="s">
        <v>112</v>
      </c>
      <c r="G81">
        <f>_xlfn.NUMBERVALUE(#REF!)</f>
        <v>123</v>
      </c>
      <c r="H81" t="s">
        <v>399</v>
      </c>
      <c r="I81" t="s">
        <v>114</v>
      </c>
      <c r="J81" t="s">
        <v>440</v>
      </c>
      <c r="K81" t="s">
        <v>441</v>
      </c>
      <c r="L81" t="s">
        <v>111</v>
      </c>
      <c r="M81" t="s">
        <v>111</v>
      </c>
      <c r="N81" t="s">
        <v>111</v>
      </c>
      <c r="O81" t="s">
        <v>111</v>
      </c>
      <c r="P81" t="s">
        <v>392</v>
      </c>
      <c r="Q81" t="s">
        <v>393</v>
      </c>
      <c r="R81" t="s">
        <v>127</v>
      </c>
      <c r="S81" t="s">
        <v>117</v>
      </c>
      <c r="T81" t="s">
        <v>111</v>
      </c>
      <c r="U81" s="8">
        <v>4</v>
      </c>
      <c r="V81" s="4">
        <v>4</v>
      </c>
      <c r="W81" s="4">
        <v>4</v>
      </c>
      <c r="X81" s="4">
        <v>4</v>
      </c>
      <c r="Y81" s="4">
        <v>4</v>
      </c>
      <c r="Z81" s="4">
        <v>4</v>
      </c>
      <c r="AA81" s="4">
        <v>4</v>
      </c>
      <c r="AB81" s="4">
        <v>4</v>
      </c>
      <c r="AC81" s="2">
        <v>2</v>
      </c>
      <c r="AD81" s="2">
        <f>IF(#REF! = 3, 1, IF(#REF! = 2.5, 0.5, IF(#REF! = 3.5, 0.5, 0)))</f>
        <v>0</v>
      </c>
      <c r="AE81" t="s">
        <v>130</v>
      </c>
      <c r="AF81">
        <f>IF(#REF!="PM &lt; 2.5 μm", 1, 0)</f>
        <v>0</v>
      </c>
      <c r="AG81" t="s">
        <v>131</v>
      </c>
      <c r="AH81">
        <f>IF(#REF!="Particles of this size are generally absorbed in the respiratory tract and safely excreted in mucus.", 1, 0)</f>
        <v>0</v>
      </c>
      <c r="AI81" t="s">
        <v>186</v>
      </c>
      <c r="AJ81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3</v>
      </c>
      <c r="AK81">
        <v>3</v>
      </c>
      <c r="AL81">
        <v>1</v>
      </c>
      <c r="AM81">
        <v>3</v>
      </c>
      <c r="AN81">
        <v>3</v>
      </c>
      <c r="AO81">
        <v>3</v>
      </c>
      <c r="AP81">
        <v>2</v>
      </c>
      <c r="AQ81">
        <v>6</v>
      </c>
      <c r="AR81" t="s">
        <v>442</v>
      </c>
    </row>
    <row r="82" spans="1:44" x14ac:dyDescent="0.25">
      <c r="A82" t="s">
        <v>451</v>
      </c>
      <c r="B82" t="s">
        <v>452</v>
      </c>
      <c r="C82" t="s">
        <v>42</v>
      </c>
      <c r="D82" t="s">
        <v>453</v>
      </c>
      <c r="E82">
        <v>1</v>
      </c>
      <c r="F82" t="s">
        <v>112</v>
      </c>
      <c r="G82">
        <f>_xlfn.NUMBERVALUE(#REF!)</f>
        <v>111</v>
      </c>
      <c r="H82" t="s">
        <v>454</v>
      </c>
      <c r="I82" t="s">
        <v>114</v>
      </c>
      <c r="J82" t="s">
        <v>455</v>
      </c>
      <c r="K82" t="s">
        <v>456</v>
      </c>
      <c r="L82" t="s">
        <v>111</v>
      </c>
      <c r="M82" t="s">
        <v>111</v>
      </c>
      <c r="N82" t="s">
        <v>111</v>
      </c>
      <c r="O82" t="s">
        <v>111</v>
      </c>
      <c r="P82" t="s">
        <v>115</v>
      </c>
      <c r="Q82" t="s">
        <v>116</v>
      </c>
      <c r="R82" t="s">
        <v>127</v>
      </c>
      <c r="S82" t="s">
        <v>117</v>
      </c>
      <c r="T82" t="s">
        <v>111</v>
      </c>
      <c r="U82" s="8">
        <v>5</v>
      </c>
      <c r="V82" s="4">
        <v>3</v>
      </c>
      <c r="W82" s="4">
        <v>1</v>
      </c>
      <c r="X82" s="4">
        <v>4</v>
      </c>
      <c r="Y82" s="4">
        <v>1</v>
      </c>
      <c r="Z82" s="4">
        <v>5</v>
      </c>
      <c r="AA82" s="4">
        <v>5</v>
      </c>
      <c r="AB82" s="4">
        <v>1</v>
      </c>
      <c r="AC82" s="2">
        <v>2</v>
      </c>
      <c r="AD82" s="2">
        <f>IF(#REF! = 3, 1, IF(#REF! = 2.5, 0.5, IF(#REF! = 3.5, 0.5, 0)))</f>
        <v>0</v>
      </c>
      <c r="AE82" t="s">
        <v>154</v>
      </c>
      <c r="AF82">
        <f>IF(#REF!="PM &lt; 2.5 μm", 1, 0)</f>
        <v>0</v>
      </c>
      <c r="AG82" t="s">
        <v>131</v>
      </c>
      <c r="AH82">
        <f>IF(#REF!="Particles of this size are generally absorbed in the respiratory tract and safely excreted in mucus.", 1, 0)</f>
        <v>0</v>
      </c>
      <c r="AI82" t="s">
        <v>327</v>
      </c>
      <c r="AJ82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1</v>
      </c>
      <c r="AK82">
        <v>4</v>
      </c>
      <c r="AL82">
        <v>3</v>
      </c>
      <c r="AM82">
        <v>2</v>
      </c>
      <c r="AN82">
        <v>3</v>
      </c>
      <c r="AO82">
        <v>4</v>
      </c>
      <c r="AP82">
        <v>4</v>
      </c>
      <c r="AQ82">
        <v>6</v>
      </c>
      <c r="AR82" t="s">
        <v>111</v>
      </c>
    </row>
    <row r="83" spans="1:44" x14ac:dyDescent="0.25">
      <c r="A83" t="s">
        <v>463</v>
      </c>
      <c r="B83" t="s">
        <v>464</v>
      </c>
      <c r="C83" t="s">
        <v>42</v>
      </c>
      <c r="D83" t="s">
        <v>465</v>
      </c>
      <c r="E83">
        <v>1</v>
      </c>
      <c r="F83" t="s">
        <v>112</v>
      </c>
      <c r="G83">
        <f>_xlfn.NUMBERVALUE(#REF!)</f>
        <v>79</v>
      </c>
      <c r="H83" t="s">
        <v>466</v>
      </c>
      <c r="I83" t="s">
        <v>114</v>
      </c>
      <c r="J83" t="s">
        <v>467</v>
      </c>
      <c r="K83" t="s">
        <v>468</v>
      </c>
      <c r="L83" t="s">
        <v>111</v>
      </c>
      <c r="M83" t="s">
        <v>111</v>
      </c>
      <c r="N83" t="s">
        <v>111</v>
      </c>
      <c r="O83" t="s">
        <v>111</v>
      </c>
      <c r="P83" t="s">
        <v>341</v>
      </c>
      <c r="Q83" t="s">
        <v>342</v>
      </c>
      <c r="R83" t="s">
        <v>127</v>
      </c>
      <c r="S83" t="s">
        <v>117</v>
      </c>
      <c r="T83" t="s">
        <v>111</v>
      </c>
      <c r="U83" s="8">
        <v>4</v>
      </c>
      <c r="V83" s="4">
        <v>3</v>
      </c>
      <c r="W83" s="4">
        <v>3</v>
      </c>
      <c r="X83" s="4">
        <v>3</v>
      </c>
      <c r="Y83" s="4">
        <v>2</v>
      </c>
      <c r="Z83" s="4">
        <v>3</v>
      </c>
      <c r="AA83" s="4">
        <v>3</v>
      </c>
      <c r="AB83" s="4">
        <v>1</v>
      </c>
      <c r="AC83" s="2">
        <v>3.5</v>
      </c>
      <c r="AD83" s="2">
        <f>IF(#REF! = 3, 1, IF(#REF! = 2.5, 0.5, IF(#REF! = 3.5, 0.5, 0)))</f>
        <v>0.5</v>
      </c>
      <c r="AE83" t="s">
        <v>140</v>
      </c>
      <c r="AF83">
        <f>IF(#REF!="PM &lt; 2.5 μm", 1, 0)</f>
        <v>1</v>
      </c>
      <c r="AG83" t="s">
        <v>141</v>
      </c>
      <c r="AH83">
        <f>IF(#REF!="Particles of this size are generally absorbed in the respiratory tract and safely excreted in mucus.", 1, 0)</f>
        <v>0</v>
      </c>
      <c r="AI83" t="s">
        <v>167</v>
      </c>
      <c r="AJ83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3</v>
      </c>
      <c r="AK83">
        <v>4</v>
      </c>
      <c r="AL83">
        <v>2</v>
      </c>
      <c r="AM83">
        <v>4</v>
      </c>
      <c r="AN83">
        <v>2</v>
      </c>
      <c r="AO83">
        <v>3</v>
      </c>
      <c r="AP83">
        <v>4</v>
      </c>
      <c r="AQ83">
        <v>7</v>
      </c>
      <c r="AR83" t="s">
        <v>111</v>
      </c>
    </row>
    <row r="84" spans="1:44" x14ac:dyDescent="0.25">
      <c r="A84" t="s">
        <v>482</v>
      </c>
      <c r="B84" t="s">
        <v>483</v>
      </c>
      <c r="C84" t="s">
        <v>42</v>
      </c>
      <c r="D84" t="s">
        <v>389</v>
      </c>
      <c r="E84">
        <v>1</v>
      </c>
      <c r="F84" t="s">
        <v>112</v>
      </c>
      <c r="G84">
        <f>_xlfn.NUMBERVALUE(#REF!)</f>
        <v>97</v>
      </c>
      <c r="H84" t="s">
        <v>484</v>
      </c>
      <c r="I84" t="s">
        <v>114</v>
      </c>
      <c r="J84" t="s">
        <v>485</v>
      </c>
      <c r="K84" t="s">
        <v>486</v>
      </c>
      <c r="L84" t="s">
        <v>111</v>
      </c>
      <c r="M84" t="s">
        <v>111</v>
      </c>
      <c r="N84" t="s">
        <v>111</v>
      </c>
      <c r="O84" t="s">
        <v>111</v>
      </c>
      <c r="P84" t="s">
        <v>392</v>
      </c>
      <c r="Q84" t="s">
        <v>393</v>
      </c>
      <c r="R84" t="s">
        <v>487</v>
      </c>
      <c r="S84" t="s">
        <v>117</v>
      </c>
      <c r="T84" t="s">
        <v>111</v>
      </c>
      <c r="U84" s="8">
        <v>5</v>
      </c>
      <c r="V84" s="4">
        <v>5</v>
      </c>
      <c r="W84" s="4">
        <v>4</v>
      </c>
      <c r="X84" s="4">
        <v>5</v>
      </c>
      <c r="Y84" s="4">
        <v>4</v>
      </c>
      <c r="Z84" s="4">
        <v>5</v>
      </c>
      <c r="AA84" s="4">
        <v>5</v>
      </c>
      <c r="AB84" s="4">
        <v>4</v>
      </c>
      <c r="AC84" s="2">
        <v>4.5</v>
      </c>
      <c r="AD84" s="2">
        <f>IF(#REF! = 3, 1, IF(#REF! = 2.5, 0.5, IF(#REF! = 3.5, 0.5, 0)))</f>
        <v>0</v>
      </c>
      <c r="AE84" t="s">
        <v>130</v>
      </c>
      <c r="AF84">
        <f>IF(#REF!="PM &lt; 2.5 μm", 1, 0)</f>
        <v>0</v>
      </c>
      <c r="AG84" t="s">
        <v>141</v>
      </c>
      <c r="AH84">
        <f>IF(#REF!="Particles of this size are generally absorbed in the respiratory tract and safely excreted in mucus.", 1, 0)</f>
        <v>0</v>
      </c>
      <c r="AI84" t="s">
        <v>142</v>
      </c>
      <c r="AJ84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2</v>
      </c>
      <c r="AK84">
        <v>4</v>
      </c>
      <c r="AL84">
        <v>4</v>
      </c>
      <c r="AM84">
        <v>5</v>
      </c>
      <c r="AN84">
        <v>4</v>
      </c>
      <c r="AO84">
        <v>5</v>
      </c>
      <c r="AP84">
        <v>5</v>
      </c>
      <c r="AQ84">
        <v>8</v>
      </c>
      <c r="AR84" t="s">
        <v>111</v>
      </c>
    </row>
    <row r="85" spans="1:44" x14ac:dyDescent="0.25">
      <c r="A85" t="s">
        <v>488</v>
      </c>
      <c r="B85" t="s">
        <v>485</v>
      </c>
      <c r="C85" t="s">
        <v>42</v>
      </c>
      <c r="D85" t="s">
        <v>389</v>
      </c>
      <c r="E85">
        <v>1</v>
      </c>
      <c r="F85" t="s">
        <v>112</v>
      </c>
      <c r="G85">
        <f>_xlfn.NUMBERVALUE(#REF!)</f>
        <v>122</v>
      </c>
      <c r="H85" t="s">
        <v>489</v>
      </c>
      <c r="I85" t="s">
        <v>114</v>
      </c>
      <c r="J85" t="s">
        <v>485</v>
      </c>
      <c r="K85" t="s">
        <v>490</v>
      </c>
      <c r="L85" t="s">
        <v>111</v>
      </c>
      <c r="M85" t="s">
        <v>111</v>
      </c>
      <c r="N85" t="s">
        <v>111</v>
      </c>
      <c r="O85" t="s">
        <v>111</v>
      </c>
      <c r="P85" t="s">
        <v>392</v>
      </c>
      <c r="Q85" t="s">
        <v>393</v>
      </c>
      <c r="R85" t="s">
        <v>487</v>
      </c>
      <c r="S85" t="s">
        <v>117</v>
      </c>
      <c r="T85" t="s">
        <v>111</v>
      </c>
      <c r="U85" s="8">
        <v>5</v>
      </c>
      <c r="V85" s="4">
        <v>5</v>
      </c>
      <c r="W85" s="4">
        <v>4</v>
      </c>
      <c r="X85" s="4">
        <v>5</v>
      </c>
      <c r="Y85" s="4">
        <v>3</v>
      </c>
      <c r="Z85" s="4">
        <v>4</v>
      </c>
      <c r="AA85" s="4">
        <v>5</v>
      </c>
      <c r="AB85" s="4">
        <v>3</v>
      </c>
      <c r="AC85" s="2">
        <v>4</v>
      </c>
      <c r="AD85" s="2">
        <f>IF(#REF! = 3, 1, IF(#REF! = 2.5, 0.5, IF(#REF! = 3.5, 0.5, 0)))</f>
        <v>0</v>
      </c>
      <c r="AE85" t="s">
        <v>130</v>
      </c>
      <c r="AF85">
        <f>IF(#REF!="PM &lt; 2.5 μm", 1, 0)</f>
        <v>0</v>
      </c>
      <c r="AG85" t="s">
        <v>175</v>
      </c>
      <c r="AH85">
        <f>IF(#REF!="Particles of this size are generally absorbed in the respiratory tract and safely excreted in mucus.", 1, 0)</f>
        <v>1</v>
      </c>
      <c r="AI85" t="s">
        <v>186</v>
      </c>
      <c r="AJ85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3</v>
      </c>
      <c r="AK85">
        <v>3</v>
      </c>
      <c r="AL85">
        <v>4</v>
      </c>
      <c r="AM85">
        <v>3</v>
      </c>
      <c r="AN85">
        <v>3</v>
      </c>
      <c r="AO85">
        <v>4</v>
      </c>
      <c r="AP85">
        <v>4</v>
      </c>
      <c r="AQ85">
        <v>7</v>
      </c>
      <c r="AR85" t="s">
        <v>491</v>
      </c>
    </row>
    <row r="86" spans="1:44" x14ac:dyDescent="0.25">
      <c r="A86" t="s">
        <v>505</v>
      </c>
      <c r="B86" t="s">
        <v>506</v>
      </c>
      <c r="C86" t="s">
        <v>42</v>
      </c>
      <c r="D86" t="s">
        <v>389</v>
      </c>
      <c r="E86">
        <v>1</v>
      </c>
      <c r="F86" t="s">
        <v>112</v>
      </c>
      <c r="G86">
        <f>_xlfn.NUMBERVALUE(#REF!)</f>
        <v>169</v>
      </c>
      <c r="H86" t="s">
        <v>507</v>
      </c>
      <c r="I86" t="s">
        <v>114</v>
      </c>
      <c r="J86" t="s">
        <v>506</v>
      </c>
      <c r="K86" t="s">
        <v>508</v>
      </c>
      <c r="L86" t="s">
        <v>111</v>
      </c>
      <c r="M86" t="s">
        <v>111</v>
      </c>
      <c r="N86" t="s">
        <v>111</v>
      </c>
      <c r="O86" t="s">
        <v>111</v>
      </c>
      <c r="P86" t="s">
        <v>392</v>
      </c>
      <c r="Q86" t="s">
        <v>393</v>
      </c>
      <c r="R86" t="s">
        <v>127</v>
      </c>
      <c r="S86" t="s">
        <v>117</v>
      </c>
      <c r="T86" t="s">
        <v>111</v>
      </c>
      <c r="U86" s="8">
        <v>5</v>
      </c>
      <c r="V86" s="4">
        <v>2</v>
      </c>
      <c r="W86" s="4">
        <v>4</v>
      </c>
      <c r="X86" s="4">
        <v>5</v>
      </c>
      <c r="Y86" s="4">
        <v>2</v>
      </c>
      <c r="Z86" s="4">
        <v>5</v>
      </c>
      <c r="AA86" s="4">
        <v>5</v>
      </c>
      <c r="AB86" s="4"/>
      <c r="AC86" s="2">
        <v>2.5</v>
      </c>
      <c r="AD86" s="2">
        <f>IF(#REF! = 3, 1, IF(#REF! = 2.5, 0.5, IF(#REF! = 3.5, 0.5, 0)))</f>
        <v>0.5</v>
      </c>
      <c r="AE86" t="s">
        <v>130</v>
      </c>
      <c r="AF86">
        <f>IF(#REF!="PM &lt; 2.5 μm", 1, 0)</f>
        <v>0</v>
      </c>
      <c r="AG86" t="s">
        <v>175</v>
      </c>
      <c r="AH86">
        <f>IF(#REF!="Particles of this size are generally absorbed in the respiratory tract and safely excreted in mucus.", 1, 0)</f>
        <v>1</v>
      </c>
      <c r="AI86" t="s">
        <v>327</v>
      </c>
      <c r="AJ86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1</v>
      </c>
      <c r="AK86">
        <v>1</v>
      </c>
      <c r="AL86">
        <v>1</v>
      </c>
      <c r="AM86">
        <v>2</v>
      </c>
      <c r="AN86">
        <v>1</v>
      </c>
      <c r="AO86">
        <v>2</v>
      </c>
      <c r="AP86">
        <v>4</v>
      </c>
      <c r="AQ86">
        <v>7</v>
      </c>
      <c r="AR86" t="s">
        <v>509</v>
      </c>
    </row>
    <row r="87" spans="1:44" x14ac:dyDescent="0.25">
      <c r="A87" t="s">
        <v>510</v>
      </c>
      <c r="B87" t="s">
        <v>511</v>
      </c>
      <c r="C87" t="s">
        <v>42</v>
      </c>
      <c r="D87" t="s">
        <v>389</v>
      </c>
      <c r="E87">
        <v>1</v>
      </c>
      <c r="F87" t="s">
        <v>112</v>
      </c>
      <c r="G87">
        <f>_xlfn.NUMBERVALUE(#REF!)</f>
        <v>119</v>
      </c>
      <c r="H87" t="s">
        <v>512</v>
      </c>
      <c r="I87" t="s">
        <v>114</v>
      </c>
      <c r="J87" t="s">
        <v>513</v>
      </c>
      <c r="K87" t="s">
        <v>514</v>
      </c>
      <c r="L87" t="s">
        <v>111</v>
      </c>
      <c r="M87" t="s">
        <v>111</v>
      </c>
      <c r="N87" t="s">
        <v>111</v>
      </c>
      <c r="O87" t="s">
        <v>111</v>
      </c>
      <c r="P87" t="s">
        <v>392</v>
      </c>
      <c r="Q87" t="s">
        <v>393</v>
      </c>
      <c r="R87" t="s">
        <v>487</v>
      </c>
      <c r="S87" t="s">
        <v>117</v>
      </c>
      <c r="T87" t="s">
        <v>111</v>
      </c>
      <c r="U87" s="8">
        <v>4</v>
      </c>
      <c r="V87" s="4">
        <v>5</v>
      </c>
      <c r="W87" s="4">
        <v>3</v>
      </c>
      <c r="X87" s="4">
        <v>5</v>
      </c>
      <c r="Y87" s="4">
        <v>2</v>
      </c>
      <c r="Z87" s="4">
        <v>2</v>
      </c>
      <c r="AA87" s="4">
        <v>5</v>
      </c>
      <c r="AB87" s="4">
        <v>2</v>
      </c>
      <c r="AC87" s="2">
        <v>1</v>
      </c>
      <c r="AD87" s="2">
        <f>IF(#REF! = 3, 1, IF(#REF! = 2.5, 0.5, IF(#REF! = 3.5, 0.5, 0)))</f>
        <v>0</v>
      </c>
      <c r="AE87" t="s">
        <v>154</v>
      </c>
      <c r="AF87">
        <f>IF(#REF!="PM &lt; 2.5 μm", 1, 0)</f>
        <v>0</v>
      </c>
      <c r="AG87" t="s">
        <v>141</v>
      </c>
      <c r="AH87">
        <f>IF(#REF!="Particles of this size are generally absorbed in the respiratory tract and safely excreted in mucus.", 1, 0)</f>
        <v>0</v>
      </c>
      <c r="AI87" t="s">
        <v>232</v>
      </c>
      <c r="AJ87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1</v>
      </c>
      <c r="AK87">
        <v>5</v>
      </c>
      <c r="AL87">
        <v>5</v>
      </c>
      <c r="AM87">
        <v>5</v>
      </c>
      <c r="AN87">
        <v>5</v>
      </c>
      <c r="AO87">
        <v>5</v>
      </c>
      <c r="AP87">
        <v>5</v>
      </c>
      <c r="AQ87">
        <v>9</v>
      </c>
      <c r="AR87" t="s">
        <v>111</v>
      </c>
    </row>
    <row r="88" spans="1:44" x14ac:dyDescent="0.25">
      <c r="A88" t="s">
        <v>521</v>
      </c>
      <c r="B88" t="s">
        <v>522</v>
      </c>
      <c r="C88" t="s">
        <v>42</v>
      </c>
      <c r="D88" t="s">
        <v>389</v>
      </c>
      <c r="E88">
        <v>1</v>
      </c>
      <c r="F88" t="s">
        <v>112</v>
      </c>
      <c r="G88">
        <f>_xlfn.NUMBERVALUE(#REF!)</f>
        <v>129</v>
      </c>
      <c r="H88" t="s">
        <v>523</v>
      </c>
      <c r="I88" t="s">
        <v>114</v>
      </c>
      <c r="J88" t="s">
        <v>522</v>
      </c>
      <c r="K88" t="s">
        <v>524</v>
      </c>
      <c r="L88" t="s">
        <v>111</v>
      </c>
      <c r="M88" t="s">
        <v>111</v>
      </c>
      <c r="N88" t="s">
        <v>111</v>
      </c>
      <c r="O88" t="s">
        <v>111</v>
      </c>
      <c r="P88" t="s">
        <v>392</v>
      </c>
      <c r="Q88" t="s">
        <v>393</v>
      </c>
      <c r="R88" t="s">
        <v>127</v>
      </c>
      <c r="S88" t="s">
        <v>117</v>
      </c>
      <c r="T88" t="s">
        <v>111</v>
      </c>
      <c r="U88" s="8">
        <v>5</v>
      </c>
      <c r="V88" s="4">
        <v>4</v>
      </c>
      <c r="W88" s="4">
        <v>4</v>
      </c>
      <c r="X88" s="4">
        <v>4</v>
      </c>
      <c r="Y88" s="4">
        <v>4</v>
      </c>
      <c r="Z88" s="4">
        <v>4</v>
      </c>
      <c r="AA88" s="4">
        <v>4</v>
      </c>
      <c r="AB88" s="4">
        <v>3</v>
      </c>
      <c r="AC88" s="2">
        <v>4</v>
      </c>
      <c r="AD88" s="2">
        <f>IF(#REF! = 3, 1, IF(#REF! = 2.5, 0.5, IF(#REF! = 3.5, 0.5, 0)))</f>
        <v>0</v>
      </c>
      <c r="AE88" t="s">
        <v>525</v>
      </c>
      <c r="AF88">
        <f>IF(#REF!="PM &lt; 2.5 μm", 1, 0)</f>
        <v>0</v>
      </c>
      <c r="AG88" t="s">
        <v>131</v>
      </c>
      <c r="AH88">
        <f>IF(#REF!="Particles of this size are generally absorbed in the respiratory tract and safely excreted in mucus.", 1, 0)</f>
        <v>0</v>
      </c>
      <c r="AI88" t="s">
        <v>526</v>
      </c>
      <c r="AJ88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-1</v>
      </c>
      <c r="AK88">
        <v>2</v>
      </c>
      <c r="AL88">
        <v>2</v>
      </c>
      <c r="AM88">
        <v>2</v>
      </c>
      <c r="AN88">
        <v>2</v>
      </c>
      <c r="AO88">
        <v>4</v>
      </c>
      <c r="AP88">
        <v>4</v>
      </c>
      <c r="AQ88">
        <v>5</v>
      </c>
      <c r="AR88" t="s">
        <v>527</v>
      </c>
    </row>
    <row r="89" spans="1:44" x14ac:dyDescent="0.25">
      <c r="A89" t="s">
        <v>560</v>
      </c>
      <c r="B89" t="s">
        <v>561</v>
      </c>
      <c r="C89" t="s">
        <v>42</v>
      </c>
      <c r="D89" t="s">
        <v>389</v>
      </c>
      <c r="E89">
        <v>1</v>
      </c>
      <c r="F89" t="s">
        <v>112</v>
      </c>
      <c r="G89">
        <f>_xlfn.NUMBERVALUE(#REF!)</f>
        <v>151</v>
      </c>
      <c r="H89" t="s">
        <v>562</v>
      </c>
      <c r="I89" t="s">
        <v>114</v>
      </c>
      <c r="J89" t="s">
        <v>561</v>
      </c>
      <c r="K89" t="s">
        <v>563</v>
      </c>
      <c r="L89" t="s">
        <v>111</v>
      </c>
      <c r="M89" t="s">
        <v>111</v>
      </c>
      <c r="N89" t="s">
        <v>111</v>
      </c>
      <c r="O89" t="s">
        <v>111</v>
      </c>
      <c r="P89" t="s">
        <v>392</v>
      </c>
      <c r="Q89" t="s">
        <v>393</v>
      </c>
      <c r="R89" t="s">
        <v>487</v>
      </c>
      <c r="S89" t="s">
        <v>117</v>
      </c>
      <c r="T89" t="s">
        <v>111</v>
      </c>
      <c r="U89" s="8">
        <v>5</v>
      </c>
      <c r="V89" s="4">
        <v>5</v>
      </c>
      <c r="W89" s="4">
        <v>5</v>
      </c>
      <c r="X89" s="4">
        <v>5</v>
      </c>
      <c r="Y89" s="4">
        <v>5</v>
      </c>
      <c r="Z89" s="4">
        <v>5</v>
      </c>
      <c r="AA89" s="4">
        <v>5</v>
      </c>
      <c r="AB89" s="4">
        <v>5</v>
      </c>
      <c r="AC89" s="2">
        <v>4.5</v>
      </c>
      <c r="AD89" s="2">
        <f>IF(#REF! = 3, 1, IF(#REF! = 2.5, 0.5, IF(#REF! = 3.5, 0.5, 0)))</f>
        <v>0</v>
      </c>
      <c r="AE89" t="s">
        <v>525</v>
      </c>
      <c r="AF89">
        <f>IF(#REF!="PM &lt; 2.5 μm", 1, 0)</f>
        <v>0</v>
      </c>
      <c r="AG89" t="s">
        <v>141</v>
      </c>
      <c r="AH89">
        <f>IF(#REF!="Particles of this size are generally absorbed in the respiratory tract and safely excreted in mucus.", 1, 0)</f>
        <v>0</v>
      </c>
      <c r="AI89" t="s">
        <v>167</v>
      </c>
      <c r="AJ89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3</v>
      </c>
      <c r="AK89">
        <v>4</v>
      </c>
      <c r="AL89">
        <v>4</v>
      </c>
      <c r="AM89">
        <v>4</v>
      </c>
      <c r="AN89">
        <v>4</v>
      </c>
      <c r="AO89">
        <v>4</v>
      </c>
      <c r="AP89">
        <v>4</v>
      </c>
      <c r="AQ89">
        <v>10</v>
      </c>
      <c r="AR89" t="s">
        <v>564</v>
      </c>
    </row>
    <row r="90" spans="1:44" x14ac:dyDescent="0.25">
      <c r="A90" t="s">
        <v>639</v>
      </c>
      <c r="B90" t="s">
        <v>640</v>
      </c>
      <c r="C90" t="s">
        <v>42</v>
      </c>
      <c r="D90" t="s">
        <v>389</v>
      </c>
      <c r="E90">
        <v>1</v>
      </c>
      <c r="F90" t="s">
        <v>112</v>
      </c>
      <c r="G90">
        <f>_xlfn.NUMBERVALUE(#REF!)</f>
        <v>247</v>
      </c>
      <c r="H90" t="s">
        <v>641</v>
      </c>
      <c r="I90" t="s">
        <v>114</v>
      </c>
      <c r="J90" t="s">
        <v>642</v>
      </c>
      <c r="K90" t="s">
        <v>643</v>
      </c>
      <c r="L90" t="s">
        <v>111</v>
      </c>
      <c r="M90" t="s">
        <v>111</v>
      </c>
      <c r="N90" t="s">
        <v>111</v>
      </c>
      <c r="O90" t="s">
        <v>111</v>
      </c>
      <c r="P90" t="s">
        <v>392</v>
      </c>
      <c r="Q90" t="s">
        <v>393</v>
      </c>
      <c r="R90" t="s">
        <v>487</v>
      </c>
      <c r="S90" t="s">
        <v>117</v>
      </c>
      <c r="T90" t="s">
        <v>111</v>
      </c>
      <c r="U90" s="8">
        <v>4</v>
      </c>
      <c r="V90" s="4">
        <v>4</v>
      </c>
      <c r="W90" s="4">
        <v>5</v>
      </c>
      <c r="X90" s="4">
        <v>4</v>
      </c>
      <c r="Y90" s="4">
        <v>5</v>
      </c>
      <c r="Z90" s="4">
        <v>5</v>
      </c>
      <c r="AA90" s="4">
        <v>4</v>
      </c>
      <c r="AB90" s="4">
        <v>2</v>
      </c>
      <c r="AC90" s="2">
        <v>3.5</v>
      </c>
      <c r="AD90" s="2">
        <f>IF(#REF! = 3, 1, IF(#REF! = 2.5, 0.5, IF(#REF! = 3.5, 0.5, 0)))</f>
        <v>0.5</v>
      </c>
      <c r="AE90" t="s">
        <v>154</v>
      </c>
      <c r="AF90">
        <f>IF(#REF!="PM &lt; 2.5 μm", 1, 0)</f>
        <v>0</v>
      </c>
      <c r="AG90" t="s">
        <v>131</v>
      </c>
      <c r="AH90">
        <f>IF(#REF!="Particles of this size are generally absorbed in the respiratory tract and safely excreted in mucus.", 1, 0)</f>
        <v>0</v>
      </c>
      <c r="AI90" t="s">
        <v>167</v>
      </c>
      <c r="AJ90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3</v>
      </c>
      <c r="AK90">
        <v>3</v>
      </c>
      <c r="AL90">
        <v>4</v>
      </c>
      <c r="AM90">
        <v>5</v>
      </c>
      <c r="AN90">
        <v>1</v>
      </c>
      <c r="AO90">
        <v>4</v>
      </c>
      <c r="AP90">
        <v>2</v>
      </c>
      <c r="AQ90">
        <v>5</v>
      </c>
      <c r="AR90" t="s">
        <v>111</v>
      </c>
    </row>
    <row r="91" spans="1:44" x14ac:dyDescent="0.25">
      <c r="A91" t="s">
        <v>644</v>
      </c>
      <c r="B91" t="s">
        <v>645</v>
      </c>
      <c r="C91" t="s">
        <v>42</v>
      </c>
      <c r="D91" t="s">
        <v>646</v>
      </c>
      <c r="E91">
        <v>1</v>
      </c>
      <c r="F91" t="s">
        <v>112</v>
      </c>
      <c r="G91">
        <f>_xlfn.NUMBERVALUE(#REF!)</f>
        <v>267</v>
      </c>
      <c r="H91" t="s">
        <v>634</v>
      </c>
      <c r="I91" t="s">
        <v>114</v>
      </c>
      <c r="J91" t="s">
        <v>645</v>
      </c>
      <c r="K91" t="s">
        <v>647</v>
      </c>
      <c r="L91" t="s">
        <v>111</v>
      </c>
      <c r="M91" t="s">
        <v>111</v>
      </c>
      <c r="N91" t="s">
        <v>111</v>
      </c>
      <c r="O91" t="s">
        <v>111</v>
      </c>
      <c r="P91" t="s">
        <v>648</v>
      </c>
      <c r="Q91" t="s">
        <v>649</v>
      </c>
      <c r="R91" t="s">
        <v>487</v>
      </c>
      <c r="S91" t="s">
        <v>117</v>
      </c>
      <c r="T91" t="s">
        <v>111</v>
      </c>
      <c r="U91" s="8">
        <v>4</v>
      </c>
      <c r="V91" s="4">
        <v>4</v>
      </c>
      <c r="W91" s="4">
        <v>3</v>
      </c>
      <c r="X91" s="4">
        <v>3</v>
      </c>
      <c r="Y91" s="4">
        <v>3</v>
      </c>
      <c r="Z91" s="4">
        <v>2</v>
      </c>
      <c r="AA91" s="4">
        <v>3</v>
      </c>
      <c r="AB91" s="4">
        <v>2</v>
      </c>
      <c r="AC91" s="2">
        <v>4</v>
      </c>
      <c r="AD91" s="2">
        <f>IF(#REF! = 3, 1, IF(#REF! = 2.5, 0.5, IF(#REF! = 3.5, 0.5, 0)))</f>
        <v>0</v>
      </c>
      <c r="AE91" t="s">
        <v>130</v>
      </c>
      <c r="AF91">
        <f>IF(#REF!="PM &lt; 2.5 μm", 1, 0)</f>
        <v>0</v>
      </c>
      <c r="AG91" t="s">
        <v>175</v>
      </c>
      <c r="AH91">
        <f>IF(#REF!="Particles of this size are generally absorbed in the respiratory tract and safely excreted in mucus.", 1, 0)</f>
        <v>1</v>
      </c>
      <c r="AI91" t="s">
        <v>650</v>
      </c>
      <c r="AJ91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3</v>
      </c>
      <c r="AK91">
        <v>3</v>
      </c>
      <c r="AL91">
        <v>2</v>
      </c>
      <c r="AM91">
        <v>3</v>
      </c>
      <c r="AN91">
        <v>3</v>
      </c>
      <c r="AO91">
        <v>4</v>
      </c>
      <c r="AP91">
        <v>4</v>
      </c>
      <c r="AQ91">
        <v>4</v>
      </c>
      <c r="AR91" t="s">
        <v>111</v>
      </c>
    </row>
    <row r="92" spans="1:44" x14ac:dyDescent="0.25">
      <c r="A92" t="s">
        <v>685</v>
      </c>
      <c r="B92" t="s">
        <v>686</v>
      </c>
      <c r="C92" t="s">
        <v>42</v>
      </c>
      <c r="D92" t="s">
        <v>687</v>
      </c>
      <c r="E92">
        <v>1</v>
      </c>
      <c r="F92" t="s">
        <v>112</v>
      </c>
      <c r="G92">
        <f>_xlfn.NUMBERVALUE(#REF!)</f>
        <v>336</v>
      </c>
      <c r="H92" t="s">
        <v>688</v>
      </c>
      <c r="I92" t="s">
        <v>114</v>
      </c>
      <c r="J92" t="s">
        <v>686</v>
      </c>
      <c r="K92" t="s">
        <v>689</v>
      </c>
      <c r="L92" t="s">
        <v>111</v>
      </c>
      <c r="M92" t="s">
        <v>111</v>
      </c>
      <c r="N92" t="s">
        <v>111</v>
      </c>
      <c r="O92" t="s">
        <v>111</v>
      </c>
      <c r="P92" t="s">
        <v>351</v>
      </c>
      <c r="Q92" t="s">
        <v>352</v>
      </c>
      <c r="R92" t="s">
        <v>487</v>
      </c>
      <c r="S92" t="s">
        <v>117</v>
      </c>
      <c r="T92" t="s">
        <v>111</v>
      </c>
      <c r="U92" s="8">
        <v>4</v>
      </c>
      <c r="V92" s="4">
        <v>5</v>
      </c>
      <c r="W92" s="4">
        <v>1</v>
      </c>
      <c r="X92" s="4">
        <v>3</v>
      </c>
      <c r="Y92" s="4">
        <v>5</v>
      </c>
      <c r="Z92" s="4">
        <v>2</v>
      </c>
      <c r="AA92" s="4">
        <v>5</v>
      </c>
      <c r="AB92" s="4">
        <v>4</v>
      </c>
      <c r="AC92" s="2">
        <v>4</v>
      </c>
      <c r="AD92" s="2">
        <f>IF(#REF! = 3, 1, IF(#REF! = 2.5, 0.5, IF(#REF! = 3.5, 0.5, 0)))</f>
        <v>0</v>
      </c>
      <c r="AE92" t="s">
        <v>166</v>
      </c>
      <c r="AF92">
        <f>IF(#REF!="PM &lt; 2.5 μm", 1, 0)</f>
        <v>0</v>
      </c>
      <c r="AG92" t="s">
        <v>141</v>
      </c>
      <c r="AH92">
        <f>IF(#REF!="Particles of this size are generally absorbed in the respiratory tract and safely excreted in mucus.", 1, 0)</f>
        <v>0</v>
      </c>
      <c r="AI92" t="s">
        <v>167</v>
      </c>
      <c r="AJ92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3</v>
      </c>
      <c r="AK92">
        <v>4</v>
      </c>
      <c r="AL92">
        <v>5</v>
      </c>
      <c r="AM92">
        <v>5</v>
      </c>
      <c r="AO92">
        <v>5</v>
      </c>
      <c r="AP92">
        <v>4</v>
      </c>
      <c r="AQ92">
        <v>9</v>
      </c>
      <c r="AR92" t="s">
        <v>111</v>
      </c>
    </row>
    <row r="93" spans="1:44" x14ac:dyDescent="0.25">
      <c r="A93" t="s">
        <v>690</v>
      </c>
      <c r="B93" t="s">
        <v>691</v>
      </c>
      <c r="C93" t="s">
        <v>42</v>
      </c>
      <c r="D93" t="s">
        <v>692</v>
      </c>
      <c r="E93">
        <v>1</v>
      </c>
      <c r="F93" t="s">
        <v>112</v>
      </c>
      <c r="G93">
        <f>_xlfn.NUMBERVALUE(#REF!)</f>
        <v>303</v>
      </c>
      <c r="H93" t="s">
        <v>693</v>
      </c>
      <c r="I93" t="s">
        <v>114</v>
      </c>
      <c r="J93" t="s">
        <v>691</v>
      </c>
      <c r="K93" t="s">
        <v>694</v>
      </c>
      <c r="L93" t="s">
        <v>111</v>
      </c>
      <c r="M93" t="s">
        <v>111</v>
      </c>
      <c r="N93" t="s">
        <v>111</v>
      </c>
      <c r="O93" t="s">
        <v>111</v>
      </c>
      <c r="P93" t="s">
        <v>115</v>
      </c>
      <c r="Q93" t="s">
        <v>116</v>
      </c>
      <c r="R93" t="s">
        <v>127</v>
      </c>
      <c r="S93" t="s">
        <v>117</v>
      </c>
      <c r="T93" t="s">
        <v>111</v>
      </c>
      <c r="U93" s="8">
        <v>3</v>
      </c>
      <c r="V93" s="4">
        <v>1</v>
      </c>
      <c r="W93" s="4">
        <v>4</v>
      </c>
      <c r="X93" s="4">
        <v>3</v>
      </c>
      <c r="Y93" s="4">
        <v>1</v>
      </c>
      <c r="Z93" s="4">
        <v>4</v>
      </c>
      <c r="AA93" s="4">
        <v>5</v>
      </c>
      <c r="AB93" s="4">
        <v>2</v>
      </c>
      <c r="AC93" s="2">
        <v>3</v>
      </c>
      <c r="AD93" s="2">
        <f>IF(#REF! = 3, 1, IF(#REF! = 2.5, 0.5, IF(#REF! = 3.5, 0.5, 0)))</f>
        <v>1</v>
      </c>
      <c r="AE93" t="s">
        <v>525</v>
      </c>
      <c r="AF93">
        <f>IF(#REF!="PM &lt; 2.5 μm", 1, 0)</f>
        <v>0</v>
      </c>
      <c r="AG93" t="s">
        <v>141</v>
      </c>
      <c r="AH93">
        <f>IF(#REF!="Particles of this size are generally absorbed in the respiratory tract and safely excreted in mucus.", 1, 0)</f>
        <v>0</v>
      </c>
      <c r="AI93" t="s">
        <v>450</v>
      </c>
      <c r="AJ93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2</v>
      </c>
      <c r="AK93">
        <v>2</v>
      </c>
      <c r="AL93">
        <v>1</v>
      </c>
      <c r="AQ93">
        <v>2</v>
      </c>
      <c r="AR93" t="s">
        <v>695</v>
      </c>
    </row>
    <row r="94" spans="1:44" x14ac:dyDescent="0.25">
      <c r="A94" t="s">
        <v>702</v>
      </c>
      <c r="B94" t="s">
        <v>703</v>
      </c>
      <c r="C94" t="s">
        <v>42</v>
      </c>
      <c r="D94" t="s">
        <v>704</v>
      </c>
      <c r="E94">
        <v>1</v>
      </c>
      <c r="F94" t="s">
        <v>112</v>
      </c>
      <c r="G94">
        <f>_xlfn.NUMBERVALUE(#REF!)</f>
        <v>384</v>
      </c>
      <c r="H94" t="s">
        <v>705</v>
      </c>
      <c r="I94" t="s">
        <v>114</v>
      </c>
      <c r="J94" t="s">
        <v>703</v>
      </c>
      <c r="K94" t="s">
        <v>706</v>
      </c>
      <c r="L94" t="s">
        <v>111</v>
      </c>
      <c r="M94" t="s">
        <v>111</v>
      </c>
      <c r="N94" t="s">
        <v>111</v>
      </c>
      <c r="O94" t="s">
        <v>111</v>
      </c>
      <c r="P94" t="s">
        <v>435</v>
      </c>
      <c r="Q94" t="s">
        <v>436</v>
      </c>
      <c r="R94" t="s">
        <v>487</v>
      </c>
      <c r="S94" t="s">
        <v>117</v>
      </c>
      <c r="T94" t="s">
        <v>111</v>
      </c>
      <c r="U94" s="8">
        <v>5</v>
      </c>
      <c r="V94" s="4">
        <v>5</v>
      </c>
      <c r="W94" s="4">
        <v>4</v>
      </c>
      <c r="X94" s="4">
        <v>5</v>
      </c>
      <c r="Y94" s="4">
        <v>4</v>
      </c>
      <c r="Z94" s="4">
        <v>4</v>
      </c>
      <c r="AA94" s="4">
        <v>5</v>
      </c>
      <c r="AB94" s="4">
        <v>3</v>
      </c>
      <c r="AC94" s="2">
        <v>4</v>
      </c>
      <c r="AD94" s="2">
        <f>IF(#REF! = 3, 1, IF(#REF! = 2.5, 0.5, IF(#REF! = 3.5, 0.5, 0)))</f>
        <v>0</v>
      </c>
      <c r="AE94" t="s">
        <v>130</v>
      </c>
      <c r="AF94">
        <f>IF(#REF!="PM &lt; 2.5 μm", 1, 0)</f>
        <v>0</v>
      </c>
      <c r="AG94" t="s">
        <v>175</v>
      </c>
      <c r="AH94">
        <f>IF(#REF!="Particles of this size are generally absorbed in the respiratory tract and safely excreted in mucus.", 1, 0)</f>
        <v>1</v>
      </c>
      <c r="AI94" t="s">
        <v>167</v>
      </c>
      <c r="AJ94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3</v>
      </c>
      <c r="AK94">
        <v>3</v>
      </c>
      <c r="AL94">
        <v>4</v>
      </c>
      <c r="AM94">
        <v>2</v>
      </c>
      <c r="AN94">
        <v>1</v>
      </c>
      <c r="AO94">
        <v>3</v>
      </c>
      <c r="AP94">
        <v>3</v>
      </c>
      <c r="AQ94">
        <v>8</v>
      </c>
      <c r="AR94" t="s">
        <v>707</v>
      </c>
    </row>
    <row r="95" spans="1:44" x14ac:dyDescent="0.25">
      <c r="A95" t="s">
        <v>554</v>
      </c>
      <c r="B95" t="s">
        <v>708</v>
      </c>
      <c r="C95" t="s">
        <v>42</v>
      </c>
      <c r="D95" t="s">
        <v>709</v>
      </c>
      <c r="E95">
        <v>1</v>
      </c>
      <c r="F95" t="s">
        <v>112</v>
      </c>
      <c r="G95">
        <f>_xlfn.NUMBERVALUE(#REF!)</f>
        <v>385</v>
      </c>
      <c r="H95" t="s">
        <v>710</v>
      </c>
      <c r="I95" t="s">
        <v>114</v>
      </c>
      <c r="J95" t="s">
        <v>708</v>
      </c>
      <c r="K95" t="s">
        <v>711</v>
      </c>
      <c r="L95" t="s">
        <v>111</v>
      </c>
      <c r="M95" t="s">
        <v>111</v>
      </c>
      <c r="N95" t="s">
        <v>111</v>
      </c>
      <c r="O95" t="s">
        <v>111</v>
      </c>
      <c r="P95" t="s">
        <v>712</v>
      </c>
      <c r="Q95" t="s">
        <v>713</v>
      </c>
      <c r="R95" t="s">
        <v>487</v>
      </c>
      <c r="S95" t="s">
        <v>117</v>
      </c>
      <c r="T95" t="s">
        <v>111</v>
      </c>
      <c r="U95" s="8">
        <v>4</v>
      </c>
      <c r="V95" s="4">
        <v>4</v>
      </c>
      <c r="W95" s="4">
        <v>3</v>
      </c>
      <c r="X95" s="4">
        <v>5</v>
      </c>
      <c r="Y95" s="4">
        <v>2</v>
      </c>
      <c r="Z95" s="4">
        <v>3</v>
      </c>
      <c r="AA95" s="4">
        <v>5</v>
      </c>
      <c r="AB95" s="4">
        <v>1</v>
      </c>
      <c r="AC95" s="2">
        <v>3.5</v>
      </c>
      <c r="AD95" s="2">
        <f>IF(#REF! = 3, 1, IF(#REF! = 2.5, 0.5, IF(#REF! = 3.5, 0.5, 0)))</f>
        <v>0.5</v>
      </c>
      <c r="AE95" t="s">
        <v>185</v>
      </c>
      <c r="AF95">
        <f>IF(#REF!="PM &lt; 2.5 μm", 1, 0)</f>
        <v>0</v>
      </c>
      <c r="AG95" t="s">
        <v>141</v>
      </c>
      <c r="AH95">
        <f>IF(#REF!="Particles of this size are generally absorbed in the respiratory tract and safely excreted in mucus.", 1, 0)</f>
        <v>0</v>
      </c>
      <c r="AI95" t="s">
        <v>714</v>
      </c>
      <c r="AJ95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0</v>
      </c>
      <c r="AK95">
        <v>4</v>
      </c>
      <c r="AL95">
        <v>4</v>
      </c>
      <c r="AM95">
        <v>5</v>
      </c>
      <c r="AN95">
        <v>3</v>
      </c>
      <c r="AO95">
        <v>4</v>
      </c>
      <c r="AP95">
        <v>5</v>
      </c>
      <c r="AQ95">
        <v>7</v>
      </c>
      <c r="AR95" t="s">
        <v>715</v>
      </c>
    </row>
    <row r="96" spans="1:44" x14ac:dyDescent="0.25">
      <c r="A96" t="s">
        <v>716</v>
      </c>
      <c r="B96" t="s">
        <v>717</v>
      </c>
      <c r="C96" t="s">
        <v>42</v>
      </c>
      <c r="D96" t="s">
        <v>389</v>
      </c>
      <c r="E96">
        <v>1</v>
      </c>
      <c r="F96" t="s">
        <v>112</v>
      </c>
      <c r="G96">
        <f>_xlfn.NUMBERVALUE(#REF!)</f>
        <v>107</v>
      </c>
      <c r="H96" t="s">
        <v>308</v>
      </c>
      <c r="I96" t="s">
        <v>114</v>
      </c>
      <c r="J96" t="s">
        <v>717</v>
      </c>
      <c r="K96" t="s">
        <v>718</v>
      </c>
      <c r="L96" t="s">
        <v>111</v>
      </c>
      <c r="M96" t="s">
        <v>111</v>
      </c>
      <c r="N96" t="s">
        <v>111</v>
      </c>
      <c r="O96" t="s">
        <v>111</v>
      </c>
      <c r="P96" t="s">
        <v>392</v>
      </c>
      <c r="Q96" t="s">
        <v>393</v>
      </c>
      <c r="R96" t="s">
        <v>127</v>
      </c>
      <c r="S96" t="s">
        <v>117</v>
      </c>
      <c r="T96" t="s">
        <v>111</v>
      </c>
      <c r="U96" s="8">
        <v>4</v>
      </c>
      <c r="V96" s="4">
        <v>4</v>
      </c>
      <c r="W96" s="4">
        <v>4</v>
      </c>
      <c r="X96" s="4">
        <v>4</v>
      </c>
      <c r="Y96" s="4">
        <v>3</v>
      </c>
      <c r="Z96" s="4">
        <v>3</v>
      </c>
      <c r="AA96" s="4">
        <v>4</v>
      </c>
      <c r="AB96" s="4">
        <v>3</v>
      </c>
      <c r="AC96" s="2">
        <v>5</v>
      </c>
      <c r="AD96" s="2">
        <f>IF(#REF! = 3, 1, IF(#REF! = 2.5, 0.5, IF(#REF! = 3.5, 0.5, 0)))</f>
        <v>0</v>
      </c>
      <c r="AE96" t="s">
        <v>130</v>
      </c>
      <c r="AF96">
        <f>IF(#REF!="PM &lt; 2.5 μm", 1, 0)</f>
        <v>0</v>
      </c>
      <c r="AG96" t="s">
        <v>131</v>
      </c>
      <c r="AH96">
        <f>IF(#REF!="Particles of this size are generally absorbed in the respiratory tract and safely excreted in mucus.", 1, 0)</f>
        <v>0</v>
      </c>
      <c r="AI96" t="s">
        <v>224</v>
      </c>
      <c r="AJ96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1</v>
      </c>
      <c r="AK96">
        <v>4</v>
      </c>
      <c r="AL96">
        <v>4</v>
      </c>
      <c r="AM96">
        <v>3</v>
      </c>
      <c r="AN96">
        <v>3</v>
      </c>
      <c r="AO96">
        <v>4</v>
      </c>
      <c r="AP96">
        <v>3</v>
      </c>
      <c r="AQ96">
        <v>6</v>
      </c>
      <c r="AR96" t="s">
        <v>111</v>
      </c>
    </row>
    <row r="97" spans="1:45" x14ac:dyDescent="0.25">
      <c r="A97" t="s">
        <v>719</v>
      </c>
      <c r="B97" t="s">
        <v>720</v>
      </c>
      <c r="C97" t="s">
        <v>42</v>
      </c>
      <c r="D97" t="s">
        <v>721</v>
      </c>
      <c r="E97">
        <v>1</v>
      </c>
      <c r="F97" t="s">
        <v>112</v>
      </c>
      <c r="G97">
        <f>_xlfn.NUMBERVALUE(#REF!)</f>
        <v>505</v>
      </c>
      <c r="H97" t="s">
        <v>722</v>
      </c>
      <c r="I97" t="s">
        <v>114</v>
      </c>
      <c r="J97" t="s">
        <v>723</v>
      </c>
      <c r="K97" t="s">
        <v>724</v>
      </c>
      <c r="L97" t="s">
        <v>111</v>
      </c>
      <c r="M97" t="s">
        <v>111</v>
      </c>
      <c r="N97" t="s">
        <v>111</v>
      </c>
      <c r="O97" t="s">
        <v>111</v>
      </c>
      <c r="P97" t="s">
        <v>351</v>
      </c>
      <c r="Q97" t="s">
        <v>352</v>
      </c>
      <c r="R97" t="s">
        <v>487</v>
      </c>
      <c r="S97" t="s">
        <v>117</v>
      </c>
      <c r="T97" t="s">
        <v>111</v>
      </c>
      <c r="U97" s="8">
        <v>4</v>
      </c>
      <c r="V97" s="4">
        <v>4</v>
      </c>
      <c r="W97" s="4">
        <v>3</v>
      </c>
      <c r="X97" s="4">
        <v>5</v>
      </c>
      <c r="Y97" s="4">
        <v>3</v>
      </c>
      <c r="Z97" s="4">
        <v>4</v>
      </c>
      <c r="AA97" s="4">
        <v>5</v>
      </c>
      <c r="AB97" s="4">
        <v>3</v>
      </c>
      <c r="AC97" s="2">
        <v>2.5</v>
      </c>
      <c r="AD97" s="2">
        <f>IF(#REF! = 3, 1, IF(#REF! = 2.5, 0.5, IF(#REF! = 3.5, 0.5, 0)))</f>
        <v>0.5</v>
      </c>
      <c r="AE97" t="s">
        <v>130</v>
      </c>
      <c r="AF97">
        <f>IF(#REF!="PM &lt; 2.5 μm", 1, 0)</f>
        <v>0</v>
      </c>
      <c r="AG97" t="s">
        <v>131</v>
      </c>
      <c r="AH97">
        <f>IF(#REF!="Particles of this size are generally absorbed in the respiratory tract and safely excreted in mucus.", 1, 0)</f>
        <v>0</v>
      </c>
      <c r="AI97" t="s">
        <v>725</v>
      </c>
      <c r="AJ97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0</v>
      </c>
      <c r="AK97">
        <v>3</v>
      </c>
      <c r="AL97">
        <v>3</v>
      </c>
      <c r="AM97">
        <v>4</v>
      </c>
      <c r="AN97">
        <v>3</v>
      </c>
      <c r="AO97">
        <v>4</v>
      </c>
      <c r="AP97">
        <v>5</v>
      </c>
      <c r="AQ97">
        <v>8</v>
      </c>
      <c r="AR97" t="s">
        <v>726</v>
      </c>
    </row>
    <row r="98" spans="1:45" x14ac:dyDescent="0.25">
      <c r="A98" t="s">
        <v>750</v>
      </c>
      <c r="B98" t="s">
        <v>751</v>
      </c>
      <c r="C98" t="s">
        <v>42</v>
      </c>
      <c r="D98" t="s">
        <v>752</v>
      </c>
      <c r="E98">
        <v>1</v>
      </c>
      <c r="F98" t="s">
        <v>112</v>
      </c>
      <c r="G98">
        <f>_xlfn.NUMBERVALUE(#REF!)</f>
        <v>94</v>
      </c>
      <c r="H98" t="s">
        <v>753</v>
      </c>
      <c r="I98" t="s">
        <v>114</v>
      </c>
      <c r="J98" t="s">
        <v>754</v>
      </c>
      <c r="K98" t="s">
        <v>755</v>
      </c>
      <c r="L98" t="s">
        <v>111</v>
      </c>
      <c r="M98" t="s">
        <v>111</v>
      </c>
      <c r="N98" t="s">
        <v>111</v>
      </c>
      <c r="O98" t="s">
        <v>111</v>
      </c>
      <c r="P98" t="s">
        <v>656</v>
      </c>
      <c r="Q98" t="s">
        <v>657</v>
      </c>
      <c r="R98" t="s">
        <v>127</v>
      </c>
      <c r="S98" t="s">
        <v>117</v>
      </c>
      <c r="T98" t="s">
        <v>111</v>
      </c>
      <c r="U98" s="8">
        <v>5</v>
      </c>
      <c r="V98" s="4">
        <v>5</v>
      </c>
      <c r="W98" s="4">
        <v>3</v>
      </c>
      <c r="X98" s="4">
        <v>5</v>
      </c>
      <c r="Y98" s="4">
        <v>2</v>
      </c>
      <c r="Z98" s="4">
        <v>3</v>
      </c>
      <c r="AA98" s="4">
        <v>5</v>
      </c>
      <c r="AB98" s="4">
        <v>2</v>
      </c>
      <c r="AC98" s="2">
        <v>5</v>
      </c>
      <c r="AD98" s="2">
        <f>IF(#REF! = 3, 1, IF(#REF! = 2.5, 0.5, IF(#REF! = 3.5, 0.5, 0)))</f>
        <v>0</v>
      </c>
      <c r="AE98" t="s">
        <v>166</v>
      </c>
      <c r="AF98">
        <f>IF(#REF!="PM &lt; 2.5 μm", 1, 0)</f>
        <v>0</v>
      </c>
      <c r="AG98" t="s">
        <v>155</v>
      </c>
      <c r="AH98">
        <f>IF(#REF!="Particles of this size are generally absorbed in the respiratory tract and safely excreted in mucus.", 1, 0)</f>
        <v>0</v>
      </c>
      <c r="AI98" t="s">
        <v>526</v>
      </c>
      <c r="AJ98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-1</v>
      </c>
      <c r="AK98">
        <v>4</v>
      </c>
      <c r="AL98">
        <v>3</v>
      </c>
      <c r="AM98">
        <v>5</v>
      </c>
      <c r="AN98">
        <v>5</v>
      </c>
      <c r="AO98">
        <v>5</v>
      </c>
      <c r="AP98">
        <v>4</v>
      </c>
      <c r="AQ98">
        <v>10</v>
      </c>
      <c r="AR98" t="s">
        <v>111</v>
      </c>
    </row>
    <row r="99" spans="1:45" x14ac:dyDescent="0.25">
      <c r="A99" t="s">
        <v>775</v>
      </c>
      <c r="B99" t="s">
        <v>776</v>
      </c>
      <c r="C99" t="s">
        <v>42</v>
      </c>
      <c r="D99" t="s">
        <v>389</v>
      </c>
      <c r="E99">
        <v>1</v>
      </c>
      <c r="F99" t="s">
        <v>112</v>
      </c>
      <c r="G99">
        <f>_xlfn.NUMBERVALUE(#REF!)</f>
        <v>958</v>
      </c>
      <c r="H99" t="s">
        <v>777</v>
      </c>
      <c r="I99" t="s">
        <v>114</v>
      </c>
      <c r="J99" t="s">
        <v>776</v>
      </c>
      <c r="K99" t="s">
        <v>778</v>
      </c>
      <c r="L99" t="s">
        <v>111</v>
      </c>
      <c r="M99" t="s">
        <v>111</v>
      </c>
      <c r="N99" t="s">
        <v>111</v>
      </c>
      <c r="O99" t="s">
        <v>111</v>
      </c>
      <c r="P99" t="s">
        <v>392</v>
      </c>
      <c r="Q99" t="s">
        <v>393</v>
      </c>
      <c r="R99" t="s">
        <v>127</v>
      </c>
      <c r="S99" t="s">
        <v>117</v>
      </c>
      <c r="T99" t="s">
        <v>111</v>
      </c>
      <c r="U99" s="8">
        <v>5</v>
      </c>
      <c r="V99" s="4">
        <v>5</v>
      </c>
      <c r="W99" s="4">
        <v>5</v>
      </c>
      <c r="X99" s="4">
        <v>5</v>
      </c>
      <c r="Y99" s="4">
        <v>5</v>
      </c>
      <c r="Z99" s="4">
        <v>5</v>
      </c>
      <c r="AA99" s="4">
        <v>5</v>
      </c>
      <c r="AB99" s="4">
        <v>5</v>
      </c>
      <c r="AC99" s="2">
        <v>4</v>
      </c>
      <c r="AD99" s="2">
        <f>IF(#REF! = 3, 1, IF(#REF! = 2.5, 0.5, IF(#REF! = 3.5, 0.5, 0)))</f>
        <v>0</v>
      </c>
      <c r="AE99" t="s">
        <v>130</v>
      </c>
      <c r="AF99">
        <f>IF(#REF!="PM &lt; 2.5 μm", 1, 0)</f>
        <v>0</v>
      </c>
      <c r="AG99" t="s">
        <v>131</v>
      </c>
      <c r="AH99">
        <f>IF(#REF!="Particles of this size are generally absorbed in the respiratory tract and safely excreted in mucus.", 1, 0)</f>
        <v>0</v>
      </c>
      <c r="AI99" t="s">
        <v>142</v>
      </c>
      <c r="AJ99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2</v>
      </c>
      <c r="AK99">
        <v>3</v>
      </c>
      <c r="AL99">
        <v>3</v>
      </c>
      <c r="AM99">
        <v>4</v>
      </c>
      <c r="AN99">
        <v>4</v>
      </c>
      <c r="AO99">
        <v>4</v>
      </c>
      <c r="AP99">
        <v>3</v>
      </c>
      <c r="AQ99">
        <v>10</v>
      </c>
      <c r="AR99" t="s">
        <v>111</v>
      </c>
    </row>
    <row r="100" spans="1:45" x14ac:dyDescent="0.25">
      <c r="A100" t="s">
        <v>800</v>
      </c>
      <c r="B100" t="s">
        <v>801</v>
      </c>
      <c r="C100" t="s">
        <v>42</v>
      </c>
      <c r="D100" t="s">
        <v>802</v>
      </c>
      <c r="E100">
        <v>1</v>
      </c>
      <c r="F100" t="s">
        <v>112</v>
      </c>
      <c r="G100">
        <f>_xlfn.NUMBERVALUE(#REF!)</f>
        <v>322</v>
      </c>
      <c r="H100" t="s">
        <v>357</v>
      </c>
      <c r="I100" t="s">
        <v>114</v>
      </c>
      <c r="J100" t="s">
        <v>803</v>
      </c>
      <c r="K100" t="s">
        <v>804</v>
      </c>
      <c r="L100" t="s">
        <v>111</v>
      </c>
      <c r="M100" t="s">
        <v>111</v>
      </c>
      <c r="N100" t="s">
        <v>111</v>
      </c>
      <c r="O100" t="s">
        <v>111</v>
      </c>
      <c r="P100" t="s">
        <v>712</v>
      </c>
      <c r="Q100" t="s">
        <v>713</v>
      </c>
      <c r="R100" t="s">
        <v>487</v>
      </c>
      <c r="S100" t="s">
        <v>117</v>
      </c>
      <c r="T100" t="s">
        <v>111</v>
      </c>
      <c r="U100" s="8">
        <v>4</v>
      </c>
      <c r="V100" s="4">
        <v>4</v>
      </c>
      <c r="W100" s="4">
        <v>4</v>
      </c>
      <c r="X100" s="4">
        <v>4</v>
      </c>
      <c r="Y100" s="4">
        <v>3</v>
      </c>
      <c r="Z100" s="4">
        <v>3</v>
      </c>
      <c r="AA100" s="4">
        <v>5</v>
      </c>
      <c r="AB100" s="4">
        <v>3</v>
      </c>
      <c r="AC100" s="2">
        <v>4</v>
      </c>
      <c r="AD100" s="2">
        <f>IF(#REF! = 3, 1, IF(#REF! = 2.5, 0.5, IF(#REF! = 3.5, 0.5, 0)))</f>
        <v>0</v>
      </c>
      <c r="AE100" t="s">
        <v>525</v>
      </c>
      <c r="AF100">
        <f>IF(#REF!="PM &lt; 2.5 μm", 1, 0)</f>
        <v>0</v>
      </c>
      <c r="AG100" t="s">
        <v>141</v>
      </c>
      <c r="AH100">
        <f>IF(#REF!="Particles of this size are generally absorbed in the respiratory tract and safely excreted in mucus.", 1, 0)</f>
        <v>0</v>
      </c>
      <c r="AI100" t="s">
        <v>167</v>
      </c>
      <c r="AJ100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3</v>
      </c>
      <c r="AK100">
        <v>5</v>
      </c>
      <c r="AL100">
        <v>3</v>
      </c>
      <c r="AM100">
        <v>2</v>
      </c>
      <c r="AN100">
        <v>2</v>
      </c>
      <c r="AO100">
        <v>3</v>
      </c>
      <c r="AP100">
        <v>3</v>
      </c>
      <c r="AQ100">
        <v>8</v>
      </c>
      <c r="AR100" t="s">
        <v>805</v>
      </c>
    </row>
    <row r="101" spans="1:45" x14ac:dyDescent="0.25">
      <c r="A101" t="s">
        <v>618</v>
      </c>
      <c r="B101" t="s">
        <v>876</v>
      </c>
      <c r="C101" t="s">
        <v>42</v>
      </c>
      <c r="D101" t="s">
        <v>877</v>
      </c>
      <c r="E101">
        <v>1</v>
      </c>
      <c r="F101" t="s">
        <v>878</v>
      </c>
      <c r="G101">
        <f>_xlfn.NUMBERVALUE(#REF!)</f>
        <v>110</v>
      </c>
      <c r="H101" s="4" t="s">
        <v>879</v>
      </c>
      <c r="I101" s="4" t="s">
        <v>821</v>
      </c>
      <c r="J101" s="4" t="s">
        <v>880</v>
      </c>
      <c r="K101" s="4" t="s">
        <v>881</v>
      </c>
      <c r="L101" s="4" t="s">
        <v>111</v>
      </c>
      <c r="M101" s="4" t="s">
        <v>111</v>
      </c>
      <c r="N101" s="4" t="s">
        <v>111</v>
      </c>
      <c r="O101" s="4" t="s">
        <v>111</v>
      </c>
      <c r="P101" s="4" t="s">
        <v>111</v>
      </c>
      <c r="Q101" s="4" t="s">
        <v>111</v>
      </c>
      <c r="R101" s="4" t="s">
        <v>487</v>
      </c>
      <c r="S101" s="4" t="s">
        <v>117</v>
      </c>
      <c r="T101" s="4" t="s">
        <v>111</v>
      </c>
      <c r="U101" s="4">
        <v>5</v>
      </c>
      <c r="V101" s="4">
        <v>3</v>
      </c>
      <c r="W101" s="4">
        <v>2</v>
      </c>
      <c r="X101" s="4">
        <v>5</v>
      </c>
      <c r="Y101" s="4">
        <v>2</v>
      </c>
      <c r="Z101" s="4">
        <v>2</v>
      </c>
      <c r="AA101" s="4">
        <v>5</v>
      </c>
      <c r="AB101" s="4">
        <v>2</v>
      </c>
      <c r="AC101" s="4">
        <v>3.5</v>
      </c>
      <c r="AD101" t="s">
        <v>111</v>
      </c>
      <c r="AE101" t="s">
        <v>130</v>
      </c>
      <c r="AF101" t="s">
        <v>111</v>
      </c>
      <c r="AG101" t="s">
        <v>111</v>
      </c>
      <c r="AH101" t="s">
        <v>111</v>
      </c>
      <c r="AI101" t="s">
        <v>111</v>
      </c>
      <c r="AJ101" t="s">
        <v>111</v>
      </c>
      <c r="AK101" t="s">
        <v>111</v>
      </c>
      <c r="AL101" t="s">
        <v>111</v>
      </c>
      <c r="AM101" t="s">
        <v>111</v>
      </c>
    </row>
    <row r="102" spans="1:45" x14ac:dyDescent="0.25">
      <c r="A102" t="s">
        <v>882</v>
      </c>
      <c r="B102" t="s">
        <v>883</v>
      </c>
      <c r="C102" t="s">
        <v>42</v>
      </c>
      <c r="D102" t="s">
        <v>389</v>
      </c>
      <c r="E102">
        <v>1</v>
      </c>
      <c r="F102" t="s">
        <v>878</v>
      </c>
      <c r="G102">
        <f>_xlfn.NUMBERVALUE(#REF!)</f>
        <v>259</v>
      </c>
      <c r="H102" s="4" t="s">
        <v>884</v>
      </c>
      <c r="I102" s="4" t="s">
        <v>821</v>
      </c>
      <c r="J102" s="4" t="s">
        <v>885</v>
      </c>
      <c r="K102" s="4" t="s">
        <v>886</v>
      </c>
      <c r="L102" s="4" t="s">
        <v>111</v>
      </c>
      <c r="M102" s="4" t="s">
        <v>111</v>
      </c>
      <c r="N102" s="4" t="s">
        <v>111</v>
      </c>
      <c r="O102" s="4" t="s">
        <v>111</v>
      </c>
      <c r="P102" s="4" t="s">
        <v>111</v>
      </c>
      <c r="Q102" s="4" t="s">
        <v>111</v>
      </c>
      <c r="R102" s="4" t="s">
        <v>127</v>
      </c>
      <c r="S102" s="4" t="s">
        <v>117</v>
      </c>
      <c r="T102" s="4" t="s">
        <v>250</v>
      </c>
      <c r="U102" s="4">
        <v>5</v>
      </c>
      <c r="V102" s="4">
        <v>5</v>
      </c>
      <c r="W102" s="4">
        <v>5</v>
      </c>
      <c r="X102" s="4">
        <v>5</v>
      </c>
      <c r="Y102" s="4">
        <v>5</v>
      </c>
      <c r="Z102" s="4">
        <v>5</v>
      </c>
      <c r="AA102" s="4">
        <v>5</v>
      </c>
      <c r="AB102" s="4">
        <v>5</v>
      </c>
      <c r="AC102" s="4" t="s">
        <v>111</v>
      </c>
      <c r="AD102" t="s">
        <v>111</v>
      </c>
      <c r="AE102" t="s">
        <v>111</v>
      </c>
      <c r="AF102" t="s">
        <v>111</v>
      </c>
      <c r="AG102" t="s">
        <v>111</v>
      </c>
      <c r="AH102" t="s">
        <v>111</v>
      </c>
      <c r="AI102" t="s">
        <v>111</v>
      </c>
      <c r="AJ102" t="s">
        <v>111</v>
      </c>
      <c r="AK102" t="s">
        <v>111</v>
      </c>
      <c r="AL102" t="s">
        <v>111</v>
      </c>
      <c r="AM102" t="s">
        <v>111</v>
      </c>
    </row>
    <row r="103" spans="1:45" x14ac:dyDescent="0.25">
      <c r="A103" t="s">
        <v>887</v>
      </c>
      <c r="B103" t="s">
        <v>888</v>
      </c>
      <c r="C103" t="s">
        <v>42</v>
      </c>
      <c r="D103" t="s">
        <v>517</v>
      </c>
      <c r="E103">
        <v>1</v>
      </c>
      <c r="F103" t="s">
        <v>878</v>
      </c>
      <c r="G103">
        <f>_xlfn.NUMBERVALUE(#REF!)</f>
        <v>89</v>
      </c>
      <c r="H103" s="4" t="s">
        <v>889</v>
      </c>
      <c r="I103" s="4" t="s">
        <v>821</v>
      </c>
      <c r="J103" s="4" t="s">
        <v>890</v>
      </c>
      <c r="K103" s="4" t="s">
        <v>891</v>
      </c>
      <c r="L103" s="4" t="s">
        <v>111</v>
      </c>
      <c r="M103" s="4" t="s">
        <v>111</v>
      </c>
      <c r="N103" s="4" t="s">
        <v>111</v>
      </c>
      <c r="O103" s="4" t="s">
        <v>111</v>
      </c>
      <c r="P103" s="4" t="s">
        <v>111</v>
      </c>
      <c r="Q103" s="4" t="s">
        <v>111</v>
      </c>
      <c r="R103" s="4" t="s">
        <v>127</v>
      </c>
      <c r="S103" s="4" t="s">
        <v>117</v>
      </c>
      <c r="T103" s="4" t="s">
        <v>892</v>
      </c>
      <c r="U103" s="4">
        <v>4</v>
      </c>
      <c r="V103" s="4">
        <v>2</v>
      </c>
      <c r="W103" s="4">
        <v>4</v>
      </c>
      <c r="X103" s="4">
        <v>5</v>
      </c>
      <c r="Y103" s="4">
        <v>2</v>
      </c>
      <c r="Z103" s="4">
        <v>4</v>
      </c>
      <c r="AA103" s="4">
        <v>4</v>
      </c>
      <c r="AB103" s="4">
        <v>2</v>
      </c>
      <c r="AC103" s="4">
        <v>2</v>
      </c>
      <c r="AD103" t="s">
        <v>111</v>
      </c>
      <c r="AE103" t="s">
        <v>130</v>
      </c>
      <c r="AF103" t="s">
        <v>111</v>
      </c>
      <c r="AG103" t="s">
        <v>111</v>
      </c>
      <c r="AH103" t="s">
        <v>111</v>
      </c>
      <c r="AI103" t="s">
        <v>111</v>
      </c>
      <c r="AJ103" t="s">
        <v>111</v>
      </c>
      <c r="AK103" t="s">
        <v>111</v>
      </c>
      <c r="AL103" t="s">
        <v>111</v>
      </c>
      <c r="AM103" t="s">
        <v>111</v>
      </c>
    </row>
    <row r="104" spans="1:45" x14ac:dyDescent="0.25">
      <c r="A104" t="s">
        <v>902</v>
      </c>
      <c r="B104" t="s">
        <v>903</v>
      </c>
      <c r="C104" t="s">
        <v>42</v>
      </c>
      <c r="D104" t="s">
        <v>904</v>
      </c>
      <c r="E104">
        <v>1</v>
      </c>
      <c r="F104" t="s">
        <v>878</v>
      </c>
      <c r="G104">
        <f>_xlfn.NUMBERVALUE(#REF!)</f>
        <v>120</v>
      </c>
      <c r="H104">
        <v>120</v>
      </c>
      <c r="I104" t="s">
        <v>821</v>
      </c>
      <c r="J104" t="s">
        <v>905</v>
      </c>
      <c r="K104" t="s">
        <v>906</v>
      </c>
      <c r="L104" t="s">
        <v>111</v>
      </c>
      <c r="M104" t="s">
        <v>111</v>
      </c>
      <c r="N104" t="s">
        <v>111</v>
      </c>
      <c r="O104" t="s">
        <v>111</v>
      </c>
      <c r="P104" t="s">
        <v>111</v>
      </c>
      <c r="Q104" t="s">
        <v>111</v>
      </c>
      <c r="R104" t="s">
        <v>487</v>
      </c>
      <c r="S104" t="s">
        <v>117</v>
      </c>
      <c r="T104" t="s">
        <v>111</v>
      </c>
      <c r="U104">
        <v>4</v>
      </c>
      <c r="V104">
        <v>5</v>
      </c>
      <c r="W104">
        <v>5</v>
      </c>
      <c r="X104">
        <v>5</v>
      </c>
      <c r="Y104">
        <v>5</v>
      </c>
      <c r="Z104">
        <v>5</v>
      </c>
      <c r="AA104">
        <v>5</v>
      </c>
      <c r="AB104">
        <v>3</v>
      </c>
      <c r="AC104">
        <v>5</v>
      </c>
      <c r="AE104" t="s">
        <v>154</v>
      </c>
      <c r="AF104" t="s">
        <v>111</v>
      </c>
      <c r="AG104" t="s">
        <v>111</v>
      </c>
      <c r="AH104" t="s">
        <v>111</v>
      </c>
      <c r="AI104" t="s">
        <v>111</v>
      </c>
      <c r="AJ104" t="s">
        <v>111</v>
      </c>
      <c r="AK104" t="s">
        <v>111</v>
      </c>
      <c r="AL104" t="s">
        <v>111</v>
      </c>
      <c r="AM104" t="s">
        <v>111</v>
      </c>
      <c r="AN104" t="s">
        <v>111</v>
      </c>
    </row>
    <row r="105" spans="1:45" x14ac:dyDescent="0.25">
      <c r="F105" t="s">
        <v>1315</v>
      </c>
      <c r="G105" s="5">
        <f t="shared" ref="G105:AR105" si="0">AVERAGE(G3:G104)</f>
        <v>1009.7941176470588</v>
      </c>
      <c r="H105" s="5">
        <f t="shared" si="0"/>
        <v>123</v>
      </c>
      <c r="I105" s="5" t="e">
        <f t="shared" si="0"/>
        <v>#DIV/0!</v>
      </c>
      <c r="J105" s="5" t="e">
        <f t="shared" si="0"/>
        <v>#DIV/0!</v>
      </c>
      <c r="K105" s="5" t="e">
        <f t="shared" si="0"/>
        <v>#DIV/0!</v>
      </c>
      <c r="L105" s="5" t="e">
        <f t="shared" si="0"/>
        <v>#DIV/0!</v>
      </c>
      <c r="M105" s="5" t="e">
        <f t="shared" si="0"/>
        <v>#DIV/0!</v>
      </c>
      <c r="N105" s="5" t="e">
        <f t="shared" si="0"/>
        <v>#DIV/0!</v>
      </c>
      <c r="O105" s="5" t="e">
        <f t="shared" si="0"/>
        <v>#DIV/0!</v>
      </c>
      <c r="P105" s="5" t="e">
        <f t="shared" si="0"/>
        <v>#DIV/0!</v>
      </c>
      <c r="Q105" s="5" t="e">
        <f t="shared" si="0"/>
        <v>#DIV/0!</v>
      </c>
      <c r="R105" s="5" t="e">
        <f t="shared" si="0"/>
        <v>#DIV/0!</v>
      </c>
      <c r="S105" s="5" t="e">
        <f t="shared" si="0"/>
        <v>#DIV/0!</v>
      </c>
      <c r="T105" s="5" t="e">
        <f t="shared" si="0"/>
        <v>#DIV/0!</v>
      </c>
      <c r="U105" s="5">
        <f t="shared" si="0"/>
        <v>4.1274509803921573</v>
      </c>
      <c r="V105" s="5">
        <f t="shared" si="0"/>
        <v>3.7745098039215685</v>
      </c>
      <c r="W105" s="5">
        <f t="shared" si="0"/>
        <v>3.9215686274509802</v>
      </c>
      <c r="X105" s="5">
        <f t="shared" si="0"/>
        <v>4.4215686274509807</v>
      </c>
      <c r="Y105" s="5">
        <f t="shared" si="0"/>
        <v>3.0594059405940595</v>
      </c>
      <c r="Z105" s="5">
        <f t="shared" si="0"/>
        <v>3.58</v>
      </c>
      <c r="AA105" s="5">
        <f t="shared" si="0"/>
        <v>4.6078431372549016</v>
      </c>
      <c r="AB105" s="5">
        <f t="shared" si="0"/>
        <v>2.804123711340206</v>
      </c>
      <c r="AC105" s="5">
        <f t="shared" si="0"/>
        <v>3.495049504950495</v>
      </c>
      <c r="AD105" s="5">
        <f t="shared" si="0"/>
        <v>0.31632653061224492</v>
      </c>
      <c r="AE105" s="5" t="e">
        <f t="shared" si="0"/>
        <v>#DIV/0!</v>
      </c>
      <c r="AF105" s="5">
        <f t="shared" si="0"/>
        <v>0.18367346938775511</v>
      </c>
      <c r="AG105" s="5" t="e">
        <f t="shared" si="0"/>
        <v>#DIV/0!</v>
      </c>
      <c r="AH105" s="5">
        <f t="shared" si="0"/>
        <v>0.2857142857142857</v>
      </c>
      <c r="AI105" s="5" t="e">
        <f t="shared" si="0"/>
        <v>#DIV/0!</v>
      </c>
      <c r="AJ105" s="5">
        <f t="shared" si="0"/>
        <v>2.1122448979591835</v>
      </c>
      <c r="AK105" s="5">
        <f t="shared" si="0"/>
        <v>3.2371134020618557</v>
      </c>
      <c r="AL105" s="5">
        <f t="shared" si="0"/>
        <v>2.6736842105263157</v>
      </c>
      <c r="AM105" s="5">
        <f t="shared" si="0"/>
        <v>3.1894736842105265</v>
      </c>
      <c r="AN105" s="5">
        <f t="shared" si="0"/>
        <v>2.7311827956989245</v>
      </c>
      <c r="AO105" s="5">
        <f t="shared" si="0"/>
        <v>3.59375</v>
      </c>
      <c r="AP105" s="5">
        <f t="shared" si="0"/>
        <v>3.6631578947368419</v>
      </c>
      <c r="AQ105" s="5">
        <f t="shared" si="0"/>
        <v>7.3061224489795915</v>
      </c>
      <c r="AR105" s="5" t="e">
        <f t="shared" si="0"/>
        <v>#DIV/0!</v>
      </c>
      <c r="AS105" s="9"/>
    </row>
    <row r="106" spans="1:45" x14ac:dyDescent="0.25">
      <c r="F106" t="s">
        <v>1316</v>
      </c>
      <c r="G106" s="2">
        <f>TRIMMEAN(G3:G100, 0.1)</f>
        <v>222.24444444444444</v>
      </c>
      <c r="U106" s="8">
        <f t="shared" ref="U106:AR106" si="1">COUNT(U3:U100)</f>
        <v>98</v>
      </c>
      <c r="V106" s="8">
        <f t="shared" si="1"/>
        <v>98</v>
      </c>
      <c r="W106" s="8">
        <f t="shared" si="1"/>
        <v>98</v>
      </c>
      <c r="X106" s="8">
        <f t="shared" si="1"/>
        <v>98</v>
      </c>
      <c r="Y106" s="8">
        <f t="shared" si="1"/>
        <v>97</v>
      </c>
      <c r="Z106" s="8">
        <f t="shared" si="1"/>
        <v>96</v>
      </c>
      <c r="AA106" s="8">
        <f t="shared" si="1"/>
        <v>98</v>
      </c>
      <c r="AB106" s="8">
        <f t="shared" si="1"/>
        <v>93</v>
      </c>
      <c r="AC106" s="8">
        <f t="shared" si="1"/>
        <v>98</v>
      </c>
      <c r="AD106" s="8">
        <f t="shared" si="1"/>
        <v>98</v>
      </c>
      <c r="AE106" s="8">
        <f t="shared" si="1"/>
        <v>0</v>
      </c>
      <c r="AF106" s="8">
        <f t="shared" si="1"/>
        <v>98</v>
      </c>
      <c r="AG106" s="8">
        <f t="shared" si="1"/>
        <v>0</v>
      </c>
      <c r="AH106" s="8">
        <f t="shared" si="1"/>
        <v>98</v>
      </c>
      <c r="AI106" s="8">
        <f t="shared" si="1"/>
        <v>0</v>
      </c>
      <c r="AJ106" s="8">
        <f t="shared" si="1"/>
        <v>98</v>
      </c>
      <c r="AK106" s="8">
        <f t="shared" si="1"/>
        <v>97</v>
      </c>
      <c r="AL106" s="8">
        <f t="shared" si="1"/>
        <v>95</v>
      </c>
      <c r="AM106" s="8">
        <f t="shared" si="1"/>
        <v>95</v>
      </c>
      <c r="AN106" s="8">
        <f t="shared" si="1"/>
        <v>93</v>
      </c>
      <c r="AO106" s="8">
        <f t="shared" si="1"/>
        <v>96</v>
      </c>
      <c r="AP106" s="8">
        <f t="shared" si="1"/>
        <v>95</v>
      </c>
      <c r="AQ106" s="8">
        <f t="shared" si="1"/>
        <v>98</v>
      </c>
      <c r="AR106" s="8">
        <f t="shared" si="1"/>
        <v>0</v>
      </c>
      <c r="AS106" s="8"/>
    </row>
    <row r="107" spans="1:45" x14ac:dyDescent="0.25">
      <c r="G107" t="s">
        <v>1399</v>
      </c>
      <c r="U107" s="10"/>
    </row>
    <row r="108" spans="1:45" x14ac:dyDescent="0.25">
      <c r="G108">
        <f>_xlfn.STDEV.P(G3:G100)</f>
        <v>6897.5288519085798</v>
      </c>
      <c r="U108" s="6" t="e" cm="1">
        <f t="array" ref="U108">std</f>
        <v>#NAME?</v>
      </c>
    </row>
    <row r="109" spans="1:45" x14ac:dyDescent="0.25">
      <c r="F109" s="5">
        <f>#REF!-G108</f>
        <v>-5887.7347342615212</v>
      </c>
      <c r="G109" s="5">
        <f>#REF!+G108</f>
        <v>7907.3229695556383</v>
      </c>
    </row>
    <row r="110" spans="1:45" x14ac:dyDescent="0.25">
      <c r="G110">
        <f>COUNTIF(G3:G100, "&lt; 7978")</f>
        <v>97</v>
      </c>
    </row>
    <row r="111" spans="1:45" x14ac:dyDescent="0.25">
      <c r="AR111">
        <f>59/98</f>
        <v>0.60204081632653061</v>
      </c>
    </row>
    <row r="112" spans="1:45" x14ac:dyDescent="0.25">
      <c r="G112">
        <f>AVERAGE(G80:G99,G100,G3:G78)</f>
        <v>349.63917525773195</v>
      </c>
      <c r="W112">
        <f>50/300</f>
        <v>0.16666666666666666</v>
      </c>
      <c r="AR112">
        <f>37/67</f>
        <v>0.55223880597014929</v>
      </c>
    </row>
  </sheetData>
  <phoneticPr fontId="5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18328-58A3-43C4-9307-C48EE116C731}">
  <dimension ref="A1:B22"/>
  <sheetViews>
    <sheetView zoomScale="80" workbookViewId="0">
      <selection activeCell="B14" sqref="B14:B19"/>
    </sheetView>
  </sheetViews>
  <sheetFormatPr defaultRowHeight="15.75" x14ac:dyDescent="0.25"/>
  <cols>
    <col min="1" max="1" width="15.375" bestFit="1" customWidth="1"/>
    <col min="2" max="2" width="11.625" bestFit="1" customWidth="1"/>
  </cols>
  <sheetData>
    <row r="1" spans="1:2" x14ac:dyDescent="0.25">
      <c r="A1" t="s">
        <v>1362</v>
      </c>
      <c r="B1" t="s">
        <v>1363</v>
      </c>
    </row>
    <row r="2" spans="1:2" x14ac:dyDescent="0.25">
      <c r="A2" t="s">
        <v>1364</v>
      </c>
      <c r="B2" t="s">
        <v>1365</v>
      </c>
    </row>
    <row r="3" spans="1:2" x14ac:dyDescent="0.25">
      <c r="A3" t="s">
        <v>20</v>
      </c>
      <c r="B3" t="s">
        <v>55</v>
      </c>
    </row>
    <row r="4" spans="1:2" x14ac:dyDescent="0.25">
      <c r="A4" t="s">
        <v>21</v>
      </c>
      <c r="B4" t="s">
        <v>56</v>
      </c>
    </row>
    <row r="5" spans="1:2" x14ac:dyDescent="0.25">
      <c r="A5" t="s">
        <v>22</v>
      </c>
      <c r="B5" t="s">
        <v>57</v>
      </c>
    </row>
    <row r="6" spans="1:2" x14ac:dyDescent="0.25">
      <c r="A6" t="s">
        <v>23</v>
      </c>
      <c r="B6" t="s">
        <v>58</v>
      </c>
    </row>
    <row r="7" spans="1:2" x14ac:dyDescent="0.25">
      <c r="A7" t="s">
        <v>24</v>
      </c>
      <c r="B7" t="s">
        <v>59</v>
      </c>
    </row>
    <row r="8" spans="1:2" x14ac:dyDescent="0.25">
      <c r="A8" t="s">
        <v>25</v>
      </c>
      <c r="B8" t="s">
        <v>60</v>
      </c>
    </row>
    <row r="9" spans="1:2" x14ac:dyDescent="0.25">
      <c r="A9" t="s">
        <v>26</v>
      </c>
      <c r="B9" t="s">
        <v>61</v>
      </c>
    </row>
    <row r="10" spans="1:2" x14ac:dyDescent="0.25">
      <c r="A10" t="s">
        <v>27</v>
      </c>
      <c r="B10" t="s">
        <v>62</v>
      </c>
    </row>
    <row r="11" spans="1:2" x14ac:dyDescent="0.25">
      <c r="A11" t="s">
        <v>1366</v>
      </c>
      <c r="B11" t="s">
        <v>1369</v>
      </c>
    </row>
    <row r="12" spans="1:2" x14ac:dyDescent="0.25">
      <c r="A12" t="s">
        <v>1367</v>
      </c>
      <c r="B12" t="s">
        <v>64</v>
      </c>
    </row>
    <row r="13" spans="1:2" x14ac:dyDescent="0.25">
      <c r="A13" t="s">
        <v>1368</v>
      </c>
      <c r="B13" t="s">
        <v>65</v>
      </c>
    </row>
    <row r="14" spans="1:2" x14ac:dyDescent="0.25">
      <c r="A14" t="s">
        <v>31</v>
      </c>
      <c r="B14" t="s">
        <v>66</v>
      </c>
    </row>
    <row r="15" spans="1:2" x14ac:dyDescent="0.25">
      <c r="A15" t="s">
        <v>32</v>
      </c>
      <c r="B15" t="s">
        <v>67</v>
      </c>
    </row>
    <row r="16" spans="1:2" x14ac:dyDescent="0.25">
      <c r="A16" t="s">
        <v>33</v>
      </c>
      <c r="B16" t="s">
        <v>68</v>
      </c>
    </row>
    <row r="17" spans="1:2" x14ac:dyDescent="0.25">
      <c r="A17" t="s">
        <v>34</v>
      </c>
      <c r="B17" t="s">
        <v>69</v>
      </c>
    </row>
    <row r="18" spans="1:2" x14ac:dyDescent="0.25">
      <c r="A18" t="s">
        <v>35</v>
      </c>
      <c r="B18" t="s">
        <v>70</v>
      </c>
    </row>
    <row r="19" spans="1:2" x14ac:dyDescent="0.25">
      <c r="A19" t="s">
        <v>36</v>
      </c>
      <c r="B19" t="s">
        <v>71</v>
      </c>
    </row>
    <row r="20" spans="1:2" x14ac:dyDescent="0.25">
      <c r="A20" t="s">
        <v>37</v>
      </c>
      <c r="B20" t="s">
        <v>72</v>
      </c>
    </row>
    <row r="21" spans="1:2" x14ac:dyDescent="0.25">
      <c r="A21" t="s">
        <v>1371</v>
      </c>
      <c r="B21" t="s">
        <v>1372</v>
      </c>
    </row>
    <row r="22" spans="1:2" x14ac:dyDescent="0.25">
      <c r="A22" t="s">
        <v>1370</v>
      </c>
      <c r="B22" t="s">
        <v>951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A05D0-E8EC-5840-ABC0-FFEB0A514BEF}">
  <dimension ref="A1:AL21"/>
  <sheetViews>
    <sheetView topLeftCell="A10" workbookViewId="0">
      <selection activeCell="B20" sqref="B20"/>
    </sheetView>
  </sheetViews>
  <sheetFormatPr defaultColWidth="20.625" defaultRowHeight="15.75" x14ac:dyDescent="0.25"/>
  <sheetData>
    <row r="1" spans="1:38" s="1" customFormat="1" ht="252" x14ac:dyDescent="0.25">
      <c r="A1" s="1" t="s">
        <v>913</v>
      </c>
      <c r="B1" s="1" t="s">
        <v>914</v>
      </c>
      <c r="C1" s="1" t="s">
        <v>915</v>
      </c>
      <c r="D1" s="1" t="s">
        <v>916</v>
      </c>
      <c r="E1" s="1" t="s">
        <v>917</v>
      </c>
      <c r="F1" s="1" t="s">
        <v>918</v>
      </c>
      <c r="G1" s="1" t="s">
        <v>919</v>
      </c>
      <c r="H1" s="1" t="s">
        <v>920</v>
      </c>
      <c r="I1" s="1" t="s">
        <v>921</v>
      </c>
      <c r="J1" s="1" t="s">
        <v>922</v>
      </c>
      <c r="K1" s="1" t="s">
        <v>923</v>
      </c>
      <c r="L1" s="1" t="s">
        <v>924</v>
      </c>
      <c r="M1" s="1" t="s">
        <v>925</v>
      </c>
      <c r="N1" s="1" t="s">
        <v>926</v>
      </c>
      <c r="O1" s="1" t="s">
        <v>927</v>
      </c>
      <c r="P1" s="1" t="s">
        <v>928</v>
      </c>
      <c r="Q1" s="1" t="s">
        <v>929</v>
      </c>
      <c r="R1" s="1" t="s">
        <v>930</v>
      </c>
      <c r="S1" s="1" t="s">
        <v>931</v>
      </c>
      <c r="T1" s="1" t="s">
        <v>932</v>
      </c>
      <c r="U1" s="1" t="s">
        <v>933</v>
      </c>
      <c r="V1" s="1" t="s">
        <v>934</v>
      </c>
      <c r="W1" s="1" t="s">
        <v>935</v>
      </c>
      <c r="X1" s="1" t="s">
        <v>936</v>
      </c>
      <c r="Y1" s="1" t="s">
        <v>937</v>
      </c>
      <c r="Z1" s="1" t="s">
        <v>938</v>
      </c>
      <c r="AA1" s="1" t="s">
        <v>939</v>
      </c>
      <c r="AB1" s="1" t="s">
        <v>950</v>
      </c>
      <c r="AC1" s="1" t="s">
        <v>940</v>
      </c>
      <c r="AD1" s="1" t="s">
        <v>941</v>
      </c>
      <c r="AE1" s="1" t="s">
        <v>942</v>
      </c>
      <c r="AF1" s="1" t="s">
        <v>943</v>
      </c>
      <c r="AG1" s="1" t="s">
        <v>944</v>
      </c>
      <c r="AH1" s="1" t="s">
        <v>945</v>
      </c>
      <c r="AI1" s="1" t="s">
        <v>946</v>
      </c>
      <c r="AJ1" s="1" t="s">
        <v>947</v>
      </c>
      <c r="AK1" s="1" t="s">
        <v>948</v>
      </c>
      <c r="AL1" s="1" t="s">
        <v>949</v>
      </c>
    </row>
    <row r="2" spans="1:38" x14ac:dyDescent="0.25">
      <c r="A2" t="s">
        <v>818</v>
      </c>
      <c r="B2" t="s">
        <v>819</v>
      </c>
      <c r="C2" t="s">
        <v>42</v>
      </c>
      <c r="D2" t="s">
        <v>820</v>
      </c>
      <c r="E2" t="s">
        <v>207</v>
      </c>
      <c r="F2" t="s">
        <v>129</v>
      </c>
      <c r="G2" t="s">
        <v>821</v>
      </c>
      <c r="H2" t="s">
        <v>822</v>
      </c>
      <c r="I2" t="s">
        <v>823</v>
      </c>
      <c r="J2" t="s">
        <v>111</v>
      </c>
      <c r="K2" t="s">
        <v>111</v>
      </c>
      <c r="L2" t="s">
        <v>111</v>
      </c>
      <c r="M2" t="s">
        <v>111</v>
      </c>
      <c r="N2" t="s">
        <v>111</v>
      </c>
      <c r="O2" t="s">
        <v>111</v>
      </c>
      <c r="P2" t="s">
        <v>127</v>
      </c>
      <c r="Q2" t="s">
        <v>117</v>
      </c>
      <c r="R2" t="s">
        <v>111</v>
      </c>
      <c r="S2" t="s">
        <v>111</v>
      </c>
      <c r="T2" t="s">
        <v>111</v>
      </c>
      <c r="U2" t="s">
        <v>111</v>
      </c>
      <c r="V2" t="s">
        <v>111</v>
      </c>
      <c r="W2" t="s">
        <v>111</v>
      </c>
      <c r="X2" t="s">
        <v>111</v>
      </c>
      <c r="Y2" t="s">
        <v>111</v>
      </c>
      <c r="Z2" t="s">
        <v>111</v>
      </c>
      <c r="AA2" t="s">
        <v>111</v>
      </c>
      <c r="AB2" t="s">
        <v>111</v>
      </c>
      <c r="AC2" t="s">
        <v>111</v>
      </c>
      <c r="AD2" t="s">
        <v>111</v>
      </c>
      <c r="AE2" t="s">
        <v>111</v>
      </c>
      <c r="AF2" t="s">
        <v>111</v>
      </c>
      <c r="AG2" t="s">
        <v>111</v>
      </c>
      <c r="AH2" t="s">
        <v>111</v>
      </c>
      <c r="AI2" t="s">
        <v>111</v>
      </c>
      <c r="AJ2" t="s">
        <v>111</v>
      </c>
      <c r="AK2" t="s">
        <v>111</v>
      </c>
      <c r="AL2" t="s">
        <v>111</v>
      </c>
    </row>
    <row r="3" spans="1:38" x14ac:dyDescent="0.25">
      <c r="A3" t="s">
        <v>824</v>
      </c>
      <c r="B3" t="s">
        <v>825</v>
      </c>
      <c r="C3" t="s">
        <v>42</v>
      </c>
      <c r="D3" t="s">
        <v>826</v>
      </c>
      <c r="E3" t="s">
        <v>207</v>
      </c>
      <c r="F3" t="s">
        <v>827</v>
      </c>
      <c r="G3" t="s">
        <v>821</v>
      </c>
      <c r="H3" t="s">
        <v>828</v>
      </c>
      <c r="I3" t="s">
        <v>829</v>
      </c>
      <c r="J3" t="s">
        <v>111</v>
      </c>
      <c r="K3" t="s">
        <v>111</v>
      </c>
      <c r="L3" t="s">
        <v>111</v>
      </c>
      <c r="M3" t="s">
        <v>111</v>
      </c>
      <c r="N3" t="s">
        <v>111</v>
      </c>
      <c r="O3" t="s">
        <v>111</v>
      </c>
      <c r="P3" t="s">
        <v>127</v>
      </c>
      <c r="Q3" t="s">
        <v>117</v>
      </c>
      <c r="R3" t="s">
        <v>111</v>
      </c>
      <c r="S3" t="s">
        <v>111</v>
      </c>
      <c r="T3" t="s">
        <v>111</v>
      </c>
      <c r="U3" t="s">
        <v>111</v>
      </c>
      <c r="V3" t="s">
        <v>111</v>
      </c>
      <c r="W3" t="s">
        <v>111</v>
      </c>
      <c r="X3" t="s">
        <v>111</v>
      </c>
      <c r="Y3" t="s">
        <v>111</v>
      </c>
      <c r="Z3" t="s">
        <v>111</v>
      </c>
      <c r="AA3" t="s">
        <v>111</v>
      </c>
      <c r="AB3" t="s">
        <v>111</v>
      </c>
      <c r="AC3" t="s">
        <v>111</v>
      </c>
      <c r="AD3" t="s">
        <v>111</v>
      </c>
      <c r="AE3" t="s">
        <v>111</v>
      </c>
      <c r="AF3" t="s">
        <v>111</v>
      </c>
      <c r="AG3" t="s">
        <v>111</v>
      </c>
      <c r="AH3" t="s">
        <v>111</v>
      </c>
      <c r="AI3" t="s">
        <v>111</v>
      </c>
      <c r="AJ3" t="s">
        <v>111</v>
      </c>
      <c r="AK3" t="s">
        <v>111</v>
      </c>
      <c r="AL3" t="s">
        <v>111</v>
      </c>
    </row>
    <row r="4" spans="1:38" x14ac:dyDescent="0.25">
      <c r="A4" t="s">
        <v>830</v>
      </c>
      <c r="B4" t="s">
        <v>831</v>
      </c>
      <c r="C4" t="s">
        <v>42</v>
      </c>
      <c r="D4" t="s">
        <v>832</v>
      </c>
      <c r="E4" t="s">
        <v>207</v>
      </c>
      <c r="F4" t="s">
        <v>113</v>
      </c>
      <c r="G4" t="s">
        <v>821</v>
      </c>
      <c r="H4" t="s">
        <v>833</v>
      </c>
      <c r="I4" t="s">
        <v>834</v>
      </c>
      <c r="J4" t="s">
        <v>111</v>
      </c>
      <c r="K4" t="s">
        <v>111</v>
      </c>
      <c r="L4" t="s">
        <v>111</v>
      </c>
      <c r="M4" t="s">
        <v>111</v>
      </c>
      <c r="N4" t="s">
        <v>111</v>
      </c>
      <c r="O4" t="s">
        <v>111</v>
      </c>
      <c r="P4" t="s">
        <v>127</v>
      </c>
      <c r="Q4" t="s">
        <v>117</v>
      </c>
      <c r="R4" t="s">
        <v>111</v>
      </c>
      <c r="S4" t="s">
        <v>111</v>
      </c>
      <c r="T4" t="s">
        <v>111</v>
      </c>
      <c r="U4" t="s">
        <v>111</v>
      </c>
      <c r="V4" t="s">
        <v>111</v>
      </c>
      <c r="W4" t="s">
        <v>111</v>
      </c>
      <c r="X4" t="s">
        <v>111</v>
      </c>
      <c r="Y4" t="s">
        <v>111</v>
      </c>
      <c r="Z4" t="s">
        <v>111</v>
      </c>
      <c r="AA4" t="s">
        <v>111</v>
      </c>
      <c r="AB4" t="s">
        <v>111</v>
      </c>
      <c r="AC4" t="s">
        <v>111</v>
      </c>
      <c r="AD4" t="s">
        <v>111</v>
      </c>
      <c r="AE4" t="s">
        <v>111</v>
      </c>
      <c r="AF4" t="s">
        <v>111</v>
      </c>
      <c r="AG4" t="s">
        <v>111</v>
      </c>
      <c r="AH4" t="s">
        <v>111</v>
      </c>
      <c r="AI4" t="s">
        <v>111</v>
      </c>
      <c r="AJ4" t="s">
        <v>111</v>
      </c>
      <c r="AK4" t="s">
        <v>111</v>
      </c>
      <c r="AL4" t="s">
        <v>111</v>
      </c>
    </row>
    <row r="5" spans="1:38" x14ac:dyDescent="0.25">
      <c r="A5" t="s">
        <v>835</v>
      </c>
      <c r="B5" t="s">
        <v>836</v>
      </c>
      <c r="C5" t="s">
        <v>42</v>
      </c>
      <c r="D5" t="s">
        <v>837</v>
      </c>
      <c r="E5" t="s">
        <v>207</v>
      </c>
      <c r="F5" t="s">
        <v>838</v>
      </c>
      <c r="G5" t="s">
        <v>821</v>
      </c>
      <c r="H5" t="s">
        <v>839</v>
      </c>
      <c r="I5" t="s">
        <v>840</v>
      </c>
      <c r="J5" t="s">
        <v>111</v>
      </c>
      <c r="K5" t="s">
        <v>111</v>
      </c>
      <c r="L5" t="s">
        <v>111</v>
      </c>
      <c r="M5" t="s">
        <v>111</v>
      </c>
      <c r="N5" t="s">
        <v>111</v>
      </c>
      <c r="O5" t="s">
        <v>111</v>
      </c>
      <c r="P5" t="s">
        <v>127</v>
      </c>
      <c r="Q5" t="s">
        <v>117</v>
      </c>
      <c r="R5" t="s">
        <v>111</v>
      </c>
      <c r="S5" t="s">
        <v>111</v>
      </c>
      <c r="T5" t="s">
        <v>111</v>
      </c>
      <c r="U5" t="s">
        <v>111</v>
      </c>
      <c r="V5" t="s">
        <v>111</v>
      </c>
      <c r="W5" t="s">
        <v>111</v>
      </c>
      <c r="X5" t="s">
        <v>111</v>
      </c>
      <c r="Y5" t="s">
        <v>111</v>
      </c>
      <c r="Z5" t="s">
        <v>111</v>
      </c>
      <c r="AA5" t="s">
        <v>111</v>
      </c>
      <c r="AB5" t="s">
        <v>111</v>
      </c>
      <c r="AC5" t="s">
        <v>111</v>
      </c>
      <c r="AD5" t="s">
        <v>111</v>
      </c>
      <c r="AE5" t="s">
        <v>111</v>
      </c>
      <c r="AF5" t="s">
        <v>111</v>
      </c>
      <c r="AG5" t="s">
        <v>111</v>
      </c>
      <c r="AH5" t="s">
        <v>111</v>
      </c>
      <c r="AI5" t="s">
        <v>111</v>
      </c>
      <c r="AJ5" t="s">
        <v>111</v>
      </c>
      <c r="AK5" t="s">
        <v>111</v>
      </c>
      <c r="AL5" t="s">
        <v>111</v>
      </c>
    </row>
    <row r="6" spans="1:38" x14ac:dyDescent="0.25">
      <c r="A6" t="s">
        <v>841</v>
      </c>
      <c r="B6" t="s">
        <v>842</v>
      </c>
      <c r="C6" t="s">
        <v>42</v>
      </c>
      <c r="D6" t="s">
        <v>843</v>
      </c>
      <c r="E6" t="s">
        <v>207</v>
      </c>
      <c r="F6" t="s">
        <v>844</v>
      </c>
      <c r="G6" t="s">
        <v>821</v>
      </c>
      <c r="H6" t="s">
        <v>845</v>
      </c>
      <c r="I6" t="s">
        <v>846</v>
      </c>
      <c r="J6" t="s">
        <v>111</v>
      </c>
      <c r="K6" t="s">
        <v>111</v>
      </c>
      <c r="L6" t="s">
        <v>111</v>
      </c>
      <c r="M6" t="s">
        <v>111</v>
      </c>
      <c r="N6" t="s">
        <v>111</v>
      </c>
      <c r="O6" t="s">
        <v>111</v>
      </c>
      <c r="P6" t="s">
        <v>127</v>
      </c>
      <c r="Q6" t="s">
        <v>117</v>
      </c>
      <c r="R6" t="s">
        <v>111</v>
      </c>
      <c r="S6" t="s">
        <v>111</v>
      </c>
      <c r="T6" t="s">
        <v>111</v>
      </c>
      <c r="U6" t="s">
        <v>111</v>
      </c>
      <c r="V6" t="s">
        <v>111</v>
      </c>
      <c r="W6" t="s">
        <v>111</v>
      </c>
      <c r="X6" t="s">
        <v>111</v>
      </c>
      <c r="Y6" t="s">
        <v>111</v>
      </c>
      <c r="Z6" t="s">
        <v>111</v>
      </c>
      <c r="AA6" t="s">
        <v>111</v>
      </c>
      <c r="AB6" t="s">
        <v>111</v>
      </c>
      <c r="AC6" t="s">
        <v>111</v>
      </c>
      <c r="AD6" t="s">
        <v>111</v>
      </c>
      <c r="AE6" t="s">
        <v>111</v>
      </c>
      <c r="AF6" t="s">
        <v>111</v>
      </c>
      <c r="AG6" t="s">
        <v>111</v>
      </c>
      <c r="AH6" t="s">
        <v>111</v>
      </c>
      <c r="AI6" t="s">
        <v>111</v>
      </c>
      <c r="AJ6" t="s">
        <v>111</v>
      </c>
      <c r="AK6" t="s">
        <v>111</v>
      </c>
      <c r="AL6" t="s">
        <v>111</v>
      </c>
    </row>
    <row r="7" spans="1:38" x14ac:dyDescent="0.25">
      <c r="A7" t="s">
        <v>847</v>
      </c>
      <c r="B7" t="s">
        <v>848</v>
      </c>
      <c r="C7" t="s">
        <v>42</v>
      </c>
      <c r="D7" t="s">
        <v>389</v>
      </c>
      <c r="E7" t="s">
        <v>207</v>
      </c>
      <c r="F7" t="s">
        <v>849</v>
      </c>
      <c r="G7" t="s">
        <v>821</v>
      </c>
      <c r="H7" t="s">
        <v>850</v>
      </c>
      <c r="I7" t="s">
        <v>851</v>
      </c>
      <c r="J7" t="s">
        <v>111</v>
      </c>
      <c r="K7" t="s">
        <v>111</v>
      </c>
      <c r="L7" t="s">
        <v>111</v>
      </c>
      <c r="M7" t="s">
        <v>111</v>
      </c>
      <c r="N7" t="s">
        <v>111</v>
      </c>
      <c r="O7" t="s">
        <v>111</v>
      </c>
      <c r="P7" t="s">
        <v>127</v>
      </c>
      <c r="Q7" t="s">
        <v>117</v>
      </c>
      <c r="R7" t="s">
        <v>111</v>
      </c>
      <c r="S7" t="s">
        <v>111</v>
      </c>
      <c r="T7" t="s">
        <v>111</v>
      </c>
      <c r="U7" t="s">
        <v>111</v>
      </c>
      <c r="V7" t="s">
        <v>111</v>
      </c>
      <c r="W7" t="s">
        <v>111</v>
      </c>
      <c r="X7" t="s">
        <v>111</v>
      </c>
      <c r="Y7" t="s">
        <v>111</v>
      </c>
      <c r="Z7" t="s">
        <v>111</v>
      </c>
      <c r="AA7" t="s">
        <v>111</v>
      </c>
      <c r="AB7" t="s">
        <v>111</v>
      </c>
      <c r="AC7" t="s">
        <v>111</v>
      </c>
      <c r="AD7" t="s">
        <v>111</v>
      </c>
      <c r="AE7" t="s">
        <v>111</v>
      </c>
      <c r="AF7" t="s">
        <v>111</v>
      </c>
      <c r="AG7" t="s">
        <v>111</v>
      </c>
      <c r="AH7" t="s">
        <v>111</v>
      </c>
      <c r="AI7" t="s">
        <v>111</v>
      </c>
      <c r="AJ7" t="s">
        <v>111</v>
      </c>
      <c r="AK7" t="s">
        <v>111</v>
      </c>
      <c r="AL7" t="s">
        <v>111</v>
      </c>
    </row>
    <row r="8" spans="1:38" x14ac:dyDescent="0.25">
      <c r="A8" t="s">
        <v>852</v>
      </c>
      <c r="B8" t="s">
        <v>853</v>
      </c>
      <c r="C8" t="s">
        <v>42</v>
      </c>
      <c r="D8" t="s">
        <v>854</v>
      </c>
      <c r="E8" t="s">
        <v>207</v>
      </c>
      <c r="F8" t="s">
        <v>118</v>
      </c>
      <c r="G8" t="s">
        <v>821</v>
      </c>
      <c r="H8" t="s">
        <v>855</v>
      </c>
      <c r="I8" t="s">
        <v>856</v>
      </c>
      <c r="J8" t="s">
        <v>111</v>
      </c>
      <c r="K8" t="s">
        <v>111</v>
      </c>
      <c r="L8" t="s">
        <v>111</v>
      </c>
      <c r="M8" t="s">
        <v>111</v>
      </c>
      <c r="N8" t="s">
        <v>111</v>
      </c>
      <c r="O8" t="s">
        <v>111</v>
      </c>
      <c r="P8" t="s">
        <v>127</v>
      </c>
      <c r="Q8" t="s">
        <v>117</v>
      </c>
      <c r="R8" t="s">
        <v>111</v>
      </c>
      <c r="S8" t="s">
        <v>111</v>
      </c>
      <c r="T8" t="s">
        <v>111</v>
      </c>
      <c r="U8" t="s">
        <v>111</v>
      </c>
      <c r="V8" t="s">
        <v>111</v>
      </c>
      <c r="W8" t="s">
        <v>111</v>
      </c>
      <c r="X8" t="s">
        <v>111</v>
      </c>
      <c r="Y8" t="s">
        <v>111</v>
      </c>
      <c r="Z8" t="s">
        <v>111</v>
      </c>
      <c r="AA8" t="s">
        <v>111</v>
      </c>
      <c r="AB8" t="s">
        <v>111</v>
      </c>
      <c r="AC8" t="s">
        <v>111</v>
      </c>
      <c r="AD8" t="s">
        <v>111</v>
      </c>
      <c r="AE8" t="s">
        <v>111</v>
      </c>
      <c r="AF8" t="s">
        <v>111</v>
      </c>
      <c r="AG8" t="s">
        <v>111</v>
      </c>
      <c r="AH8" t="s">
        <v>111</v>
      </c>
      <c r="AI8" t="s">
        <v>111</v>
      </c>
      <c r="AJ8" t="s">
        <v>111</v>
      </c>
      <c r="AK8" t="s">
        <v>111</v>
      </c>
      <c r="AL8" t="s">
        <v>111</v>
      </c>
    </row>
    <row r="9" spans="1:38" x14ac:dyDescent="0.25">
      <c r="A9" t="s">
        <v>857</v>
      </c>
      <c r="B9" t="s">
        <v>858</v>
      </c>
      <c r="C9" t="s">
        <v>42</v>
      </c>
      <c r="D9" t="s">
        <v>389</v>
      </c>
      <c r="E9" t="s">
        <v>207</v>
      </c>
      <c r="F9" t="s">
        <v>859</v>
      </c>
      <c r="G9" t="s">
        <v>821</v>
      </c>
      <c r="H9" t="s">
        <v>860</v>
      </c>
      <c r="I9" t="s">
        <v>861</v>
      </c>
      <c r="J9" t="s">
        <v>111</v>
      </c>
      <c r="K9" t="s">
        <v>111</v>
      </c>
      <c r="L9" t="s">
        <v>111</v>
      </c>
      <c r="M9" t="s">
        <v>111</v>
      </c>
      <c r="N9" t="s">
        <v>111</v>
      </c>
      <c r="O9" t="s">
        <v>111</v>
      </c>
      <c r="P9" t="s">
        <v>487</v>
      </c>
      <c r="Q9" t="s">
        <v>117</v>
      </c>
      <c r="R9" t="s">
        <v>111</v>
      </c>
      <c r="S9" t="s">
        <v>111</v>
      </c>
      <c r="T9" t="s">
        <v>111</v>
      </c>
      <c r="U9" t="s">
        <v>111</v>
      </c>
      <c r="V9" t="s">
        <v>111</v>
      </c>
      <c r="W9" t="s">
        <v>111</v>
      </c>
      <c r="X9" t="s">
        <v>111</v>
      </c>
      <c r="Y9" t="s">
        <v>111</v>
      </c>
      <c r="Z9" t="s">
        <v>111</v>
      </c>
      <c r="AA9" t="s">
        <v>111</v>
      </c>
      <c r="AB9" t="s">
        <v>111</v>
      </c>
      <c r="AC9" t="s">
        <v>111</v>
      </c>
      <c r="AD9" t="s">
        <v>111</v>
      </c>
      <c r="AE9" t="s">
        <v>111</v>
      </c>
      <c r="AF9" t="s">
        <v>111</v>
      </c>
      <c r="AG9" t="s">
        <v>111</v>
      </c>
      <c r="AH9" t="s">
        <v>111</v>
      </c>
      <c r="AI9" t="s">
        <v>111</v>
      </c>
      <c r="AJ9" t="s">
        <v>111</v>
      </c>
      <c r="AK9" t="s">
        <v>111</v>
      </c>
      <c r="AL9" t="s">
        <v>111</v>
      </c>
    </row>
    <row r="10" spans="1:38" x14ac:dyDescent="0.25">
      <c r="A10" t="s">
        <v>862</v>
      </c>
      <c r="B10" t="s">
        <v>482</v>
      </c>
      <c r="C10" t="s">
        <v>863</v>
      </c>
      <c r="D10" t="s">
        <v>389</v>
      </c>
      <c r="E10" t="s">
        <v>207</v>
      </c>
      <c r="F10" t="s">
        <v>143</v>
      </c>
      <c r="G10" t="s">
        <v>821</v>
      </c>
      <c r="H10" t="s">
        <v>864</v>
      </c>
      <c r="I10" t="s">
        <v>865</v>
      </c>
      <c r="J10" t="s">
        <v>111</v>
      </c>
      <c r="K10" t="s">
        <v>111</v>
      </c>
      <c r="L10" t="s">
        <v>111</v>
      </c>
      <c r="M10" t="s">
        <v>111</v>
      </c>
      <c r="N10" t="s">
        <v>111</v>
      </c>
      <c r="O10" t="s">
        <v>111</v>
      </c>
      <c r="P10" t="s">
        <v>487</v>
      </c>
      <c r="Q10" t="s">
        <v>117</v>
      </c>
      <c r="R10" t="s">
        <v>111</v>
      </c>
      <c r="S10" t="s">
        <v>111</v>
      </c>
      <c r="T10" t="s">
        <v>111</v>
      </c>
      <c r="U10" t="s">
        <v>111</v>
      </c>
      <c r="V10" t="s">
        <v>111</v>
      </c>
      <c r="W10" t="s">
        <v>111</v>
      </c>
      <c r="X10" t="s">
        <v>111</v>
      </c>
      <c r="Y10" t="s">
        <v>111</v>
      </c>
      <c r="Z10" t="s">
        <v>111</v>
      </c>
      <c r="AA10" t="s">
        <v>111</v>
      </c>
      <c r="AB10" t="s">
        <v>111</v>
      </c>
      <c r="AC10" t="s">
        <v>111</v>
      </c>
      <c r="AD10" t="s">
        <v>111</v>
      </c>
      <c r="AE10" t="s">
        <v>111</v>
      </c>
      <c r="AF10" t="s">
        <v>111</v>
      </c>
      <c r="AG10" t="s">
        <v>111</v>
      </c>
      <c r="AH10" t="s">
        <v>111</v>
      </c>
      <c r="AI10" t="s">
        <v>111</v>
      </c>
      <c r="AJ10" t="s">
        <v>111</v>
      </c>
      <c r="AK10" t="s">
        <v>111</v>
      </c>
      <c r="AL10" t="s">
        <v>111</v>
      </c>
    </row>
    <row r="11" spans="1:38" x14ac:dyDescent="0.25">
      <c r="A11" t="s">
        <v>866</v>
      </c>
      <c r="B11" t="s">
        <v>651</v>
      </c>
      <c r="C11" t="s">
        <v>42</v>
      </c>
      <c r="D11" t="s">
        <v>867</v>
      </c>
      <c r="E11" t="s">
        <v>207</v>
      </c>
      <c r="F11" t="s">
        <v>868</v>
      </c>
      <c r="G11" t="s">
        <v>821</v>
      </c>
      <c r="H11" t="s">
        <v>869</v>
      </c>
      <c r="I11" t="s">
        <v>870</v>
      </c>
      <c r="J11" t="s">
        <v>111</v>
      </c>
      <c r="K11" t="s">
        <v>111</v>
      </c>
      <c r="L11" t="s">
        <v>111</v>
      </c>
      <c r="M11" t="s">
        <v>111</v>
      </c>
      <c r="N11" t="s">
        <v>111</v>
      </c>
      <c r="O11" t="s">
        <v>111</v>
      </c>
      <c r="P11" t="s">
        <v>487</v>
      </c>
      <c r="Q11" t="s">
        <v>117</v>
      </c>
      <c r="R11" t="s">
        <v>111</v>
      </c>
      <c r="S11" t="s">
        <v>111</v>
      </c>
      <c r="T11" t="s">
        <v>111</v>
      </c>
      <c r="U11" t="s">
        <v>111</v>
      </c>
      <c r="V11" t="s">
        <v>111</v>
      </c>
      <c r="W11" t="s">
        <v>111</v>
      </c>
      <c r="X11" t="s">
        <v>111</v>
      </c>
      <c r="Y11" t="s">
        <v>111</v>
      </c>
      <c r="Z11" t="s">
        <v>111</v>
      </c>
      <c r="AA11" t="s">
        <v>111</v>
      </c>
      <c r="AB11" t="s">
        <v>111</v>
      </c>
      <c r="AC11" t="s">
        <v>111</v>
      </c>
      <c r="AD11" t="s">
        <v>111</v>
      </c>
      <c r="AE11" t="s">
        <v>111</v>
      </c>
      <c r="AF11" t="s">
        <v>111</v>
      </c>
      <c r="AG11" t="s">
        <v>111</v>
      </c>
      <c r="AH11" t="s">
        <v>111</v>
      </c>
      <c r="AI11" t="s">
        <v>111</v>
      </c>
      <c r="AJ11" t="s">
        <v>111</v>
      </c>
      <c r="AK11" t="s">
        <v>111</v>
      </c>
      <c r="AL11" t="s">
        <v>111</v>
      </c>
    </row>
    <row r="12" spans="1:38" x14ac:dyDescent="0.25">
      <c r="A12" t="s">
        <v>871</v>
      </c>
      <c r="B12" t="s">
        <v>872</v>
      </c>
      <c r="C12" t="s">
        <v>863</v>
      </c>
      <c r="D12" t="s">
        <v>389</v>
      </c>
      <c r="E12" t="s">
        <v>207</v>
      </c>
      <c r="F12" t="s">
        <v>873</v>
      </c>
      <c r="G12" t="s">
        <v>821</v>
      </c>
      <c r="H12" t="s">
        <v>874</v>
      </c>
      <c r="I12" t="s">
        <v>875</v>
      </c>
      <c r="J12" t="s">
        <v>111</v>
      </c>
      <c r="K12" t="s">
        <v>111</v>
      </c>
      <c r="L12" t="s">
        <v>111</v>
      </c>
      <c r="M12" t="s">
        <v>111</v>
      </c>
      <c r="N12" t="s">
        <v>111</v>
      </c>
      <c r="O12" t="s">
        <v>111</v>
      </c>
      <c r="P12" t="s">
        <v>487</v>
      </c>
      <c r="Q12" t="s">
        <v>117</v>
      </c>
      <c r="R12" t="s">
        <v>111</v>
      </c>
      <c r="S12" t="s">
        <v>111</v>
      </c>
      <c r="T12" t="s">
        <v>111</v>
      </c>
      <c r="U12" t="s">
        <v>111</v>
      </c>
      <c r="V12" t="s">
        <v>111</v>
      </c>
      <c r="W12" t="s">
        <v>111</v>
      </c>
      <c r="X12" t="s">
        <v>111</v>
      </c>
      <c r="Y12" t="s">
        <v>111</v>
      </c>
      <c r="Z12" t="s">
        <v>111</v>
      </c>
      <c r="AA12" t="s">
        <v>111</v>
      </c>
      <c r="AB12" t="s">
        <v>111</v>
      </c>
      <c r="AC12" t="s">
        <v>111</v>
      </c>
      <c r="AD12" t="s">
        <v>111</v>
      </c>
      <c r="AE12" t="s">
        <v>111</v>
      </c>
      <c r="AF12" t="s">
        <v>111</v>
      </c>
      <c r="AG12" t="s">
        <v>111</v>
      </c>
      <c r="AH12" t="s">
        <v>111</v>
      </c>
      <c r="AI12" t="s">
        <v>111</v>
      </c>
      <c r="AJ12" t="s">
        <v>111</v>
      </c>
      <c r="AK12" t="s">
        <v>111</v>
      </c>
      <c r="AL12" t="s">
        <v>111</v>
      </c>
    </row>
    <row r="13" spans="1:38" x14ac:dyDescent="0.25">
      <c r="A13" t="s">
        <v>893</v>
      </c>
      <c r="B13" t="s">
        <v>894</v>
      </c>
      <c r="C13" t="s">
        <v>42</v>
      </c>
      <c r="D13" t="s">
        <v>389</v>
      </c>
      <c r="E13" t="s">
        <v>207</v>
      </c>
      <c r="F13" t="s">
        <v>129</v>
      </c>
      <c r="G13" t="s">
        <v>821</v>
      </c>
      <c r="H13" t="s">
        <v>895</v>
      </c>
      <c r="I13" t="s">
        <v>896</v>
      </c>
      <c r="J13" t="s">
        <v>111</v>
      </c>
      <c r="K13" t="s">
        <v>111</v>
      </c>
      <c r="L13" t="s">
        <v>111</v>
      </c>
      <c r="M13" t="s">
        <v>111</v>
      </c>
      <c r="N13" t="s">
        <v>111</v>
      </c>
      <c r="O13" t="s">
        <v>111</v>
      </c>
      <c r="P13" t="s">
        <v>127</v>
      </c>
      <c r="Q13" t="s">
        <v>117</v>
      </c>
      <c r="R13" t="s">
        <v>111</v>
      </c>
      <c r="S13" t="s">
        <v>111</v>
      </c>
      <c r="T13" t="s">
        <v>111</v>
      </c>
      <c r="U13" t="s">
        <v>111</v>
      </c>
      <c r="V13" t="s">
        <v>111</v>
      </c>
      <c r="W13" t="s">
        <v>111</v>
      </c>
      <c r="X13" t="s">
        <v>111</v>
      </c>
      <c r="Y13" t="s">
        <v>111</v>
      </c>
      <c r="Z13" t="s">
        <v>111</v>
      </c>
      <c r="AA13" t="s">
        <v>111</v>
      </c>
      <c r="AB13" t="s">
        <v>111</v>
      </c>
      <c r="AC13" t="s">
        <v>111</v>
      </c>
      <c r="AD13" t="s">
        <v>111</v>
      </c>
      <c r="AE13" t="s">
        <v>111</v>
      </c>
      <c r="AF13" t="s">
        <v>111</v>
      </c>
      <c r="AG13" t="s">
        <v>111</v>
      </c>
      <c r="AH13" t="s">
        <v>111</v>
      </c>
      <c r="AI13" t="s">
        <v>111</v>
      </c>
      <c r="AJ13" t="s">
        <v>111</v>
      </c>
      <c r="AK13" t="s">
        <v>111</v>
      </c>
      <c r="AL13" t="s">
        <v>111</v>
      </c>
    </row>
    <row r="14" spans="1:38" x14ac:dyDescent="0.25">
      <c r="A14" t="s">
        <v>897</v>
      </c>
      <c r="B14" t="s">
        <v>898</v>
      </c>
      <c r="C14" t="s">
        <v>863</v>
      </c>
      <c r="D14" t="s">
        <v>389</v>
      </c>
      <c r="E14" t="s">
        <v>207</v>
      </c>
      <c r="F14" t="s">
        <v>899</v>
      </c>
      <c r="G14" t="s">
        <v>821</v>
      </c>
      <c r="H14" t="s">
        <v>900</v>
      </c>
      <c r="I14" t="s">
        <v>901</v>
      </c>
      <c r="J14" t="s">
        <v>111</v>
      </c>
      <c r="K14" t="s">
        <v>111</v>
      </c>
      <c r="L14" t="s">
        <v>111</v>
      </c>
      <c r="M14" t="s">
        <v>111</v>
      </c>
      <c r="N14" t="s">
        <v>111</v>
      </c>
      <c r="O14" t="s">
        <v>111</v>
      </c>
      <c r="P14" t="s">
        <v>487</v>
      </c>
      <c r="Q14" t="s">
        <v>117</v>
      </c>
      <c r="R14" t="s">
        <v>111</v>
      </c>
      <c r="S14" t="s">
        <v>111</v>
      </c>
      <c r="T14" t="s">
        <v>111</v>
      </c>
      <c r="U14" t="s">
        <v>111</v>
      </c>
      <c r="V14" t="s">
        <v>111</v>
      </c>
      <c r="W14" t="s">
        <v>111</v>
      </c>
      <c r="X14" t="s">
        <v>111</v>
      </c>
      <c r="Y14" t="s">
        <v>111</v>
      </c>
      <c r="Z14" t="s">
        <v>111</v>
      </c>
      <c r="AA14" t="s">
        <v>111</v>
      </c>
      <c r="AB14" t="s">
        <v>111</v>
      </c>
      <c r="AC14" t="s">
        <v>111</v>
      </c>
      <c r="AD14" t="s">
        <v>111</v>
      </c>
      <c r="AE14" t="s">
        <v>111</v>
      </c>
      <c r="AF14" t="s">
        <v>111</v>
      </c>
      <c r="AG14" t="s">
        <v>111</v>
      </c>
      <c r="AH14" t="s">
        <v>111</v>
      </c>
      <c r="AI14" t="s">
        <v>111</v>
      </c>
      <c r="AJ14" t="s">
        <v>111</v>
      </c>
      <c r="AK14" t="s">
        <v>111</v>
      </c>
      <c r="AL14" t="s">
        <v>111</v>
      </c>
    </row>
    <row r="15" spans="1:38" x14ac:dyDescent="0.25">
      <c r="A15" t="s">
        <v>907</v>
      </c>
      <c r="B15" t="s">
        <v>908</v>
      </c>
      <c r="C15" t="s">
        <v>42</v>
      </c>
      <c r="D15" t="s">
        <v>909</v>
      </c>
      <c r="E15" t="s">
        <v>207</v>
      </c>
      <c r="F15" t="s">
        <v>910</v>
      </c>
      <c r="G15" t="s">
        <v>821</v>
      </c>
      <c r="H15" t="s">
        <v>911</v>
      </c>
      <c r="I15" t="s">
        <v>912</v>
      </c>
      <c r="J15" t="s">
        <v>111</v>
      </c>
      <c r="K15" t="s">
        <v>111</v>
      </c>
      <c r="L15" t="s">
        <v>111</v>
      </c>
      <c r="M15" t="s">
        <v>111</v>
      </c>
      <c r="N15" t="s">
        <v>111</v>
      </c>
      <c r="O15" t="s">
        <v>111</v>
      </c>
      <c r="P15" t="s">
        <v>127</v>
      </c>
      <c r="Q15" t="s">
        <v>117</v>
      </c>
      <c r="R15" t="s">
        <v>111</v>
      </c>
      <c r="S15" t="s">
        <v>111</v>
      </c>
      <c r="T15" t="s">
        <v>111</v>
      </c>
      <c r="U15" t="s">
        <v>111</v>
      </c>
      <c r="V15" t="s">
        <v>111</v>
      </c>
      <c r="W15" t="s">
        <v>111</v>
      </c>
      <c r="X15" t="s">
        <v>111</v>
      </c>
      <c r="Y15" t="s">
        <v>111</v>
      </c>
      <c r="Z15" t="s">
        <v>111</v>
      </c>
      <c r="AA15" t="s">
        <v>111</v>
      </c>
      <c r="AB15" t="s">
        <v>111</v>
      </c>
      <c r="AC15" t="s">
        <v>111</v>
      </c>
      <c r="AD15" t="s">
        <v>111</v>
      </c>
      <c r="AE15" t="s">
        <v>111</v>
      </c>
      <c r="AF15" t="s">
        <v>111</v>
      </c>
      <c r="AG15" t="s">
        <v>111</v>
      </c>
      <c r="AH15" t="s">
        <v>111</v>
      </c>
      <c r="AI15" t="s">
        <v>111</v>
      </c>
      <c r="AJ15" t="s">
        <v>111</v>
      </c>
      <c r="AK15" t="s">
        <v>111</v>
      </c>
      <c r="AL15" t="s">
        <v>111</v>
      </c>
    </row>
    <row r="18" spans="2:4" x14ac:dyDescent="0.25">
      <c r="B18" s="30"/>
      <c r="C18">
        <f>4/18</f>
        <v>0.22222222222222221</v>
      </c>
      <c r="D18" s="30"/>
    </row>
    <row r="19" spans="2:4" x14ac:dyDescent="0.25">
      <c r="C19">
        <f>1/9</f>
        <v>0.1111111111111111</v>
      </c>
    </row>
    <row r="20" spans="2:4" x14ac:dyDescent="0.25">
      <c r="C20">
        <f>4/98</f>
        <v>4.0816326530612242E-2</v>
      </c>
    </row>
    <row r="21" spans="2:4" x14ac:dyDescent="0.25">
      <c r="C21">
        <f>1/67</f>
        <v>1.4925373134328358E-2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B2375-B875-4BF8-A03F-031EC2E7306A}">
  <dimension ref="A1:AS9"/>
  <sheetViews>
    <sheetView workbookViewId="0">
      <selection activeCell="E2" sqref="E2"/>
    </sheetView>
  </sheetViews>
  <sheetFormatPr defaultRowHeight="15.75" x14ac:dyDescent="0.25"/>
  <sheetData>
    <row r="1" spans="1:45" s="1" customFormat="1" ht="31.5" customHeight="1" x14ac:dyDescent="0.25">
      <c r="A1" s="1" t="s">
        <v>913</v>
      </c>
      <c r="B1" s="1" t="s">
        <v>914</v>
      </c>
      <c r="C1" s="1" t="s">
        <v>915</v>
      </c>
      <c r="D1" s="1" t="s">
        <v>916</v>
      </c>
      <c r="E1" s="1" t="s">
        <v>314</v>
      </c>
      <c r="F1" s="1" t="s">
        <v>917</v>
      </c>
      <c r="G1" s="1" t="s">
        <v>918</v>
      </c>
      <c r="H1" s="1" t="s">
        <v>0</v>
      </c>
      <c r="I1" s="1" t="s">
        <v>919</v>
      </c>
      <c r="J1" s="1" t="s">
        <v>920</v>
      </c>
      <c r="K1" s="1" t="s">
        <v>921</v>
      </c>
      <c r="L1" s="1" t="s">
        <v>922</v>
      </c>
      <c r="M1" s="1" t="s">
        <v>923</v>
      </c>
      <c r="N1" s="1" t="s">
        <v>924</v>
      </c>
      <c r="O1" s="1" t="s">
        <v>925</v>
      </c>
      <c r="P1" s="1" t="s">
        <v>926</v>
      </c>
      <c r="Q1" s="1" t="s">
        <v>927</v>
      </c>
      <c r="R1" s="1" t="s">
        <v>928</v>
      </c>
      <c r="S1" s="1" t="s">
        <v>929</v>
      </c>
      <c r="T1" s="1" t="s">
        <v>930</v>
      </c>
      <c r="U1" s="1" t="s">
        <v>1364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1391</v>
      </c>
      <c r="AE1" s="1" t="s">
        <v>1366</v>
      </c>
      <c r="AF1" s="1" t="s">
        <v>1381</v>
      </c>
      <c r="AG1" s="1" t="s">
        <v>29</v>
      </c>
      <c r="AH1" s="1" t="s">
        <v>1382</v>
      </c>
      <c r="AI1" s="1" t="s">
        <v>30</v>
      </c>
      <c r="AJ1" s="1" t="s">
        <v>1380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1371</v>
      </c>
      <c r="AS1" s="1" t="s">
        <v>1325</v>
      </c>
    </row>
    <row r="2" spans="1:45" x14ac:dyDescent="0.25">
      <c r="A2" t="s">
        <v>1277</v>
      </c>
      <c r="B2" t="s">
        <v>1278</v>
      </c>
      <c r="C2" t="s">
        <v>863</v>
      </c>
      <c r="D2" t="s">
        <v>389</v>
      </c>
      <c r="E2">
        <v>2</v>
      </c>
      <c r="F2" t="s">
        <v>207</v>
      </c>
      <c r="G2" s="3">
        <v>8</v>
      </c>
      <c r="H2" s="3" t="e">
        <f>_xlfn.NUMBERVALUE(#REF!)</f>
        <v>#REF!</v>
      </c>
      <c r="I2" t="s">
        <v>821</v>
      </c>
      <c r="J2" t="s">
        <v>1279</v>
      </c>
      <c r="K2" t="s">
        <v>1280</v>
      </c>
      <c r="L2" t="s">
        <v>111</v>
      </c>
      <c r="M2" t="s">
        <v>111</v>
      </c>
      <c r="N2" t="s">
        <v>111</v>
      </c>
      <c r="O2" t="s">
        <v>111</v>
      </c>
      <c r="P2" t="s">
        <v>111</v>
      </c>
      <c r="Q2" t="s">
        <v>111</v>
      </c>
      <c r="R2" t="s">
        <v>487</v>
      </c>
      <c r="S2" t="s">
        <v>117</v>
      </c>
      <c r="T2" t="s">
        <v>111</v>
      </c>
      <c r="U2" t="s">
        <v>111</v>
      </c>
      <c r="V2" t="s">
        <v>111</v>
      </c>
      <c r="W2" t="s">
        <v>111</v>
      </c>
      <c r="X2" t="s">
        <v>111</v>
      </c>
      <c r="Y2" t="s">
        <v>111</v>
      </c>
      <c r="Z2" t="s">
        <v>111</v>
      </c>
      <c r="AA2" t="s">
        <v>111</v>
      </c>
      <c r="AB2" t="s">
        <v>111</v>
      </c>
      <c r="AC2" t="s">
        <v>111</v>
      </c>
      <c r="AD2">
        <f t="shared" ref="AD2:AD9" si="0">IF(AC2 = 3, 1, IF(AC2 = 2.5, 0.5, IF(AC2 = 3.5, 0.5, 0)))</f>
        <v>0</v>
      </c>
      <c r="AE2" t="s">
        <v>111</v>
      </c>
      <c r="AF2">
        <f t="shared" ref="AF2:AF9" si="1">IF(AE2="PM &lt; 2.5 μm", 1, 0)</f>
        <v>0</v>
      </c>
      <c r="AG2" t="s">
        <v>111</v>
      </c>
      <c r="AH2">
        <f t="shared" ref="AH2:AH9" si="2">IF(AG2="Particles of this size are generally absorbed in the respiratory tract and safely excreted in mucus.", 1, 0)</f>
        <v>0</v>
      </c>
      <c r="AI2" t="s">
        <v>111</v>
      </c>
      <c r="AJ2">
        <f t="shared" ref="AJ2:AJ9" si="3">IF(ISNUMBER(SEARCH("Trucks", AI2)) = TRUE, 1, 0) + IF(ISNUMBER(SEARCH("Cars", AI2)) = TRUE, 1, 0) + IF(ISNUMBER(SEARCH("Fireplaces",AI2)) = TRUE, 1, 0) + IF(ISNUMBER(SEARCH("Dirt Roads", AI2)) = TRUE, 1, 0) - IF(ISNUMBER(SEARCH("Electric Vehicles",AI2)) = TRUE, 1, 0) - IF(ISNUMBER(SEARCH("Pollen",AI2)) = TRUE, 1, 0)</f>
        <v>0</v>
      </c>
      <c r="AK2" t="s">
        <v>111</v>
      </c>
      <c r="AL2" t="s">
        <v>111</v>
      </c>
      <c r="AM2" t="s">
        <v>111</v>
      </c>
      <c r="AN2" t="s">
        <v>111</v>
      </c>
      <c r="AO2" t="s">
        <v>111</v>
      </c>
      <c r="AP2" t="s">
        <v>111</v>
      </c>
      <c r="AQ2" t="s">
        <v>111</v>
      </c>
      <c r="AR2" t="s">
        <v>111</v>
      </c>
    </row>
    <row r="3" spans="1:45" x14ac:dyDescent="0.25">
      <c r="A3" t="s">
        <v>1281</v>
      </c>
      <c r="B3" t="s">
        <v>1282</v>
      </c>
      <c r="C3" t="s">
        <v>42</v>
      </c>
      <c r="D3" t="s">
        <v>1283</v>
      </c>
      <c r="E3">
        <v>2</v>
      </c>
      <c r="F3" t="s">
        <v>207</v>
      </c>
      <c r="G3" s="3">
        <v>8</v>
      </c>
      <c r="H3" s="3" t="e">
        <f>_xlfn.NUMBERVALUE(#REF!)</f>
        <v>#REF!</v>
      </c>
      <c r="I3" t="s">
        <v>821</v>
      </c>
      <c r="J3" t="s">
        <v>1284</v>
      </c>
      <c r="K3" t="s">
        <v>1285</v>
      </c>
      <c r="L3" t="s">
        <v>111</v>
      </c>
      <c r="M3" t="s">
        <v>111</v>
      </c>
      <c r="N3" t="s">
        <v>111</v>
      </c>
      <c r="O3" t="s">
        <v>111</v>
      </c>
      <c r="P3" t="s">
        <v>111</v>
      </c>
      <c r="Q3" t="s">
        <v>111</v>
      </c>
      <c r="R3" t="s">
        <v>487</v>
      </c>
      <c r="S3" t="s">
        <v>117</v>
      </c>
      <c r="T3" t="s">
        <v>111</v>
      </c>
      <c r="U3" t="s">
        <v>111</v>
      </c>
      <c r="V3" t="s">
        <v>111</v>
      </c>
      <c r="W3" t="s">
        <v>111</v>
      </c>
      <c r="X3" t="s">
        <v>111</v>
      </c>
      <c r="Y3" t="s">
        <v>111</v>
      </c>
      <c r="Z3" t="s">
        <v>111</v>
      </c>
      <c r="AA3" t="s">
        <v>111</v>
      </c>
      <c r="AB3" t="s">
        <v>111</v>
      </c>
      <c r="AC3" t="s">
        <v>111</v>
      </c>
      <c r="AD3">
        <f t="shared" si="0"/>
        <v>0</v>
      </c>
      <c r="AE3" t="s">
        <v>111</v>
      </c>
      <c r="AF3">
        <f t="shared" si="1"/>
        <v>0</v>
      </c>
      <c r="AG3" t="s">
        <v>111</v>
      </c>
      <c r="AH3">
        <f t="shared" si="2"/>
        <v>0</v>
      </c>
      <c r="AI3" t="s">
        <v>111</v>
      </c>
      <c r="AJ3">
        <f t="shared" si="3"/>
        <v>0</v>
      </c>
      <c r="AK3" t="s">
        <v>111</v>
      </c>
      <c r="AL3" t="s">
        <v>111</v>
      </c>
      <c r="AM3" t="s">
        <v>111</v>
      </c>
      <c r="AN3" t="s">
        <v>111</v>
      </c>
      <c r="AO3" t="s">
        <v>111</v>
      </c>
      <c r="AP3" t="s">
        <v>111</v>
      </c>
      <c r="AQ3" t="s">
        <v>111</v>
      </c>
      <c r="AR3" t="s">
        <v>111</v>
      </c>
    </row>
    <row r="4" spans="1:45" x14ac:dyDescent="0.25">
      <c r="A4" t="s">
        <v>963</v>
      </c>
      <c r="B4" t="s">
        <v>1286</v>
      </c>
      <c r="C4" t="s">
        <v>42</v>
      </c>
      <c r="D4" t="s">
        <v>661</v>
      </c>
      <c r="E4">
        <v>2</v>
      </c>
      <c r="F4" t="s">
        <v>207</v>
      </c>
      <c r="G4" s="3">
        <v>5</v>
      </c>
      <c r="H4" s="3" t="e">
        <f>_xlfn.NUMBERVALUE(#REF!)</f>
        <v>#REF!</v>
      </c>
      <c r="I4" t="s">
        <v>821</v>
      </c>
      <c r="J4" t="s">
        <v>1287</v>
      </c>
      <c r="K4" t="s">
        <v>1288</v>
      </c>
      <c r="L4" t="s">
        <v>111</v>
      </c>
      <c r="M4" t="s">
        <v>111</v>
      </c>
      <c r="N4" t="s">
        <v>111</v>
      </c>
      <c r="O4" t="s">
        <v>111</v>
      </c>
      <c r="P4" t="s">
        <v>111</v>
      </c>
      <c r="Q4" t="s">
        <v>111</v>
      </c>
      <c r="R4" t="s">
        <v>487</v>
      </c>
      <c r="S4" t="s">
        <v>117</v>
      </c>
      <c r="T4" t="s">
        <v>111</v>
      </c>
      <c r="U4" t="s">
        <v>111</v>
      </c>
      <c r="V4" t="s">
        <v>111</v>
      </c>
      <c r="W4" t="s">
        <v>111</v>
      </c>
      <c r="X4" t="s">
        <v>111</v>
      </c>
      <c r="Y4" t="s">
        <v>111</v>
      </c>
      <c r="Z4" t="s">
        <v>111</v>
      </c>
      <c r="AA4" t="s">
        <v>111</v>
      </c>
      <c r="AB4" t="s">
        <v>111</v>
      </c>
      <c r="AC4" t="s">
        <v>111</v>
      </c>
      <c r="AD4">
        <f t="shared" si="0"/>
        <v>0</v>
      </c>
      <c r="AE4" t="s">
        <v>111</v>
      </c>
      <c r="AF4">
        <f t="shared" si="1"/>
        <v>0</v>
      </c>
      <c r="AG4" t="s">
        <v>111</v>
      </c>
      <c r="AH4">
        <f t="shared" si="2"/>
        <v>0</v>
      </c>
      <c r="AI4" t="s">
        <v>111</v>
      </c>
      <c r="AJ4">
        <f t="shared" si="3"/>
        <v>0</v>
      </c>
      <c r="AK4" t="s">
        <v>111</v>
      </c>
      <c r="AL4" t="s">
        <v>111</v>
      </c>
      <c r="AM4" t="s">
        <v>111</v>
      </c>
      <c r="AN4" t="s">
        <v>111</v>
      </c>
      <c r="AO4" t="s">
        <v>111</v>
      </c>
      <c r="AP4" t="s">
        <v>111</v>
      </c>
      <c r="AQ4" t="s">
        <v>111</v>
      </c>
      <c r="AR4" t="s">
        <v>111</v>
      </c>
    </row>
    <row r="5" spans="1:45" x14ac:dyDescent="0.25">
      <c r="A5" t="s">
        <v>1289</v>
      </c>
      <c r="B5" t="s">
        <v>1023</v>
      </c>
      <c r="C5" t="s">
        <v>863</v>
      </c>
      <c r="D5" t="s">
        <v>389</v>
      </c>
      <c r="E5">
        <v>2</v>
      </c>
      <c r="F5" t="s">
        <v>207</v>
      </c>
      <c r="G5" s="3">
        <v>6</v>
      </c>
      <c r="H5" s="3" t="e">
        <f>_xlfn.NUMBERVALUE(#REF!)</f>
        <v>#REF!</v>
      </c>
      <c r="I5" t="s">
        <v>821</v>
      </c>
      <c r="J5" t="s">
        <v>1290</v>
      </c>
      <c r="K5" t="s">
        <v>1291</v>
      </c>
      <c r="L5" t="s">
        <v>111</v>
      </c>
      <c r="M5" t="s">
        <v>111</v>
      </c>
      <c r="N5" t="s">
        <v>111</v>
      </c>
      <c r="O5" t="s">
        <v>111</v>
      </c>
      <c r="P5" t="s">
        <v>111</v>
      </c>
      <c r="Q5" t="s">
        <v>111</v>
      </c>
      <c r="R5" t="s">
        <v>487</v>
      </c>
      <c r="S5" t="s">
        <v>117</v>
      </c>
      <c r="T5" t="s">
        <v>111</v>
      </c>
      <c r="U5" t="s">
        <v>111</v>
      </c>
      <c r="V5" t="s">
        <v>111</v>
      </c>
      <c r="W5" t="s">
        <v>111</v>
      </c>
      <c r="X5" t="s">
        <v>111</v>
      </c>
      <c r="Y5" t="s">
        <v>111</v>
      </c>
      <c r="Z5" t="s">
        <v>111</v>
      </c>
      <c r="AA5" t="s">
        <v>111</v>
      </c>
      <c r="AB5" t="s">
        <v>111</v>
      </c>
      <c r="AC5" t="s">
        <v>111</v>
      </c>
      <c r="AD5">
        <f t="shared" si="0"/>
        <v>0</v>
      </c>
      <c r="AE5" t="s">
        <v>111</v>
      </c>
      <c r="AF5">
        <f t="shared" si="1"/>
        <v>0</v>
      </c>
      <c r="AG5" t="s">
        <v>111</v>
      </c>
      <c r="AH5">
        <f t="shared" si="2"/>
        <v>0</v>
      </c>
      <c r="AI5" t="s">
        <v>111</v>
      </c>
      <c r="AJ5">
        <f t="shared" si="3"/>
        <v>0</v>
      </c>
      <c r="AK5" t="s">
        <v>111</v>
      </c>
      <c r="AL5" t="s">
        <v>111</v>
      </c>
      <c r="AM5" t="s">
        <v>111</v>
      </c>
      <c r="AN5" t="s">
        <v>111</v>
      </c>
      <c r="AO5" t="s">
        <v>111</v>
      </c>
      <c r="AP5" t="s">
        <v>111</v>
      </c>
      <c r="AQ5" t="s">
        <v>111</v>
      </c>
      <c r="AR5" t="s">
        <v>111</v>
      </c>
    </row>
    <row r="6" spans="1:45" x14ac:dyDescent="0.25">
      <c r="A6" t="s">
        <v>1292</v>
      </c>
      <c r="B6" t="s">
        <v>1293</v>
      </c>
      <c r="C6" t="s">
        <v>42</v>
      </c>
      <c r="D6" t="s">
        <v>389</v>
      </c>
      <c r="E6">
        <v>2</v>
      </c>
      <c r="F6" t="s">
        <v>207</v>
      </c>
      <c r="G6" s="3">
        <v>1289</v>
      </c>
      <c r="H6" s="3" t="e">
        <f>_xlfn.NUMBERVALUE(#REF!)</f>
        <v>#REF!</v>
      </c>
      <c r="I6" t="s">
        <v>821</v>
      </c>
      <c r="J6" t="s">
        <v>1294</v>
      </c>
      <c r="K6" t="s">
        <v>1295</v>
      </c>
      <c r="L6" t="s">
        <v>111</v>
      </c>
      <c r="M6" t="s">
        <v>111</v>
      </c>
      <c r="N6" t="s">
        <v>111</v>
      </c>
      <c r="O6" t="s">
        <v>111</v>
      </c>
      <c r="P6" t="s">
        <v>111</v>
      </c>
      <c r="Q6" t="s">
        <v>111</v>
      </c>
      <c r="R6" t="s">
        <v>127</v>
      </c>
      <c r="S6" t="s">
        <v>117</v>
      </c>
      <c r="T6" t="s">
        <v>111</v>
      </c>
      <c r="U6" t="s">
        <v>111</v>
      </c>
      <c r="V6" t="s">
        <v>111</v>
      </c>
      <c r="W6" t="s">
        <v>111</v>
      </c>
      <c r="X6" t="s">
        <v>111</v>
      </c>
      <c r="Y6" t="s">
        <v>111</v>
      </c>
      <c r="Z6" t="s">
        <v>111</v>
      </c>
      <c r="AA6" t="s">
        <v>111</v>
      </c>
      <c r="AB6" t="s">
        <v>111</v>
      </c>
      <c r="AC6" t="s">
        <v>111</v>
      </c>
      <c r="AD6">
        <f t="shared" si="0"/>
        <v>0</v>
      </c>
      <c r="AE6" t="s">
        <v>111</v>
      </c>
      <c r="AF6">
        <f t="shared" si="1"/>
        <v>0</v>
      </c>
      <c r="AG6" t="s">
        <v>111</v>
      </c>
      <c r="AH6">
        <f t="shared" si="2"/>
        <v>0</v>
      </c>
      <c r="AI6" t="s">
        <v>111</v>
      </c>
      <c r="AJ6">
        <f t="shared" si="3"/>
        <v>0</v>
      </c>
      <c r="AK6" t="s">
        <v>111</v>
      </c>
      <c r="AL6" t="s">
        <v>111</v>
      </c>
      <c r="AM6" t="s">
        <v>111</v>
      </c>
      <c r="AN6" t="s">
        <v>111</v>
      </c>
      <c r="AO6" t="s">
        <v>111</v>
      </c>
      <c r="AP6" t="s">
        <v>111</v>
      </c>
      <c r="AQ6" t="s">
        <v>111</v>
      </c>
      <c r="AR6" t="s">
        <v>111</v>
      </c>
    </row>
    <row r="7" spans="1:45" x14ac:dyDescent="0.25">
      <c r="A7" t="s">
        <v>1296</v>
      </c>
      <c r="B7" t="s">
        <v>1297</v>
      </c>
      <c r="C7" t="s">
        <v>42</v>
      </c>
      <c r="D7" t="s">
        <v>389</v>
      </c>
      <c r="E7">
        <v>2</v>
      </c>
      <c r="F7" t="s">
        <v>207</v>
      </c>
      <c r="G7" s="3">
        <v>71</v>
      </c>
      <c r="H7" s="3" t="e">
        <f>_xlfn.NUMBERVALUE(#REF!)</f>
        <v>#REF!</v>
      </c>
      <c r="I7" t="s">
        <v>821</v>
      </c>
      <c r="J7" t="s">
        <v>1298</v>
      </c>
      <c r="K7" t="s">
        <v>1299</v>
      </c>
      <c r="L7" t="s">
        <v>111</v>
      </c>
      <c r="M7" t="s">
        <v>111</v>
      </c>
      <c r="N7" t="s">
        <v>111</v>
      </c>
      <c r="O7" t="s">
        <v>111</v>
      </c>
      <c r="P7" t="s">
        <v>111</v>
      </c>
      <c r="Q7" t="s">
        <v>111</v>
      </c>
      <c r="R7" t="s">
        <v>127</v>
      </c>
      <c r="S7" t="s">
        <v>117</v>
      </c>
      <c r="T7" t="s">
        <v>111</v>
      </c>
      <c r="U7" t="s">
        <v>111</v>
      </c>
      <c r="V7" t="s">
        <v>111</v>
      </c>
      <c r="W7" t="s">
        <v>111</v>
      </c>
      <c r="X7" t="s">
        <v>111</v>
      </c>
      <c r="Y7" t="s">
        <v>111</v>
      </c>
      <c r="Z7" t="s">
        <v>111</v>
      </c>
      <c r="AA7" t="s">
        <v>111</v>
      </c>
      <c r="AB7" t="s">
        <v>111</v>
      </c>
      <c r="AC7" t="s">
        <v>111</v>
      </c>
      <c r="AD7">
        <f t="shared" si="0"/>
        <v>0</v>
      </c>
      <c r="AE7" t="s">
        <v>111</v>
      </c>
      <c r="AF7">
        <f t="shared" si="1"/>
        <v>0</v>
      </c>
      <c r="AG7" t="s">
        <v>111</v>
      </c>
      <c r="AH7">
        <f t="shared" si="2"/>
        <v>0</v>
      </c>
      <c r="AI7" t="s">
        <v>111</v>
      </c>
      <c r="AJ7">
        <f t="shared" si="3"/>
        <v>0</v>
      </c>
      <c r="AK7" t="s">
        <v>111</v>
      </c>
      <c r="AL7" t="s">
        <v>111</v>
      </c>
      <c r="AM7" t="s">
        <v>111</v>
      </c>
      <c r="AN7" t="s">
        <v>111</v>
      </c>
      <c r="AO7" t="s">
        <v>111</v>
      </c>
      <c r="AP7" t="s">
        <v>111</v>
      </c>
      <c r="AQ7" t="s">
        <v>111</v>
      </c>
      <c r="AR7" t="s">
        <v>111</v>
      </c>
    </row>
    <row r="8" spans="1:45" x14ac:dyDescent="0.25">
      <c r="A8" t="s">
        <v>1300</v>
      </c>
      <c r="B8" t="s">
        <v>1301</v>
      </c>
      <c r="C8" t="s">
        <v>42</v>
      </c>
      <c r="D8" t="s">
        <v>815</v>
      </c>
      <c r="E8">
        <v>2</v>
      </c>
      <c r="F8" t="s">
        <v>207</v>
      </c>
      <c r="G8" s="3">
        <v>20</v>
      </c>
      <c r="H8" s="3" t="e">
        <f>_xlfn.NUMBERVALUE(#REF!)</f>
        <v>#REF!</v>
      </c>
      <c r="I8" t="s">
        <v>821</v>
      </c>
      <c r="J8" t="s">
        <v>1302</v>
      </c>
      <c r="K8" t="s">
        <v>1303</v>
      </c>
      <c r="L8" t="s">
        <v>111</v>
      </c>
      <c r="M8" t="s">
        <v>111</v>
      </c>
      <c r="N8" t="s">
        <v>111</v>
      </c>
      <c r="O8" t="s">
        <v>111</v>
      </c>
      <c r="P8" t="s">
        <v>111</v>
      </c>
      <c r="Q8" t="s">
        <v>111</v>
      </c>
      <c r="R8" t="s">
        <v>127</v>
      </c>
      <c r="S8" t="s">
        <v>117</v>
      </c>
      <c r="T8" t="s">
        <v>111</v>
      </c>
      <c r="U8" t="s">
        <v>111</v>
      </c>
      <c r="V8" t="s">
        <v>111</v>
      </c>
      <c r="W8" t="s">
        <v>111</v>
      </c>
      <c r="X8" t="s">
        <v>111</v>
      </c>
      <c r="Y8" t="s">
        <v>111</v>
      </c>
      <c r="Z8" t="s">
        <v>111</v>
      </c>
      <c r="AA8" t="s">
        <v>111</v>
      </c>
      <c r="AB8" t="s">
        <v>111</v>
      </c>
      <c r="AC8" t="s">
        <v>111</v>
      </c>
      <c r="AD8">
        <f t="shared" si="0"/>
        <v>0</v>
      </c>
      <c r="AE8" t="s">
        <v>111</v>
      </c>
      <c r="AF8">
        <f t="shared" si="1"/>
        <v>0</v>
      </c>
      <c r="AG8" t="s">
        <v>111</v>
      </c>
      <c r="AH8">
        <f t="shared" si="2"/>
        <v>0</v>
      </c>
      <c r="AI8" t="s">
        <v>111</v>
      </c>
      <c r="AJ8">
        <f t="shared" si="3"/>
        <v>0</v>
      </c>
      <c r="AK8" t="s">
        <v>111</v>
      </c>
      <c r="AL8" t="s">
        <v>111</v>
      </c>
      <c r="AM8" t="s">
        <v>111</v>
      </c>
      <c r="AN8" t="s">
        <v>111</v>
      </c>
      <c r="AO8" t="s">
        <v>111</v>
      </c>
      <c r="AP8" t="s">
        <v>111</v>
      </c>
      <c r="AQ8" t="s">
        <v>111</v>
      </c>
      <c r="AR8" t="s">
        <v>111</v>
      </c>
    </row>
    <row r="9" spans="1:45" x14ac:dyDescent="0.25">
      <c r="A9" t="s">
        <v>1304</v>
      </c>
      <c r="B9" t="s">
        <v>1305</v>
      </c>
      <c r="C9" t="s">
        <v>42</v>
      </c>
      <c r="D9" t="s">
        <v>389</v>
      </c>
      <c r="E9">
        <v>2</v>
      </c>
      <c r="F9" t="s">
        <v>207</v>
      </c>
      <c r="G9" s="3">
        <v>4</v>
      </c>
      <c r="H9" s="3" t="e">
        <f>_xlfn.NUMBERVALUE(#REF!)</f>
        <v>#REF!</v>
      </c>
      <c r="I9" t="s">
        <v>821</v>
      </c>
      <c r="J9" t="s">
        <v>1306</v>
      </c>
      <c r="K9" t="s">
        <v>1307</v>
      </c>
      <c r="L9" t="s">
        <v>111</v>
      </c>
      <c r="M9" t="s">
        <v>111</v>
      </c>
      <c r="N9" t="s">
        <v>111</v>
      </c>
      <c r="O9" t="s">
        <v>111</v>
      </c>
      <c r="P9" t="s">
        <v>111</v>
      </c>
      <c r="Q9" t="s">
        <v>111</v>
      </c>
      <c r="R9" t="s">
        <v>127</v>
      </c>
      <c r="S9" t="s">
        <v>117</v>
      </c>
      <c r="T9" t="s">
        <v>111</v>
      </c>
      <c r="U9" t="s">
        <v>111</v>
      </c>
      <c r="V9" t="s">
        <v>111</v>
      </c>
      <c r="W9" t="s">
        <v>111</v>
      </c>
      <c r="X9" t="s">
        <v>111</v>
      </c>
      <c r="Y9" t="s">
        <v>111</v>
      </c>
      <c r="Z9" t="s">
        <v>111</v>
      </c>
      <c r="AA9" t="s">
        <v>111</v>
      </c>
      <c r="AB9" t="s">
        <v>111</v>
      </c>
      <c r="AC9" t="s">
        <v>111</v>
      </c>
      <c r="AD9">
        <f t="shared" si="0"/>
        <v>0</v>
      </c>
      <c r="AE9" t="s">
        <v>111</v>
      </c>
      <c r="AF9">
        <f t="shared" si="1"/>
        <v>0</v>
      </c>
      <c r="AG9" t="s">
        <v>111</v>
      </c>
      <c r="AH9">
        <f t="shared" si="2"/>
        <v>0</v>
      </c>
      <c r="AI9" t="s">
        <v>111</v>
      </c>
      <c r="AJ9">
        <f t="shared" si="3"/>
        <v>0</v>
      </c>
      <c r="AK9" t="s">
        <v>111</v>
      </c>
      <c r="AL9" t="s">
        <v>111</v>
      </c>
      <c r="AM9" t="s">
        <v>111</v>
      </c>
      <c r="AN9" t="s">
        <v>111</v>
      </c>
      <c r="AO9" t="s">
        <v>111</v>
      </c>
      <c r="AP9" t="s">
        <v>111</v>
      </c>
      <c r="AQ9" t="s">
        <v>111</v>
      </c>
      <c r="AR9" t="s">
        <v>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B2BBA-847F-E94E-9D39-B436F2BCC06B}">
  <dimension ref="A1:AU78"/>
  <sheetViews>
    <sheetView topLeftCell="A6" workbookViewId="0">
      <selection activeCell="A6" sqref="A6"/>
    </sheetView>
  </sheetViews>
  <sheetFormatPr defaultColWidth="10.625" defaultRowHeight="15.75" x14ac:dyDescent="0.25"/>
  <cols>
    <col min="1" max="1" width="50.375" customWidth="1"/>
    <col min="2" max="2" width="49.5" customWidth="1"/>
    <col min="3" max="3" width="18.5" customWidth="1"/>
    <col min="4" max="6" width="21.625" customWidth="1"/>
    <col min="7" max="7" width="16.875" customWidth="1"/>
    <col min="8" max="8" width="11.5" customWidth="1"/>
    <col min="9" max="9" width="20.375" customWidth="1"/>
    <col min="10" max="10" width="20" customWidth="1"/>
    <col min="11" max="11" width="53.875" customWidth="1"/>
    <col min="12" max="12" width="21.125" customWidth="1"/>
    <col min="13" max="13" width="29.375" customWidth="1"/>
    <col min="14" max="14" width="29.625" customWidth="1"/>
    <col min="15" max="15" width="25.5" customWidth="1"/>
    <col min="16" max="16" width="32.875" customWidth="1"/>
    <col min="17" max="18" width="27" customWidth="1"/>
    <col min="19" max="19" width="28.375" customWidth="1"/>
    <col min="20" max="20" width="29.625" customWidth="1"/>
    <col min="21" max="21" width="25" customWidth="1"/>
    <col min="22" max="22" width="23" customWidth="1"/>
    <col min="23" max="23" width="5.875" customWidth="1"/>
    <col min="24" max="27" width="6.875" customWidth="1"/>
    <col min="28" max="28" width="7.125" customWidth="1"/>
    <col min="29" max="31" width="7" customWidth="1"/>
    <col min="32" max="32" width="12.875" customWidth="1"/>
    <col min="33" max="33" width="11.875" customWidth="1"/>
    <col min="34" max="34" width="12.25" customWidth="1"/>
    <col min="35" max="35" width="13.25" customWidth="1"/>
    <col min="36" max="36" width="13.875" customWidth="1"/>
    <col min="37" max="37" width="15.375" customWidth="1"/>
    <col min="38" max="38" width="12.625" customWidth="1"/>
    <col min="39" max="39" width="7.375" customWidth="1"/>
    <col min="40" max="40" width="6.875" customWidth="1"/>
    <col min="41" max="41" width="7.375" customWidth="1"/>
    <col min="42" max="42" width="7.125" customWidth="1"/>
    <col min="43" max="43" width="6.625" customWidth="1"/>
    <col min="44" max="44" width="6.875" customWidth="1"/>
    <col min="45" max="45" width="7.25" customWidth="1"/>
    <col min="46" max="46" width="15.5" customWidth="1"/>
    <col min="47" max="47" width="33.625" bestFit="1" customWidth="1"/>
  </cols>
  <sheetData>
    <row r="1" spans="1:47" s="1" customFormat="1" ht="31.5" customHeight="1" x14ac:dyDescent="0.25">
      <c r="A1" s="1" t="s">
        <v>913</v>
      </c>
      <c r="B1" s="1" t="s">
        <v>914</v>
      </c>
      <c r="C1" s="1" t="s">
        <v>915</v>
      </c>
      <c r="D1" s="1" t="s">
        <v>916</v>
      </c>
      <c r="E1" s="1" t="s">
        <v>1432</v>
      </c>
      <c r="F1" s="1" t="s">
        <v>314</v>
      </c>
      <c r="G1" s="1">
        <v>-73.980999999999995</v>
      </c>
      <c r="H1" s="1" t="s">
        <v>918</v>
      </c>
      <c r="I1" s="1" t="s">
        <v>0</v>
      </c>
      <c r="J1" s="1" t="s">
        <v>919</v>
      </c>
      <c r="K1" s="1" t="s">
        <v>920</v>
      </c>
      <c r="L1" s="1" t="s">
        <v>921</v>
      </c>
      <c r="M1" s="1" t="s">
        <v>922</v>
      </c>
      <c r="N1" s="1" t="s">
        <v>923</v>
      </c>
      <c r="O1" s="1" t="s">
        <v>924</v>
      </c>
      <c r="P1" s="1" t="s">
        <v>925</v>
      </c>
      <c r="Q1" s="1" t="s">
        <v>926</v>
      </c>
      <c r="R1" s="1" t="s">
        <v>1439</v>
      </c>
      <c r="S1" s="1" t="s">
        <v>927</v>
      </c>
      <c r="T1" s="1" t="s">
        <v>928</v>
      </c>
      <c r="U1" s="1" t="s">
        <v>929</v>
      </c>
      <c r="V1" s="1" t="s">
        <v>930</v>
      </c>
      <c r="W1" s="1" t="s">
        <v>1364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1391</v>
      </c>
      <c r="AG1" s="1" t="s">
        <v>1366</v>
      </c>
      <c r="AH1" s="1" t="s">
        <v>1381</v>
      </c>
      <c r="AI1" s="1" t="s">
        <v>29</v>
      </c>
      <c r="AJ1" s="1" t="s">
        <v>1382</v>
      </c>
      <c r="AK1" s="1" t="s">
        <v>30</v>
      </c>
      <c r="AL1" s="1" t="s">
        <v>1380</v>
      </c>
      <c r="AM1" s="1" t="s">
        <v>31</v>
      </c>
      <c r="AN1" s="1" t="s">
        <v>32</v>
      </c>
      <c r="AO1" s="1" t="s">
        <v>33</v>
      </c>
      <c r="AP1" s="1" t="s">
        <v>34</v>
      </c>
      <c r="AQ1" s="1" t="s">
        <v>35</v>
      </c>
      <c r="AR1" s="1" t="s">
        <v>36</v>
      </c>
      <c r="AS1" s="1" t="s">
        <v>37</v>
      </c>
      <c r="AT1" s="1" t="s">
        <v>1371</v>
      </c>
      <c r="AU1" s="1" t="s">
        <v>1325</v>
      </c>
    </row>
    <row r="2" spans="1:47" hidden="1" x14ac:dyDescent="0.25">
      <c r="A2" t="str">
        <f>A3 &amp; " - " &amp; A4</f>
        <v>StartDate - Start Date</v>
      </c>
      <c r="B2" t="str">
        <f>B3 &amp; " - " &amp; B4</f>
        <v>EndDate - End Date</v>
      </c>
      <c r="C2" t="str">
        <f>C3 &amp; " - " &amp; C4</f>
        <v>Status - Response Type</v>
      </c>
      <c r="D2" t="str">
        <f>D3 &amp; " - " &amp; D4</f>
        <v>IPAddress - IP Address</v>
      </c>
      <c r="G2" t="str">
        <f>G3 &amp; " - " &amp; G4</f>
        <v>Progress - Progress</v>
      </c>
      <c r="H2" t="str">
        <f>H3 &amp; " - " &amp; H4</f>
        <v>Duration (in seconds) - Duration (in seconds)</v>
      </c>
      <c r="J2" t="str">
        <f t="shared" ref="J2:Q2" si="0">J3 &amp; " - " &amp; J4</f>
        <v>Finished - Finished</v>
      </c>
      <c r="K2" t="str">
        <f t="shared" si="0"/>
        <v>RecordedDate - Recorded Date</v>
      </c>
      <c r="L2" t="str">
        <f t="shared" si="0"/>
        <v>ResponseId - Response ID</v>
      </c>
      <c r="M2" t="str">
        <f t="shared" si="0"/>
        <v>RecipientLastName - Recipient Last Name</v>
      </c>
      <c r="N2" t="str">
        <f t="shared" si="0"/>
        <v>RecipientFirstName - Recipient First Name</v>
      </c>
      <c r="O2" t="str">
        <f t="shared" si="0"/>
        <v>RecipientEmail - Recipient Email</v>
      </c>
      <c r="P2" t="str">
        <f t="shared" si="0"/>
        <v>ExternalReference - External Data Reference</v>
      </c>
      <c r="Q2" t="str">
        <f t="shared" si="0"/>
        <v>LocationLatitude - Location Latitude</v>
      </c>
      <c r="S2" t="str">
        <f t="shared" ref="S2:AE2" si="1">S3 &amp; " - " &amp; S4</f>
        <v>LocationLongitude - Location Longitude</v>
      </c>
      <c r="T2" t="str">
        <f t="shared" si="1"/>
        <v>DistributionChannel - Distribution Channel</v>
      </c>
      <c r="U2" t="str">
        <f t="shared" si="1"/>
        <v>UserLanguage - User Language</v>
      </c>
      <c r="V2" t="str">
        <f t="shared" si="1"/>
        <v>Q1 - NetID</v>
      </c>
      <c r="W2" t="str">
        <f t="shared" si="1"/>
        <v>Q2_1 - How much of an impact do you believe that climate change will have on human health in your lifetime? - Impact</v>
      </c>
      <c r="X2" t="str">
        <f t="shared" si="1"/>
        <v>Q3_1 - For each of the following specialties,  impacted by climate change, do you believe each of the following specialties will be? (Please rank on a scale of 0 - 5) - Cardiology</v>
      </c>
      <c r="Y2" t="str">
        <f t="shared" si="1"/>
        <v>Q3_2 - For each of the following specialties,  impacted by climate change, do you believe each of the following specialties will be? (Please rank on a scale of 0 - 5) - Dermatology</v>
      </c>
      <c r="Z2" t="str">
        <f t="shared" si="1"/>
        <v>Q3_3 - For each of the following specialties,  impacted by climate change, do you believe each of the following specialties will be? (Please rank on a scale of 0 - 5) - Infectious Disease</v>
      </c>
      <c r="AA2" t="str">
        <f t="shared" si="1"/>
        <v>Q3_4 - For each of the following specialties,  impacted by climate change, do you believe each of the following specialties will be? (Please rank on a scale of 0 - 5) - Neurology</v>
      </c>
      <c r="AB2" t="str">
        <f t="shared" si="1"/>
        <v>Q3_5 - For each of the following specialties,  impacted by climate change, do you believe each of the following specialties will be? (Please rank on a scale of 0 - 5) - Psychiatry</v>
      </c>
      <c r="AC2" t="str">
        <f t="shared" si="1"/>
        <v>Q3_6 - For each of the following specialties,  impacted by climate change, do you believe each of the following specialties will be? (Please rank on a scale of 0 - 5) - Pulmonology</v>
      </c>
      <c r="AD2" t="str">
        <f t="shared" si="1"/>
        <v>Q3_7 - For each of the following specialties,  impacted by climate change, do you believe each of the following specialties will be? (Please rank on a scale of 0 - 5) - Surgery &amp; Subspecialties</v>
      </c>
      <c r="AE2" t="str">
        <f t="shared" si="1"/>
        <v>Q4_1 - What is the approximate relative risk (RR) for developing asthma in children living in urban areas compared to those living in rural areas? (RR = Urban Risk/Rural Risk) - Relative Risk</v>
      </c>
      <c r="AF2" t="e">
        <f>IF(#REF! = 3, 1, IF(#REF! = 2.5, 0.5, IF(#REF! = 3.5, 0.5, 0)))</f>
        <v>#REF!</v>
      </c>
      <c r="AG2" t="str">
        <f>AG3 &amp; " - " &amp; AG4</f>
        <v>Q5 - Particulates of all sizes are suspended in the air we breathe. “PM #” indicates all particulate matter (PM) below a certain diameter (#).  So, PM 70 would indicate all particulates 
 Which PM size is most dangerous to human health?
 **Halfway…it’s all down hill from here**</v>
      </c>
      <c r="AH2" t="e">
        <f>IF(#REF!="PM &lt; 2.5 μm", 1, 0)</f>
        <v>#REF!</v>
      </c>
      <c r="AI2" t="str">
        <f>AI3 &amp; " - " &amp; AI4</f>
        <v>Q6 - What happens to particles that are &gt; 25 μm in diameter (PM &gt; 25) when we breath them in?</v>
      </c>
      <c r="AJ2" t="e">
        <f>IF(#REF!="Particles of this size are generally absorbed in the respiratory tract and safely excreted in mucus.", 1, 0)</f>
        <v>#REF!</v>
      </c>
      <c r="AK2" t="str">
        <f>AK3 &amp; " - " &amp; AK4</f>
        <v>Q7 - Which of the following sources can emit PM 2.5? (check all that apply)</v>
      </c>
      <c r="AL2">
        <f>IF(ISNUMBER( SEARCH("Trucks",#REF!)) = TRUE, 1, 0) + IF(ISNUMBER( SEARCH("Cars",#REF!)) = TRUE, 1, 0) + IF(ISNUMBER( SEARCH("Fireplaces",#REF!)) = TRUE, 1, 0) + IF(ISNUMBER( SEARCH("Dirt Roads",#REF!)) = TRUE, 1, 0) - IF(ISNUMBER(SEARCH("Electric Vehicles",#REF!)) = TRUE, 1, 0) - IF(ISNUMBER(SEARCH("Pollen",#REF!)) = TRUE, 1, 0)</f>
        <v>0</v>
      </c>
      <c r="AM2" t="str">
        <f t="shared" ref="AM2:AT2" si="2">AM3 &amp; " - " &amp; AM4</f>
        <v>Q8_1 - Please rate how likely you are to ascertaining exposure to each of the following potential environmental health risk factors in your future patients? - Source of Drinking Water</v>
      </c>
      <c r="AN2" t="str">
        <f t="shared" si="2"/>
        <v>Q8_2 - Please rate how likely you are to ascertaining exposure to each of the following potential environmental health risk factors in your future patients? - Forest Fire Exposure</v>
      </c>
      <c r="AO2" t="str">
        <f t="shared" si="2"/>
        <v>Q8_3 - Please rate how likely you are to ascertaining exposure to each of the following potential environmental health risk factors in your future patients? - Access to Air Conditioning</v>
      </c>
      <c r="AP2" t="str">
        <f t="shared" si="2"/>
        <v>Q8_4 - Please rate how likely you are to ascertaining exposure to each of the following potential environmental health risk factors in your future patients? - Back-up for Power Outage</v>
      </c>
      <c r="AQ2" t="str">
        <f t="shared" si="2"/>
        <v>Q8_5 - Please rate how likely you are to ascertaining exposure to each of the following potential environmental health risk factors in your future patients? - Access of Heat in Winter</v>
      </c>
      <c r="AR2" t="str">
        <f t="shared" si="2"/>
        <v>Q8_6 - Please rate how likely you are to ascertaining exposure to each of the following potential environmental health risk factors in your future patients? - Rural vs. Urban Living</v>
      </c>
      <c r="AS2" t="str">
        <f t="shared" si="2"/>
        <v>Q9_1 - How important do you believe that taking an environmental health history (please reference previous question) is for primary care physicians? - Not at all important</v>
      </c>
      <c r="AT2" t="str">
        <f t="shared" si="2"/>
        <v>Q10 - Please describe any area of environmental medicine you would be interested in learning more about! (Can include topics covered in the EH lecture)</v>
      </c>
    </row>
    <row r="3" spans="1:47" hidden="1" x14ac:dyDescent="0.25">
      <c r="A3" t="s">
        <v>1</v>
      </c>
      <c r="B3" t="s">
        <v>2</v>
      </c>
      <c r="C3" t="s">
        <v>3</v>
      </c>
      <c r="D3" t="s">
        <v>4</v>
      </c>
      <c r="G3" t="s">
        <v>5</v>
      </c>
      <c r="H3" t="s">
        <v>6</v>
      </c>
      <c r="J3" t="s">
        <v>7</v>
      </c>
      <c r="K3" t="s">
        <v>8</v>
      </c>
      <c r="L3" t="s">
        <v>9</v>
      </c>
      <c r="M3" t="s">
        <v>10</v>
      </c>
      <c r="N3" t="s">
        <v>11</v>
      </c>
      <c r="O3" t="s">
        <v>12</v>
      </c>
      <c r="P3" t="s">
        <v>13</v>
      </c>
      <c r="Q3" t="s">
        <v>14</v>
      </c>
      <c r="S3" t="s">
        <v>15</v>
      </c>
      <c r="T3" t="s">
        <v>16</v>
      </c>
      <c r="U3" t="s">
        <v>17</v>
      </c>
      <c r="V3" t="s">
        <v>18</v>
      </c>
      <c r="W3" t="s">
        <v>19</v>
      </c>
      <c r="X3" t="s">
        <v>20</v>
      </c>
      <c r="Y3" t="s">
        <v>21</v>
      </c>
      <c r="Z3" t="s">
        <v>22</v>
      </c>
      <c r="AA3" t="s">
        <v>23</v>
      </c>
      <c r="AB3" t="s">
        <v>24</v>
      </c>
      <c r="AC3" t="s">
        <v>25</v>
      </c>
      <c r="AD3" t="s">
        <v>26</v>
      </c>
      <c r="AE3" t="s">
        <v>27</v>
      </c>
      <c r="AF3" t="e">
        <f>IF(#REF! = 3, 1, IF(#REF! = 2.5, 0.5, IF(#REF! = 3.5, 0.5, 0)))</f>
        <v>#REF!</v>
      </c>
      <c r="AG3" t="s">
        <v>28</v>
      </c>
      <c r="AH3" t="e">
        <f>IF(#REF!="PM &lt; 2.5 μm", 1, 0)</f>
        <v>#REF!</v>
      </c>
      <c r="AI3" t="s">
        <v>29</v>
      </c>
      <c r="AJ3" t="e">
        <f>IF(#REF!="Particles of this size are generally absorbed in the respiratory tract and safely excreted in mucus.", 1, 0)</f>
        <v>#REF!</v>
      </c>
      <c r="AK3" t="s">
        <v>30</v>
      </c>
      <c r="AL3">
        <f>IF(ISNUMBER( SEARCH("Trucks",#REF!)) = TRUE, 1, 0) + IF(ISNUMBER( SEARCH("Cars",#REF!)) = TRUE, 1, 0) + IF(ISNUMBER( SEARCH("Fireplaces",#REF!)) = TRUE, 1, 0) + IF(ISNUMBER( SEARCH("Dirt Roads",#REF!)) = TRUE, 1, 0) - IF(ISNUMBER(SEARCH("Electric Vehicles",#REF!)) = TRUE, 1, 0) - IF(ISNUMBER(SEARCH("Pollen",#REF!)) = TRUE, 1, 0)</f>
        <v>0</v>
      </c>
      <c r="AM3" t="s">
        <v>31</v>
      </c>
      <c r="AN3" t="s">
        <v>32</v>
      </c>
      <c r="AO3" t="s">
        <v>33</v>
      </c>
      <c r="AP3" t="s">
        <v>34</v>
      </c>
      <c r="AQ3" t="s">
        <v>35</v>
      </c>
      <c r="AR3" t="s">
        <v>36</v>
      </c>
      <c r="AS3" t="s">
        <v>37</v>
      </c>
      <c r="AT3" t="s">
        <v>38</v>
      </c>
    </row>
    <row r="4" spans="1:47" hidden="1" x14ac:dyDescent="0.25">
      <c r="A4" t="s">
        <v>39</v>
      </c>
      <c r="B4" t="s">
        <v>40</v>
      </c>
      <c r="C4" t="s">
        <v>41</v>
      </c>
      <c r="D4" t="s">
        <v>42</v>
      </c>
      <c r="G4" t="s">
        <v>5</v>
      </c>
      <c r="H4" t="s">
        <v>6</v>
      </c>
      <c r="J4" t="s">
        <v>7</v>
      </c>
      <c r="K4" t="s">
        <v>43</v>
      </c>
      <c r="L4" t="s">
        <v>44</v>
      </c>
      <c r="M4" t="s">
        <v>45</v>
      </c>
      <c r="N4" t="s">
        <v>46</v>
      </c>
      <c r="O4" t="s">
        <v>47</v>
      </c>
      <c r="P4" t="s">
        <v>48</v>
      </c>
      <c r="Q4" t="s">
        <v>49</v>
      </c>
      <c r="S4" t="s">
        <v>50</v>
      </c>
      <c r="T4" t="s">
        <v>51</v>
      </c>
      <c r="U4" t="s">
        <v>52</v>
      </c>
      <c r="V4" t="s">
        <v>53</v>
      </c>
      <c r="W4" t="s">
        <v>54</v>
      </c>
      <c r="X4" t="s">
        <v>55</v>
      </c>
      <c r="Y4" t="s">
        <v>56</v>
      </c>
      <c r="Z4" t="s">
        <v>57</v>
      </c>
      <c r="AA4" t="s">
        <v>58</v>
      </c>
      <c r="AB4" t="s">
        <v>59</v>
      </c>
      <c r="AC4" t="s">
        <v>60</v>
      </c>
      <c r="AD4" t="s">
        <v>61</v>
      </c>
      <c r="AE4" t="s">
        <v>62</v>
      </c>
      <c r="AF4" t="e">
        <f>IF(#REF! = 3, 1, IF(#REF! = 2.5, 0.5, IF(#REF! = 3.5, 0.5, 0)))</f>
        <v>#REF!</v>
      </c>
      <c r="AG4" t="s">
        <v>63</v>
      </c>
      <c r="AH4" t="e">
        <f>IF(#REF!="PM &lt; 2.5 μm", 1, 0)</f>
        <v>#REF!</v>
      </c>
      <c r="AI4" t="s">
        <v>64</v>
      </c>
      <c r="AJ4" t="e">
        <f>IF(#REF!="Particles of this size are generally absorbed in the respiratory tract and safely excreted in mucus.", 1, 0)</f>
        <v>#REF!</v>
      </c>
      <c r="AK4" t="s">
        <v>65</v>
      </c>
      <c r="AL4">
        <f>IF(ISNUMBER( SEARCH("Trucks",#REF!)) = TRUE, 1, 0) + IF(ISNUMBER( SEARCH("Cars",#REF!)) = TRUE, 1, 0) + IF(ISNUMBER( SEARCH("Fireplaces",#REF!)) = TRUE, 1, 0) + IF(ISNUMBER( SEARCH("Dirt Roads",#REF!)) = TRUE, 1, 0) - IF(ISNUMBER(SEARCH("Electric Vehicles",#REF!)) = TRUE, 1, 0) - IF(ISNUMBER(SEARCH("Pollen",#REF!)) = TRUE, 1, 0)</f>
        <v>0</v>
      </c>
      <c r="AM4" t="s">
        <v>66</v>
      </c>
      <c r="AN4" t="s">
        <v>67</v>
      </c>
      <c r="AO4" t="s">
        <v>68</v>
      </c>
      <c r="AP4" t="s">
        <v>69</v>
      </c>
      <c r="AQ4" t="s">
        <v>70</v>
      </c>
      <c r="AR4" t="s">
        <v>71</v>
      </c>
      <c r="AS4" t="s">
        <v>72</v>
      </c>
      <c r="AT4" t="s">
        <v>951</v>
      </c>
    </row>
    <row r="5" spans="1:47" x14ac:dyDescent="0.25">
      <c r="A5" t="s">
        <v>996</v>
      </c>
      <c r="B5" t="s">
        <v>1051</v>
      </c>
      <c r="C5" t="s">
        <v>42</v>
      </c>
      <c r="D5" t="s">
        <v>389</v>
      </c>
      <c r="E5" t="str">
        <f>IF(COUNTIF($D$5:$D$72, D5)=1, "Unique", "")</f>
        <v/>
      </c>
      <c r="F5">
        <v>2</v>
      </c>
      <c r="G5">
        <v>100</v>
      </c>
      <c r="H5" s="3">
        <v>658</v>
      </c>
      <c r="I5" s="3" t="e">
        <f>_xlfn.NUMBERVALUE(#REF!)</f>
        <v>#REF!</v>
      </c>
      <c r="J5" t="s">
        <v>114</v>
      </c>
      <c r="K5" t="s">
        <v>1052</v>
      </c>
      <c r="L5" t="s">
        <v>1053</v>
      </c>
      <c r="M5" t="s">
        <v>111</v>
      </c>
      <c r="N5" t="s">
        <v>111</v>
      </c>
      <c r="O5" t="s">
        <v>111</v>
      </c>
      <c r="P5" t="s">
        <v>111</v>
      </c>
      <c r="Q5" t="s">
        <v>392</v>
      </c>
      <c r="R5" t="str">
        <f>IF(COUNTIF($Q$5:$Q$72, Q5)=1, "Unique", "")</f>
        <v/>
      </c>
      <c r="S5" t="s">
        <v>393</v>
      </c>
      <c r="T5" t="s">
        <v>487</v>
      </c>
      <c r="U5" t="s">
        <v>117</v>
      </c>
      <c r="V5" t="s">
        <v>461</v>
      </c>
      <c r="W5" s="4">
        <v>5</v>
      </c>
      <c r="X5">
        <v>5</v>
      </c>
      <c r="Y5">
        <v>5</v>
      </c>
      <c r="Z5">
        <v>5</v>
      </c>
      <c r="AA5">
        <v>5</v>
      </c>
      <c r="AB5">
        <v>5</v>
      </c>
      <c r="AC5">
        <v>5</v>
      </c>
      <c r="AD5">
        <v>5</v>
      </c>
      <c r="AE5">
        <v>3</v>
      </c>
      <c r="AF5">
        <f t="shared" ref="AF5:AF36" si="3">IF(AE5 = 3, 1, IF(AE5 = 2.5, 0.5, IF(AE5 = 3.5, 0.5, 0)))</f>
        <v>1</v>
      </c>
      <c r="AG5" t="s">
        <v>154</v>
      </c>
      <c r="AH5">
        <f t="shared" ref="AH5:AH36" si="4">IF(AG5="PM &lt; 2.5 μm", 1, 0)</f>
        <v>0</v>
      </c>
      <c r="AI5" t="s">
        <v>175</v>
      </c>
      <c r="AJ5">
        <f t="shared" ref="AJ5:AJ36" si="5">IF(AI5="Particles of this size are generally absorbed in the respiratory tract and safely excreted in mucus.", 1, 0)</f>
        <v>1</v>
      </c>
      <c r="AK5" t="s">
        <v>142</v>
      </c>
      <c r="AL5">
        <f t="shared" ref="AL5:AL36" si="6">IF(ISNUMBER(SEARCH("Trucks", AK5)) = TRUE, 1, 0) + IF(ISNUMBER(SEARCH("Cars", AK5)) = TRUE, 1, 0) + IF(ISNUMBER(SEARCH("Fireplaces",AK5)) = TRUE, 1, 0) + IF(ISNUMBER(SEARCH("Dirt Roads", AK5)) = TRUE, 1, 0) - IF(ISNUMBER(SEARCH("Electric Vehicles",AK5)) = TRUE, 1, 0) - IF(ISNUMBER(SEARCH("Pollen",AK5)) = TRUE, 1, 0)</f>
        <v>2</v>
      </c>
      <c r="AM5">
        <v>2</v>
      </c>
      <c r="AN5">
        <v>1</v>
      </c>
      <c r="AO5">
        <v>3</v>
      </c>
      <c r="AP5">
        <v>2</v>
      </c>
      <c r="AQ5">
        <v>3</v>
      </c>
      <c r="AR5">
        <v>2</v>
      </c>
      <c r="AS5">
        <v>10</v>
      </c>
      <c r="AT5" t="s">
        <v>1054</v>
      </c>
      <c r="AU5" s="20" t="s">
        <v>1340</v>
      </c>
    </row>
    <row r="6" spans="1:47" x14ac:dyDescent="0.25">
      <c r="A6" t="s">
        <v>1127</v>
      </c>
      <c r="B6" t="s">
        <v>1128</v>
      </c>
      <c r="C6" t="s">
        <v>42</v>
      </c>
      <c r="D6" t="s">
        <v>517</v>
      </c>
      <c r="E6" t="str">
        <f t="shared" ref="E6:E69" si="7">IF(COUNTIF($D$5:$D$72, D6)=1, "Unique", "")</f>
        <v>Unique</v>
      </c>
      <c r="F6">
        <v>2</v>
      </c>
      <c r="G6">
        <v>100</v>
      </c>
      <c r="H6" s="3">
        <v>81</v>
      </c>
      <c r="I6" s="3" t="e">
        <f>_xlfn.NUMBERVALUE(#REF!)</f>
        <v>#REF!</v>
      </c>
      <c r="J6" t="s">
        <v>114</v>
      </c>
      <c r="K6" t="s">
        <v>1129</v>
      </c>
      <c r="L6" t="s">
        <v>1130</v>
      </c>
      <c r="M6" t="s">
        <v>111</v>
      </c>
      <c r="N6" t="s">
        <v>111</v>
      </c>
      <c r="O6" t="s">
        <v>111</v>
      </c>
      <c r="P6" t="s">
        <v>111</v>
      </c>
      <c r="Q6" t="s">
        <v>351</v>
      </c>
      <c r="R6" t="str">
        <f t="shared" ref="R6:R69" si="8">IF(COUNTIF($Q$5:$Q$72, Q6)=1, "Unique", "")</f>
        <v/>
      </c>
      <c r="S6" t="s">
        <v>352</v>
      </c>
      <c r="T6" t="s">
        <v>127</v>
      </c>
      <c r="U6" t="s">
        <v>117</v>
      </c>
      <c r="V6" t="s">
        <v>1131</v>
      </c>
      <c r="W6" s="4">
        <v>5</v>
      </c>
      <c r="X6">
        <v>5</v>
      </c>
      <c r="Y6">
        <v>5</v>
      </c>
      <c r="Z6">
        <v>5</v>
      </c>
      <c r="AA6">
        <v>5</v>
      </c>
      <c r="AB6">
        <v>5</v>
      </c>
      <c r="AC6">
        <v>5</v>
      </c>
      <c r="AD6">
        <v>5</v>
      </c>
      <c r="AE6">
        <v>2.5</v>
      </c>
      <c r="AF6">
        <f t="shared" si="3"/>
        <v>0.5</v>
      </c>
      <c r="AG6" t="s">
        <v>154</v>
      </c>
      <c r="AH6">
        <f t="shared" si="4"/>
        <v>0</v>
      </c>
      <c r="AI6" t="s">
        <v>175</v>
      </c>
      <c r="AJ6">
        <f t="shared" si="5"/>
        <v>1</v>
      </c>
      <c r="AK6" t="s">
        <v>206</v>
      </c>
      <c r="AL6">
        <f t="shared" si="6"/>
        <v>2</v>
      </c>
      <c r="AM6">
        <v>5</v>
      </c>
      <c r="AN6">
        <v>5</v>
      </c>
      <c r="AO6">
        <v>5</v>
      </c>
      <c r="AP6">
        <v>5</v>
      </c>
      <c r="AQ6">
        <v>5</v>
      </c>
      <c r="AR6">
        <v>5</v>
      </c>
      <c r="AS6">
        <v>10</v>
      </c>
    </row>
    <row r="7" spans="1:47" x14ac:dyDescent="0.25">
      <c r="A7" t="s">
        <v>1157</v>
      </c>
      <c r="B7" t="s">
        <v>1158</v>
      </c>
      <c r="C7" t="s">
        <v>42</v>
      </c>
      <c r="D7" t="s">
        <v>389</v>
      </c>
      <c r="E7" t="str">
        <f t="shared" si="7"/>
        <v/>
      </c>
      <c r="F7">
        <v>2</v>
      </c>
      <c r="G7">
        <v>100</v>
      </c>
      <c r="H7" s="3">
        <v>146</v>
      </c>
      <c r="I7" s="3" t="e">
        <f>_xlfn.NUMBERVALUE(#REF!)</f>
        <v>#REF!</v>
      </c>
      <c r="J7" t="s">
        <v>114</v>
      </c>
      <c r="K7" t="s">
        <v>1158</v>
      </c>
      <c r="L7" t="s">
        <v>1159</v>
      </c>
      <c r="M7" t="s">
        <v>111</v>
      </c>
      <c r="N7" t="s">
        <v>111</v>
      </c>
      <c r="O7" t="s">
        <v>111</v>
      </c>
      <c r="P7" t="s">
        <v>111</v>
      </c>
      <c r="Q7" t="s">
        <v>392</v>
      </c>
      <c r="R7" t="str">
        <f t="shared" si="8"/>
        <v/>
      </c>
      <c r="S7" t="s">
        <v>393</v>
      </c>
      <c r="T7" t="s">
        <v>127</v>
      </c>
      <c r="U7" t="s">
        <v>117</v>
      </c>
      <c r="V7" t="s">
        <v>569</v>
      </c>
      <c r="W7" s="4">
        <v>5</v>
      </c>
      <c r="X7">
        <v>5</v>
      </c>
      <c r="Y7">
        <v>5</v>
      </c>
      <c r="Z7">
        <v>5</v>
      </c>
      <c r="AA7">
        <v>5</v>
      </c>
      <c r="AB7">
        <v>5</v>
      </c>
      <c r="AC7">
        <v>5</v>
      </c>
      <c r="AD7">
        <v>3</v>
      </c>
      <c r="AE7">
        <v>3</v>
      </c>
      <c r="AF7">
        <f t="shared" si="3"/>
        <v>1</v>
      </c>
      <c r="AG7" t="s">
        <v>154</v>
      </c>
      <c r="AH7">
        <f t="shared" si="4"/>
        <v>0</v>
      </c>
      <c r="AI7" t="s">
        <v>141</v>
      </c>
      <c r="AJ7">
        <f t="shared" si="5"/>
        <v>0</v>
      </c>
      <c r="AK7" t="s">
        <v>206</v>
      </c>
      <c r="AL7">
        <f t="shared" si="6"/>
        <v>2</v>
      </c>
      <c r="AM7">
        <v>5</v>
      </c>
      <c r="AN7">
        <v>3</v>
      </c>
      <c r="AO7">
        <v>4</v>
      </c>
      <c r="AP7">
        <v>4</v>
      </c>
      <c r="AQ7">
        <v>4</v>
      </c>
      <c r="AR7">
        <v>5</v>
      </c>
      <c r="AS7">
        <v>9</v>
      </c>
      <c r="AT7" t="s">
        <v>111</v>
      </c>
    </row>
    <row r="8" spans="1:47" x14ac:dyDescent="0.25">
      <c r="A8" t="s">
        <v>1189</v>
      </c>
      <c r="B8" t="s">
        <v>1190</v>
      </c>
      <c r="C8" t="s">
        <v>42</v>
      </c>
      <c r="D8" t="s">
        <v>837</v>
      </c>
      <c r="E8" t="str">
        <f t="shared" si="7"/>
        <v/>
      </c>
      <c r="F8">
        <v>2</v>
      </c>
      <c r="G8">
        <v>100</v>
      </c>
      <c r="H8" s="3">
        <v>108</v>
      </c>
      <c r="I8" s="3" t="e">
        <f>_xlfn.NUMBERVALUE(#REF!)</f>
        <v>#REF!</v>
      </c>
      <c r="J8" t="s">
        <v>114</v>
      </c>
      <c r="K8" t="s">
        <v>1191</v>
      </c>
      <c r="L8" t="s">
        <v>1192</v>
      </c>
      <c r="M8" t="s">
        <v>111</v>
      </c>
      <c r="N8" t="s">
        <v>111</v>
      </c>
      <c r="O8" t="s">
        <v>111</v>
      </c>
      <c r="P8" t="s">
        <v>111</v>
      </c>
      <c r="Q8" t="s">
        <v>1168</v>
      </c>
      <c r="R8" t="str">
        <f t="shared" si="8"/>
        <v/>
      </c>
      <c r="S8" t="s">
        <v>1169</v>
      </c>
      <c r="T8" t="s">
        <v>127</v>
      </c>
      <c r="U8" t="s">
        <v>117</v>
      </c>
      <c r="V8" t="s">
        <v>583</v>
      </c>
      <c r="W8" s="4">
        <v>4</v>
      </c>
      <c r="X8">
        <v>3</v>
      </c>
      <c r="Y8">
        <v>3</v>
      </c>
      <c r="Z8">
        <v>5</v>
      </c>
      <c r="AA8">
        <v>4</v>
      </c>
      <c r="AB8">
        <v>4</v>
      </c>
      <c r="AC8">
        <v>5</v>
      </c>
      <c r="AD8">
        <v>3</v>
      </c>
      <c r="AE8">
        <v>4</v>
      </c>
      <c r="AF8">
        <f t="shared" si="3"/>
        <v>0</v>
      </c>
      <c r="AG8" t="s">
        <v>140</v>
      </c>
      <c r="AH8">
        <f t="shared" si="4"/>
        <v>1</v>
      </c>
      <c r="AI8" t="s">
        <v>141</v>
      </c>
      <c r="AJ8">
        <f t="shared" si="5"/>
        <v>0</v>
      </c>
      <c r="AK8" t="s">
        <v>186</v>
      </c>
      <c r="AL8">
        <f t="shared" si="6"/>
        <v>3</v>
      </c>
      <c r="AM8">
        <v>5</v>
      </c>
      <c r="AN8">
        <v>3</v>
      </c>
      <c r="AO8">
        <v>5</v>
      </c>
      <c r="AP8">
        <v>4</v>
      </c>
      <c r="AQ8">
        <v>5</v>
      </c>
      <c r="AR8">
        <v>4</v>
      </c>
      <c r="AS8">
        <v>8</v>
      </c>
      <c r="AT8" t="s">
        <v>111</v>
      </c>
    </row>
    <row r="9" spans="1:47" x14ac:dyDescent="0.25">
      <c r="A9" t="s">
        <v>1205</v>
      </c>
      <c r="B9" t="s">
        <v>1206</v>
      </c>
      <c r="C9" t="s">
        <v>42</v>
      </c>
      <c r="D9" t="s">
        <v>1207</v>
      </c>
      <c r="E9" t="str">
        <f t="shared" si="7"/>
        <v>Unique</v>
      </c>
      <c r="F9">
        <v>2</v>
      </c>
      <c r="G9">
        <v>100</v>
      </c>
      <c r="H9" s="3">
        <v>203</v>
      </c>
      <c r="I9" s="3" t="e">
        <f>_xlfn.NUMBERVALUE(#REF!)</f>
        <v>#REF!</v>
      </c>
      <c r="J9" t="s">
        <v>114</v>
      </c>
      <c r="K9" t="s">
        <v>1208</v>
      </c>
      <c r="L9" t="s">
        <v>1209</v>
      </c>
      <c r="M9" t="s">
        <v>111</v>
      </c>
      <c r="N9" t="s">
        <v>111</v>
      </c>
      <c r="O9" t="s">
        <v>111</v>
      </c>
      <c r="P9" t="s">
        <v>111</v>
      </c>
      <c r="Q9" t="s">
        <v>351</v>
      </c>
      <c r="R9" t="str">
        <f t="shared" si="8"/>
        <v/>
      </c>
      <c r="S9" t="s">
        <v>352</v>
      </c>
      <c r="T9" t="s">
        <v>127</v>
      </c>
      <c r="U9" t="s">
        <v>117</v>
      </c>
      <c r="V9" t="s">
        <v>538</v>
      </c>
      <c r="W9" s="4">
        <v>4</v>
      </c>
      <c r="X9">
        <v>2</v>
      </c>
      <c r="Y9">
        <v>4</v>
      </c>
      <c r="Z9">
        <v>5</v>
      </c>
      <c r="AA9">
        <v>3</v>
      </c>
      <c r="AB9">
        <v>3</v>
      </c>
      <c r="AC9">
        <v>5</v>
      </c>
      <c r="AD9">
        <v>2</v>
      </c>
      <c r="AE9">
        <v>3.5</v>
      </c>
      <c r="AF9">
        <f t="shared" si="3"/>
        <v>0.5</v>
      </c>
      <c r="AG9" t="s">
        <v>154</v>
      </c>
      <c r="AH9">
        <f t="shared" si="4"/>
        <v>0</v>
      </c>
      <c r="AI9" t="s">
        <v>141</v>
      </c>
      <c r="AJ9">
        <f t="shared" si="5"/>
        <v>0</v>
      </c>
      <c r="AK9" t="s">
        <v>156</v>
      </c>
      <c r="AL9">
        <f t="shared" si="6"/>
        <v>4</v>
      </c>
      <c r="AM9">
        <v>3</v>
      </c>
      <c r="AN9">
        <v>1</v>
      </c>
      <c r="AO9">
        <v>2</v>
      </c>
      <c r="AP9">
        <v>2</v>
      </c>
      <c r="AQ9">
        <v>1</v>
      </c>
      <c r="AR9">
        <v>4</v>
      </c>
      <c r="AS9">
        <v>8</v>
      </c>
      <c r="AT9" t="s">
        <v>1210</v>
      </c>
    </row>
    <row r="10" spans="1:47" x14ac:dyDescent="0.25">
      <c r="A10" t="s">
        <v>1238</v>
      </c>
      <c r="B10" t="s">
        <v>1239</v>
      </c>
      <c r="C10" t="s">
        <v>42</v>
      </c>
      <c r="D10" t="s">
        <v>1240</v>
      </c>
      <c r="E10" t="str">
        <f t="shared" si="7"/>
        <v>Unique</v>
      </c>
      <c r="F10">
        <v>2</v>
      </c>
      <c r="G10">
        <v>100</v>
      </c>
      <c r="H10" s="3">
        <v>72</v>
      </c>
      <c r="I10" s="3" t="e">
        <f>_xlfn.NUMBERVALUE(#REF!)</f>
        <v>#REF!</v>
      </c>
      <c r="J10" t="s">
        <v>114</v>
      </c>
      <c r="K10" t="s">
        <v>1239</v>
      </c>
      <c r="L10" t="s">
        <v>1241</v>
      </c>
      <c r="M10" t="s">
        <v>111</v>
      </c>
      <c r="N10" t="s">
        <v>111</v>
      </c>
      <c r="O10" t="s">
        <v>111</v>
      </c>
      <c r="P10" t="s">
        <v>111</v>
      </c>
      <c r="Q10" t="s">
        <v>656</v>
      </c>
      <c r="R10" t="str">
        <f t="shared" si="8"/>
        <v/>
      </c>
      <c r="S10" t="s">
        <v>657</v>
      </c>
      <c r="T10" t="s">
        <v>127</v>
      </c>
      <c r="U10" t="s">
        <v>117</v>
      </c>
      <c r="V10" t="s">
        <v>664</v>
      </c>
      <c r="W10" s="4">
        <v>5</v>
      </c>
      <c r="X10">
        <v>4</v>
      </c>
      <c r="Y10">
        <v>5</v>
      </c>
      <c r="Z10">
        <v>5</v>
      </c>
      <c r="AA10">
        <v>4</v>
      </c>
      <c r="AB10">
        <v>4</v>
      </c>
      <c r="AC10">
        <v>5</v>
      </c>
      <c r="AD10">
        <v>3</v>
      </c>
      <c r="AE10">
        <v>3</v>
      </c>
      <c r="AF10">
        <f t="shared" si="3"/>
        <v>1</v>
      </c>
      <c r="AG10" t="s">
        <v>140</v>
      </c>
      <c r="AH10">
        <f t="shared" si="4"/>
        <v>1</v>
      </c>
      <c r="AI10" t="s">
        <v>175</v>
      </c>
      <c r="AJ10">
        <f t="shared" si="5"/>
        <v>1</v>
      </c>
      <c r="AK10" t="s">
        <v>142</v>
      </c>
      <c r="AL10">
        <f t="shared" si="6"/>
        <v>2</v>
      </c>
      <c r="AM10">
        <v>4</v>
      </c>
      <c r="AN10">
        <v>4</v>
      </c>
      <c r="AO10">
        <v>4</v>
      </c>
      <c r="AP10">
        <v>4</v>
      </c>
      <c r="AQ10">
        <v>5</v>
      </c>
      <c r="AR10">
        <v>5</v>
      </c>
      <c r="AS10">
        <v>10</v>
      </c>
      <c r="AT10" t="s">
        <v>111</v>
      </c>
    </row>
    <row r="11" spans="1:47" x14ac:dyDescent="0.25">
      <c r="A11" t="s">
        <v>1234</v>
      </c>
      <c r="B11" t="s">
        <v>1235</v>
      </c>
      <c r="C11" t="s">
        <v>42</v>
      </c>
      <c r="D11" t="s">
        <v>389</v>
      </c>
      <c r="E11" t="str">
        <f t="shared" si="7"/>
        <v/>
      </c>
      <c r="F11">
        <v>2</v>
      </c>
      <c r="G11">
        <v>100</v>
      </c>
      <c r="H11" s="3">
        <v>581</v>
      </c>
      <c r="I11" s="3" t="e">
        <f>_xlfn.NUMBERVALUE(#REF!)</f>
        <v>#REF!</v>
      </c>
      <c r="J11" t="s">
        <v>114</v>
      </c>
      <c r="K11" t="s">
        <v>1235</v>
      </c>
      <c r="L11" t="s">
        <v>1236</v>
      </c>
      <c r="M11" t="s">
        <v>111</v>
      </c>
      <c r="N11" t="s">
        <v>111</v>
      </c>
      <c r="O11" t="s">
        <v>111</v>
      </c>
      <c r="P11" t="s">
        <v>111</v>
      </c>
      <c r="Q11" t="s">
        <v>392</v>
      </c>
      <c r="R11" t="str">
        <f t="shared" si="8"/>
        <v/>
      </c>
      <c r="S11" t="s">
        <v>393</v>
      </c>
      <c r="T11" t="s">
        <v>127</v>
      </c>
      <c r="U11" t="s">
        <v>117</v>
      </c>
      <c r="V11" t="s">
        <v>1237</v>
      </c>
      <c r="W11" s="4">
        <v>5</v>
      </c>
      <c r="X11">
        <v>3</v>
      </c>
      <c r="Y11">
        <v>5</v>
      </c>
      <c r="Z11">
        <v>5</v>
      </c>
      <c r="AA11">
        <v>3</v>
      </c>
      <c r="AB11">
        <v>4</v>
      </c>
      <c r="AC11">
        <v>4</v>
      </c>
      <c r="AD11">
        <v>3</v>
      </c>
      <c r="AE11">
        <v>3</v>
      </c>
      <c r="AF11">
        <f t="shared" si="3"/>
        <v>1</v>
      </c>
      <c r="AG11" t="s">
        <v>140</v>
      </c>
      <c r="AH11">
        <f t="shared" si="4"/>
        <v>1</v>
      </c>
      <c r="AI11" t="s">
        <v>155</v>
      </c>
      <c r="AJ11">
        <f t="shared" si="5"/>
        <v>0</v>
      </c>
      <c r="AK11" t="s">
        <v>610</v>
      </c>
      <c r="AL11">
        <f t="shared" si="6"/>
        <v>2</v>
      </c>
      <c r="AM11">
        <v>3</v>
      </c>
      <c r="AN11">
        <v>5</v>
      </c>
      <c r="AO11">
        <v>3</v>
      </c>
      <c r="AP11">
        <v>4</v>
      </c>
      <c r="AQ11">
        <v>4</v>
      </c>
      <c r="AR11">
        <v>3</v>
      </c>
      <c r="AS11">
        <v>10</v>
      </c>
      <c r="AT11" t="s">
        <v>111</v>
      </c>
    </row>
    <row r="12" spans="1:47" x14ac:dyDescent="0.25">
      <c r="A12" t="s">
        <v>1000</v>
      </c>
      <c r="B12" t="s">
        <v>1001</v>
      </c>
      <c r="C12" t="s">
        <v>42</v>
      </c>
      <c r="D12" t="s">
        <v>1002</v>
      </c>
      <c r="E12" t="str">
        <f t="shared" si="7"/>
        <v>Unique</v>
      </c>
      <c r="F12">
        <v>2</v>
      </c>
      <c r="G12">
        <v>100</v>
      </c>
      <c r="H12" s="3">
        <v>54</v>
      </c>
      <c r="I12" s="3" t="e">
        <f>_xlfn.NUMBERVALUE(#REF!)</f>
        <v>#REF!</v>
      </c>
      <c r="J12" t="s">
        <v>114</v>
      </c>
      <c r="K12" t="s">
        <v>1001</v>
      </c>
      <c r="L12" t="s">
        <v>1003</v>
      </c>
      <c r="M12" t="s">
        <v>111</v>
      </c>
      <c r="N12" t="s">
        <v>111</v>
      </c>
      <c r="O12" t="s">
        <v>111</v>
      </c>
      <c r="P12" t="s">
        <v>111</v>
      </c>
      <c r="Q12" t="s">
        <v>351</v>
      </c>
      <c r="R12" t="str">
        <f t="shared" si="8"/>
        <v/>
      </c>
      <c r="S12" t="s">
        <v>352</v>
      </c>
      <c r="T12" t="s">
        <v>487</v>
      </c>
      <c r="U12" t="s">
        <v>117</v>
      </c>
      <c r="V12" t="s">
        <v>531</v>
      </c>
      <c r="W12" s="4">
        <v>5</v>
      </c>
      <c r="X12">
        <v>5</v>
      </c>
      <c r="Y12">
        <v>4</v>
      </c>
      <c r="Z12">
        <v>5</v>
      </c>
      <c r="AA12">
        <v>5</v>
      </c>
      <c r="AB12">
        <v>5</v>
      </c>
      <c r="AC12">
        <v>5</v>
      </c>
      <c r="AD12">
        <v>3</v>
      </c>
      <c r="AE12">
        <v>2.5</v>
      </c>
      <c r="AF12">
        <f t="shared" si="3"/>
        <v>0.5</v>
      </c>
      <c r="AG12" t="s">
        <v>140</v>
      </c>
      <c r="AH12">
        <f t="shared" si="4"/>
        <v>1</v>
      </c>
      <c r="AI12" t="s">
        <v>131</v>
      </c>
      <c r="AJ12">
        <f t="shared" si="5"/>
        <v>0</v>
      </c>
      <c r="AK12" t="s">
        <v>142</v>
      </c>
      <c r="AL12">
        <f t="shared" si="6"/>
        <v>2</v>
      </c>
      <c r="AM12">
        <v>4</v>
      </c>
      <c r="AN12">
        <v>4</v>
      </c>
      <c r="AO12">
        <v>4</v>
      </c>
      <c r="AP12">
        <v>3</v>
      </c>
      <c r="AQ12">
        <v>3</v>
      </c>
      <c r="AR12">
        <v>4</v>
      </c>
      <c r="AS12">
        <v>9</v>
      </c>
      <c r="AT12" t="s">
        <v>111</v>
      </c>
    </row>
    <row r="13" spans="1:47" x14ac:dyDescent="0.25">
      <c r="A13" t="s">
        <v>1165</v>
      </c>
      <c r="B13" t="s">
        <v>1166</v>
      </c>
      <c r="C13" t="s">
        <v>42</v>
      </c>
      <c r="D13" t="s">
        <v>837</v>
      </c>
      <c r="E13" t="str">
        <f t="shared" si="7"/>
        <v/>
      </c>
      <c r="F13">
        <v>2</v>
      </c>
      <c r="G13">
        <v>100</v>
      </c>
      <c r="H13" s="3">
        <v>76</v>
      </c>
      <c r="I13" s="3" t="e">
        <f>_xlfn.NUMBERVALUE(#REF!)</f>
        <v>#REF!</v>
      </c>
      <c r="J13" t="s">
        <v>114</v>
      </c>
      <c r="K13" t="s">
        <v>1166</v>
      </c>
      <c r="L13" t="s">
        <v>1167</v>
      </c>
      <c r="M13" t="s">
        <v>111</v>
      </c>
      <c r="N13" t="s">
        <v>111</v>
      </c>
      <c r="O13" t="s">
        <v>111</v>
      </c>
      <c r="P13" t="s">
        <v>111</v>
      </c>
      <c r="Q13" t="s">
        <v>1168</v>
      </c>
      <c r="R13" t="str">
        <f t="shared" si="8"/>
        <v/>
      </c>
      <c r="S13" t="s">
        <v>1169</v>
      </c>
      <c r="T13" t="s">
        <v>127</v>
      </c>
      <c r="U13" t="s">
        <v>117</v>
      </c>
      <c r="V13" t="s">
        <v>504</v>
      </c>
      <c r="W13" s="4">
        <v>4</v>
      </c>
      <c r="X13">
        <v>4</v>
      </c>
      <c r="Y13">
        <v>3</v>
      </c>
      <c r="Z13">
        <v>5</v>
      </c>
      <c r="AA13">
        <v>3</v>
      </c>
      <c r="AB13">
        <v>4</v>
      </c>
      <c r="AC13">
        <v>5</v>
      </c>
      <c r="AD13">
        <v>3</v>
      </c>
      <c r="AE13">
        <v>4</v>
      </c>
      <c r="AF13">
        <f t="shared" si="3"/>
        <v>0</v>
      </c>
      <c r="AG13" t="s">
        <v>140</v>
      </c>
      <c r="AH13">
        <f t="shared" si="4"/>
        <v>1</v>
      </c>
      <c r="AI13" t="s">
        <v>175</v>
      </c>
      <c r="AJ13">
        <f t="shared" si="5"/>
        <v>1</v>
      </c>
      <c r="AK13" t="s">
        <v>167</v>
      </c>
      <c r="AL13">
        <f t="shared" si="6"/>
        <v>3</v>
      </c>
      <c r="AM13">
        <v>5</v>
      </c>
      <c r="AN13">
        <v>5</v>
      </c>
      <c r="AO13">
        <v>5</v>
      </c>
      <c r="AP13">
        <v>5</v>
      </c>
      <c r="AQ13">
        <v>5</v>
      </c>
      <c r="AR13">
        <v>5</v>
      </c>
      <c r="AS13">
        <v>9</v>
      </c>
      <c r="AT13" t="s">
        <v>111</v>
      </c>
    </row>
    <row r="14" spans="1:47" x14ac:dyDescent="0.25">
      <c r="A14" t="s">
        <v>1160</v>
      </c>
      <c r="B14" t="s">
        <v>1161</v>
      </c>
      <c r="C14" t="s">
        <v>42</v>
      </c>
      <c r="D14" t="s">
        <v>808</v>
      </c>
      <c r="E14" t="str">
        <f t="shared" si="7"/>
        <v>Unique</v>
      </c>
      <c r="F14">
        <v>2</v>
      </c>
      <c r="G14">
        <v>100</v>
      </c>
      <c r="H14" s="3">
        <v>180</v>
      </c>
      <c r="I14" s="3" t="e">
        <f>_xlfn.NUMBERVALUE(#REF!)</f>
        <v>#REF!</v>
      </c>
      <c r="J14" t="s">
        <v>114</v>
      </c>
      <c r="K14" t="s">
        <v>1161</v>
      </c>
      <c r="L14" t="s">
        <v>1162</v>
      </c>
      <c r="M14" t="s">
        <v>111</v>
      </c>
      <c r="N14" t="s">
        <v>111</v>
      </c>
      <c r="O14" t="s">
        <v>111</v>
      </c>
      <c r="P14" t="s">
        <v>111</v>
      </c>
      <c r="Q14" t="s">
        <v>164</v>
      </c>
      <c r="R14" t="str">
        <f t="shared" si="8"/>
        <v>Unique</v>
      </c>
      <c r="S14" t="s">
        <v>165</v>
      </c>
      <c r="T14" t="s">
        <v>487</v>
      </c>
      <c r="U14" t="s">
        <v>117</v>
      </c>
      <c r="V14" t="s">
        <v>1163</v>
      </c>
      <c r="W14" s="4">
        <v>5</v>
      </c>
      <c r="X14">
        <v>4</v>
      </c>
      <c r="Y14">
        <v>4</v>
      </c>
      <c r="Z14">
        <v>4</v>
      </c>
      <c r="AA14">
        <v>2</v>
      </c>
      <c r="AB14">
        <v>3</v>
      </c>
      <c r="AC14">
        <v>5</v>
      </c>
      <c r="AD14">
        <v>3</v>
      </c>
      <c r="AE14">
        <v>3</v>
      </c>
      <c r="AF14">
        <f t="shared" si="3"/>
        <v>1</v>
      </c>
      <c r="AG14" t="s">
        <v>140</v>
      </c>
      <c r="AH14">
        <f t="shared" si="4"/>
        <v>1</v>
      </c>
      <c r="AI14" t="s">
        <v>131</v>
      </c>
      <c r="AJ14">
        <f t="shared" si="5"/>
        <v>0</v>
      </c>
      <c r="AK14" t="s">
        <v>450</v>
      </c>
      <c r="AL14">
        <f t="shared" si="6"/>
        <v>2</v>
      </c>
      <c r="AM14">
        <v>4</v>
      </c>
      <c r="AN14">
        <v>4</v>
      </c>
      <c r="AO14">
        <v>4</v>
      </c>
      <c r="AP14">
        <v>4</v>
      </c>
      <c r="AQ14">
        <v>4</v>
      </c>
      <c r="AR14">
        <v>5</v>
      </c>
      <c r="AS14">
        <v>9</v>
      </c>
      <c r="AT14" t="s">
        <v>1164</v>
      </c>
      <c r="AU14" t="s">
        <v>1339</v>
      </c>
    </row>
    <row r="15" spans="1:47" x14ac:dyDescent="0.25">
      <c r="A15" t="s">
        <v>1023</v>
      </c>
      <c r="B15" t="s">
        <v>1024</v>
      </c>
      <c r="C15" t="s">
        <v>42</v>
      </c>
      <c r="D15" t="s">
        <v>1025</v>
      </c>
      <c r="E15" t="str">
        <f t="shared" si="7"/>
        <v>Unique</v>
      </c>
      <c r="F15">
        <v>2</v>
      </c>
      <c r="G15">
        <v>100</v>
      </c>
      <c r="H15" s="3">
        <v>241</v>
      </c>
      <c r="I15" s="3" t="e">
        <f>_xlfn.NUMBERVALUE(#REF!)</f>
        <v>#REF!</v>
      </c>
      <c r="J15" t="s">
        <v>114</v>
      </c>
      <c r="K15" t="s">
        <v>1026</v>
      </c>
      <c r="L15" t="s">
        <v>1027</v>
      </c>
      <c r="M15" t="s">
        <v>111</v>
      </c>
      <c r="N15" t="s">
        <v>111</v>
      </c>
      <c r="O15" t="s">
        <v>111</v>
      </c>
      <c r="P15" t="s">
        <v>111</v>
      </c>
      <c r="Q15" t="s">
        <v>1028</v>
      </c>
      <c r="R15" t="str">
        <f t="shared" si="8"/>
        <v>Unique</v>
      </c>
      <c r="S15" t="s">
        <v>1029</v>
      </c>
      <c r="T15" t="s">
        <v>487</v>
      </c>
      <c r="U15" t="s">
        <v>117</v>
      </c>
      <c r="V15" t="s">
        <v>1030</v>
      </c>
      <c r="W15" s="4">
        <v>4</v>
      </c>
      <c r="X15">
        <v>4</v>
      </c>
      <c r="Y15">
        <v>2</v>
      </c>
      <c r="Z15">
        <v>4</v>
      </c>
      <c r="AA15">
        <v>2</v>
      </c>
      <c r="AB15">
        <v>2</v>
      </c>
      <c r="AC15">
        <v>5</v>
      </c>
      <c r="AD15">
        <v>2</v>
      </c>
      <c r="AE15">
        <v>4</v>
      </c>
      <c r="AF15">
        <f t="shared" si="3"/>
        <v>0</v>
      </c>
      <c r="AG15" t="s">
        <v>140</v>
      </c>
      <c r="AH15">
        <f t="shared" si="4"/>
        <v>1</v>
      </c>
      <c r="AI15" t="s">
        <v>175</v>
      </c>
      <c r="AJ15">
        <f t="shared" si="5"/>
        <v>1</v>
      </c>
      <c r="AK15" t="s">
        <v>156</v>
      </c>
      <c r="AL15">
        <f t="shared" si="6"/>
        <v>4</v>
      </c>
      <c r="AM15">
        <v>3</v>
      </c>
      <c r="AN15">
        <v>4</v>
      </c>
      <c r="AO15">
        <v>4</v>
      </c>
      <c r="AP15">
        <v>3</v>
      </c>
      <c r="AQ15">
        <v>5</v>
      </c>
      <c r="AR15">
        <v>5</v>
      </c>
      <c r="AS15">
        <v>8</v>
      </c>
      <c r="AT15" t="s">
        <v>1031</v>
      </c>
      <c r="AU15" t="s">
        <v>1335</v>
      </c>
    </row>
    <row r="16" spans="1:47" x14ac:dyDescent="0.25">
      <c r="A16" t="s">
        <v>1062</v>
      </c>
      <c r="B16" t="s">
        <v>1063</v>
      </c>
      <c r="C16" t="s">
        <v>42</v>
      </c>
      <c r="D16" t="s">
        <v>389</v>
      </c>
      <c r="E16" t="str">
        <f t="shared" si="7"/>
        <v/>
      </c>
      <c r="F16">
        <v>2</v>
      </c>
      <c r="G16">
        <v>100</v>
      </c>
      <c r="H16" s="3">
        <v>1214</v>
      </c>
      <c r="I16" s="3" t="e">
        <f>_xlfn.NUMBERVALUE(#REF!)</f>
        <v>#REF!</v>
      </c>
      <c r="J16" t="s">
        <v>114</v>
      </c>
      <c r="K16" t="s">
        <v>1063</v>
      </c>
      <c r="L16" t="s">
        <v>1064</v>
      </c>
      <c r="M16" t="s">
        <v>111</v>
      </c>
      <c r="N16" t="s">
        <v>111</v>
      </c>
      <c r="O16" t="s">
        <v>111</v>
      </c>
      <c r="P16" t="s">
        <v>111</v>
      </c>
      <c r="Q16" t="s">
        <v>392</v>
      </c>
      <c r="R16" t="str">
        <f t="shared" si="8"/>
        <v/>
      </c>
      <c r="S16" t="s">
        <v>393</v>
      </c>
      <c r="T16" t="s">
        <v>487</v>
      </c>
      <c r="U16" t="s">
        <v>117</v>
      </c>
      <c r="V16" t="s">
        <v>362</v>
      </c>
      <c r="W16" s="4">
        <v>4</v>
      </c>
      <c r="X16">
        <v>4</v>
      </c>
      <c r="Y16">
        <v>2</v>
      </c>
      <c r="Z16">
        <v>5</v>
      </c>
      <c r="AA16">
        <v>2</v>
      </c>
      <c r="AB16">
        <v>2</v>
      </c>
      <c r="AC16">
        <v>5</v>
      </c>
      <c r="AD16">
        <v>2</v>
      </c>
      <c r="AE16">
        <v>1</v>
      </c>
      <c r="AF16">
        <f t="shared" si="3"/>
        <v>0</v>
      </c>
      <c r="AG16" t="s">
        <v>185</v>
      </c>
      <c r="AH16">
        <f t="shared" si="4"/>
        <v>0</v>
      </c>
      <c r="AI16" t="s">
        <v>175</v>
      </c>
      <c r="AJ16">
        <f t="shared" si="5"/>
        <v>1</v>
      </c>
      <c r="AK16" t="s">
        <v>156</v>
      </c>
      <c r="AL16">
        <f t="shared" si="6"/>
        <v>4</v>
      </c>
      <c r="AM16">
        <v>1</v>
      </c>
      <c r="AN16">
        <v>5</v>
      </c>
      <c r="AO16">
        <v>2</v>
      </c>
      <c r="AP16">
        <v>2</v>
      </c>
      <c r="AQ16">
        <v>3</v>
      </c>
      <c r="AR16">
        <v>3</v>
      </c>
      <c r="AS16">
        <v>10</v>
      </c>
      <c r="AT16" t="s">
        <v>1065</v>
      </c>
      <c r="AU16" s="20" t="s">
        <v>1340</v>
      </c>
    </row>
    <row r="17" spans="1:47" x14ac:dyDescent="0.25">
      <c r="A17" t="s">
        <v>1267</v>
      </c>
      <c r="B17" t="s">
        <v>1268</v>
      </c>
      <c r="C17" t="s">
        <v>42</v>
      </c>
      <c r="D17" t="s">
        <v>190</v>
      </c>
      <c r="E17" t="str">
        <f t="shared" si="7"/>
        <v/>
      </c>
      <c r="F17">
        <v>2</v>
      </c>
      <c r="G17">
        <v>100</v>
      </c>
      <c r="H17" s="3">
        <v>155</v>
      </c>
      <c r="I17" s="3" t="e">
        <f>_xlfn.NUMBERVALUE(#REF!)</f>
        <v>#REF!</v>
      </c>
      <c r="J17" t="s">
        <v>114</v>
      </c>
      <c r="K17" t="s">
        <v>1269</v>
      </c>
      <c r="L17" t="s">
        <v>1270</v>
      </c>
      <c r="M17" t="s">
        <v>111</v>
      </c>
      <c r="N17" t="s">
        <v>111</v>
      </c>
      <c r="O17" t="s">
        <v>111</v>
      </c>
      <c r="P17" t="s">
        <v>111</v>
      </c>
      <c r="Q17" t="s">
        <v>193</v>
      </c>
      <c r="R17" t="str">
        <f t="shared" si="8"/>
        <v/>
      </c>
      <c r="S17" t="s">
        <v>194</v>
      </c>
      <c r="T17" t="s">
        <v>127</v>
      </c>
      <c r="U17" t="s">
        <v>117</v>
      </c>
      <c r="V17" t="s">
        <v>1271</v>
      </c>
      <c r="W17" s="4">
        <v>5</v>
      </c>
      <c r="X17">
        <v>5</v>
      </c>
      <c r="Y17">
        <v>5</v>
      </c>
      <c r="Z17">
        <v>5</v>
      </c>
      <c r="AA17">
        <v>4</v>
      </c>
      <c r="AB17">
        <v>5</v>
      </c>
      <c r="AC17">
        <v>5</v>
      </c>
      <c r="AD17">
        <v>5</v>
      </c>
      <c r="AE17">
        <v>3</v>
      </c>
      <c r="AF17">
        <f t="shared" si="3"/>
        <v>1</v>
      </c>
      <c r="AG17" t="s">
        <v>140</v>
      </c>
      <c r="AH17">
        <f t="shared" si="4"/>
        <v>1</v>
      </c>
      <c r="AI17" t="s">
        <v>175</v>
      </c>
      <c r="AJ17">
        <f t="shared" si="5"/>
        <v>1</v>
      </c>
      <c r="AK17" t="s">
        <v>142</v>
      </c>
      <c r="AL17">
        <f t="shared" si="6"/>
        <v>2</v>
      </c>
      <c r="AM17">
        <v>5</v>
      </c>
      <c r="AN17">
        <v>2</v>
      </c>
      <c r="AO17">
        <v>3</v>
      </c>
      <c r="AP17">
        <v>3</v>
      </c>
      <c r="AQ17">
        <v>5</v>
      </c>
      <c r="AR17">
        <v>4</v>
      </c>
      <c r="AS17">
        <v>9</v>
      </c>
      <c r="AT17" t="s">
        <v>111</v>
      </c>
    </row>
    <row r="18" spans="1:47" x14ac:dyDescent="0.25">
      <c r="A18" t="s">
        <v>1066</v>
      </c>
      <c r="B18" t="s">
        <v>1067</v>
      </c>
      <c r="C18" t="s">
        <v>42</v>
      </c>
      <c r="D18" t="s">
        <v>1068</v>
      </c>
      <c r="E18" t="str">
        <f t="shared" si="7"/>
        <v>Unique</v>
      </c>
      <c r="F18">
        <v>2</v>
      </c>
      <c r="G18">
        <v>100</v>
      </c>
      <c r="H18" s="3">
        <v>1277</v>
      </c>
      <c r="I18" s="3" t="e">
        <f>_xlfn.NUMBERVALUE(#REF!)</f>
        <v>#REF!</v>
      </c>
      <c r="J18" t="s">
        <v>114</v>
      </c>
      <c r="K18" t="s">
        <v>1067</v>
      </c>
      <c r="L18" t="s">
        <v>1069</v>
      </c>
      <c r="M18" t="s">
        <v>111</v>
      </c>
      <c r="N18" t="s">
        <v>111</v>
      </c>
      <c r="O18" t="s">
        <v>111</v>
      </c>
      <c r="P18" t="s">
        <v>111</v>
      </c>
      <c r="Q18" t="s">
        <v>656</v>
      </c>
      <c r="R18" t="str">
        <f t="shared" si="8"/>
        <v/>
      </c>
      <c r="S18" t="s">
        <v>657</v>
      </c>
      <c r="T18" t="s">
        <v>487</v>
      </c>
      <c r="U18" t="s">
        <v>117</v>
      </c>
      <c r="V18" t="s">
        <v>304</v>
      </c>
      <c r="W18" s="4">
        <v>5</v>
      </c>
      <c r="X18">
        <v>4</v>
      </c>
      <c r="Y18">
        <v>4</v>
      </c>
      <c r="Z18">
        <v>4</v>
      </c>
      <c r="AA18">
        <v>3</v>
      </c>
      <c r="AB18">
        <v>3</v>
      </c>
      <c r="AC18">
        <v>4</v>
      </c>
      <c r="AD18">
        <v>3</v>
      </c>
      <c r="AE18">
        <v>4.5</v>
      </c>
      <c r="AF18">
        <f t="shared" si="3"/>
        <v>0</v>
      </c>
      <c r="AG18" t="s">
        <v>154</v>
      </c>
      <c r="AH18">
        <f t="shared" si="4"/>
        <v>0</v>
      </c>
      <c r="AI18" t="s">
        <v>131</v>
      </c>
      <c r="AJ18">
        <f t="shared" si="5"/>
        <v>0</v>
      </c>
      <c r="AK18" t="s">
        <v>167</v>
      </c>
      <c r="AL18">
        <f t="shared" si="6"/>
        <v>3</v>
      </c>
      <c r="AM18">
        <v>4</v>
      </c>
      <c r="AN18">
        <v>3</v>
      </c>
      <c r="AO18">
        <v>3</v>
      </c>
      <c r="AP18">
        <v>3</v>
      </c>
      <c r="AQ18">
        <v>4</v>
      </c>
      <c r="AR18">
        <v>3</v>
      </c>
      <c r="AS18">
        <v>8</v>
      </c>
      <c r="AT18" t="s">
        <v>111</v>
      </c>
    </row>
    <row r="19" spans="1:47" x14ac:dyDescent="0.25">
      <c r="A19" t="s">
        <v>1137</v>
      </c>
      <c r="B19" t="s">
        <v>1138</v>
      </c>
      <c r="C19" t="s">
        <v>42</v>
      </c>
      <c r="D19" t="s">
        <v>826</v>
      </c>
      <c r="E19" t="str">
        <f t="shared" si="7"/>
        <v>Unique</v>
      </c>
      <c r="F19">
        <v>2</v>
      </c>
      <c r="G19">
        <v>100</v>
      </c>
      <c r="H19" s="3">
        <v>184</v>
      </c>
      <c r="I19" s="3" t="e">
        <f>_xlfn.NUMBERVALUE(#REF!)</f>
        <v>#REF!</v>
      </c>
      <c r="J19" t="s">
        <v>114</v>
      </c>
      <c r="K19" t="s">
        <v>1139</v>
      </c>
      <c r="L19" t="s">
        <v>1140</v>
      </c>
      <c r="M19" t="s">
        <v>111</v>
      </c>
      <c r="N19" t="s">
        <v>111</v>
      </c>
      <c r="O19" t="s">
        <v>111</v>
      </c>
      <c r="P19" t="s">
        <v>111</v>
      </c>
      <c r="Q19" t="s">
        <v>115</v>
      </c>
      <c r="R19" t="str">
        <f t="shared" si="8"/>
        <v/>
      </c>
      <c r="S19" t="s">
        <v>116</v>
      </c>
      <c r="T19" t="s">
        <v>127</v>
      </c>
      <c r="U19" t="s">
        <v>117</v>
      </c>
      <c r="V19" t="s">
        <v>496</v>
      </c>
      <c r="W19" s="4">
        <v>4</v>
      </c>
      <c r="X19">
        <v>5</v>
      </c>
      <c r="Y19">
        <v>3</v>
      </c>
      <c r="Z19">
        <v>4</v>
      </c>
      <c r="AA19">
        <v>1</v>
      </c>
      <c r="AB19">
        <v>1</v>
      </c>
      <c r="AC19">
        <v>4</v>
      </c>
      <c r="AD19">
        <v>1</v>
      </c>
      <c r="AE19">
        <v>2.5</v>
      </c>
      <c r="AF19">
        <f t="shared" si="3"/>
        <v>0.5</v>
      </c>
      <c r="AG19" t="s">
        <v>140</v>
      </c>
      <c r="AH19">
        <f t="shared" si="4"/>
        <v>1</v>
      </c>
      <c r="AI19" t="s">
        <v>175</v>
      </c>
      <c r="AJ19">
        <f t="shared" si="5"/>
        <v>1</v>
      </c>
      <c r="AK19" t="s">
        <v>224</v>
      </c>
      <c r="AL19">
        <f t="shared" si="6"/>
        <v>1</v>
      </c>
      <c r="AM19">
        <v>4</v>
      </c>
      <c r="AN19">
        <v>3</v>
      </c>
      <c r="AO19">
        <v>3</v>
      </c>
      <c r="AP19">
        <v>2</v>
      </c>
      <c r="AQ19">
        <v>3</v>
      </c>
      <c r="AR19">
        <v>5</v>
      </c>
      <c r="AS19">
        <v>10</v>
      </c>
      <c r="AT19" t="s">
        <v>1141</v>
      </c>
      <c r="AU19" s="20" t="s">
        <v>1340</v>
      </c>
    </row>
    <row r="20" spans="1:47" x14ac:dyDescent="0.25">
      <c r="A20" t="s">
        <v>1014</v>
      </c>
      <c r="B20" t="s">
        <v>1011</v>
      </c>
      <c r="C20" t="s">
        <v>42</v>
      </c>
      <c r="D20" t="s">
        <v>1015</v>
      </c>
      <c r="E20" t="str">
        <f t="shared" si="7"/>
        <v>Unique</v>
      </c>
      <c r="F20">
        <v>2</v>
      </c>
      <c r="G20">
        <v>100</v>
      </c>
      <c r="H20" s="3">
        <v>233</v>
      </c>
      <c r="I20" s="3" t="e">
        <f>_xlfn.NUMBERVALUE(#REF!)</f>
        <v>#REF!</v>
      </c>
      <c r="J20" t="s">
        <v>114</v>
      </c>
      <c r="K20" t="s">
        <v>1016</v>
      </c>
      <c r="L20" t="s">
        <v>1017</v>
      </c>
      <c r="M20" t="s">
        <v>111</v>
      </c>
      <c r="N20" t="s">
        <v>111</v>
      </c>
      <c r="O20" t="s">
        <v>111</v>
      </c>
      <c r="P20" t="s">
        <v>111</v>
      </c>
      <c r="Q20" t="s">
        <v>351</v>
      </c>
      <c r="R20" t="str">
        <f t="shared" si="8"/>
        <v/>
      </c>
      <c r="S20" t="s">
        <v>352</v>
      </c>
      <c r="T20" t="s">
        <v>487</v>
      </c>
      <c r="U20" t="s">
        <v>117</v>
      </c>
      <c r="V20" t="s">
        <v>1018</v>
      </c>
      <c r="W20" s="4">
        <v>3</v>
      </c>
      <c r="X20">
        <v>4</v>
      </c>
      <c r="Y20">
        <v>4</v>
      </c>
      <c r="Z20">
        <v>5</v>
      </c>
      <c r="AC20">
        <v>5</v>
      </c>
      <c r="AE20">
        <v>4</v>
      </c>
      <c r="AF20">
        <f t="shared" si="3"/>
        <v>0</v>
      </c>
      <c r="AG20" t="s">
        <v>140</v>
      </c>
      <c r="AH20">
        <f t="shared" si="4"/>
        <v>1</v>
      </c>
      <c r="AI20" t="s">
        <v>175</v>
      </c>
      <c r="AJ20">
        <f t="shared" si="5"/>
        <v>1</v>
      </c>
      <c r="AK20" t="s">
        <v>1019</v>
      </c>
      <c r="AL20">
        <f t="shared" si="6"/>
        <v>2</v>
      </c>
      <c r="AM20">
        <v>4</v>
      </c>
      <c r="AN20">
        <v>4</v>
      </c>
      <c r="AO20">
        <v>4</v>
      </c>
      <c r="AP20">
        <v>4</v>
      </c>
      <c r="AQ20">
        <v>4</v>
      </c>
      <c r="AR20">
        <v>4</v>
      </c>
      <c r="AS20">
        <v>6</v>
      </c>
      <c r="AT20" t="s">
        <v>111</v>
      </c>
    </row>
    <row r="21" spans="1:47" x14ac:dyDescent="0.25">
      <c r="A21" t="s">
        <v>1142</v>
      </c>
      <c r="B21" t="s">
        <v>1143</v>
      </c>
      <c r="C21" t="s">
        <v>42</v>
      </c>
      <c r="D21" t="s">
        <v>389</v>
      </c>
      <c r="E21" t="str">
        <f t="shared" si="7"/>
        <v/>
      </c>
      <c r="F21">
        <v>2</v>
      </c>
      <c r="G21">
        <v>100</v>
      </c>
      <c r="H21" s="3">
        <v>139</v>
      </c>
      <c r="I21" s="3" t="e">
        <f>_xlfn.NUMBERVALUE(#REF!)</f>
        <v>#REF!</v>
      </c>
      <c r="J21" t="s">
        <v>114</v>
      </c>
      <c r="K21" t="s">
        <v>1143</v>
      </c>
      <c r="L21" t="s">
        <v>1144</v>
      </c>
      <c r="M21" t="s">
        <v>111</v>
      </c>
      <c r="N21" t="s">
        <v>111</v>
      </c>
      <c r="O21" t="s">
        <v>111</v>
      </c>
      <c r="P21" t="s">
        <v>111</v>
      </c>
      <c r="Q21" t="s">
        <v>392</v>
      </c>
      <c r="R21" t="str">
        <f t="shared" si="8"/>
        <v/>
      </c>
      <c r="S21" t="s">
        <v>393</v>
      </c>
      <c r="T21" t="s">
        <v>127</v>
      </c>
      <c r="U21" t="s">
        <v>117</v>
      </c>
      <c r="V21" t="s">
        <v>1145</v>
      </c>
      <c r="W21" s="4">
        <v>4</v>
      </c>
      <c r="X21">
        <v>5</v>
      </c>
      <c r="Y21">
        <v>4</v>
      </c>
      <c r="Z21">
        <v>3</v>
      </c>
      <c r="AA21">
        <v>5</v>
      </c>
      <c r="AB21">
        <v>4</v>
      </c>
      <c r="AC21">
        <v>5</v>
      </c>
      <c r="AD21">
        <v>3</v>
      </c>
      <c r="AE21">
        <v>3</v>
      </c>
      <c r="AF21">
        <f t="shared" si="3"/>
        <v>1</v>
      </c>
      <c r="AG21" t="s">
        <v>140</v>
      </c>
      <c r="AH21">
        <f t="shared" si="4"/>
        <v>1</v>
      </c>
      <c r="AI21" t="s">
        <v>175</v>
      </c>
      <c r="AJ21">
        <f t="shared" si="5"/>
        <v>1</v>
      </c>
      <c r="AK21" t="s">
        <v>186</v>
      </c>
      <c r="AL21">
        <f t="shared" si="6"/>
        <v>3</v>
      </c>
      <c r="AM21">
        <v>5</v>
      </c>
      <c r="AN21">
        <v>4</v>
      </c>
      <c r="AO21">
        <v>4</v>
      </c>
      <c r="AP21">
        <v>4</v>
      </c>
      <c r="AQ21">
        <v>4</v>
      </c>
      <c r="AR21">
        <v>5</v>
      </c>
      <c r="AS21">
        <v>10</v>
      </c>
      <c r="AT21" t="s">
        <v>111</v>
      </c>
    </row>
    <row r="22" spans="1:47" x14ac:dyDescent="0.25">
      <c r="A22" t="s">
        <v>1093</v>
      </c>
      <c r="B22" t="s">
        <v>1094</v>
      </c>
      <c r="C22" t="s">
        <v>42</v>
      </c>
      <c r="D22" t="s">
        <v>389</v>
      </c>
      <c r="E22" t="str">
        <f t="shared" si="7"/>
        <v/>
      </c>
      <c r="F22">
        <v>2</v>
      </c>
      <c r="G22">
        <v>100</v>
      </c>
      <c r="H22" s="3">
        <v>256</v>
      </c>
      <c r="I22" s="3" t="e">
        <f>_xlfn.NUMBERVALUE(#REF!)</f>
        <v>#REF!</v>
      </c>
      <c r="J22" t="s">
        <v>114</v>
      </c>
      <c r="K22" t="s">
        <v>1094</v>
      </c>
      <c r="L22" t="s">
        <v>1095</v>
      </c>
      <c r="M22" t="s">
        <v>111</v>
      </c>
      <c r="N22" t="s">
        <v>111</v>
      </c>
      <c r="O22" t="s">
        <v>111</v>
      </c>
      <c r="P22" t="s">
        <v>111</v>
      </c>
      <c r="Q22" t="s">
        <v>392</v>
      </c>
      <c r="R22" t="str">
        <f t="shared" si="8"/>
        <v/>
      </c>
      <c r="S22" t="s">
        <v>393</v>
      </c>
      <c r="T22" t="s">
        <v>127</v>
      </c>
      <c r="U22" t="s">
        <v>117</v>
      </c>
      <c r="V22" t="s">
        <v>139</v>
      </c>
      <c r="W22" s="4">
        <v>5</v>
      </c>
      <c r="X22">
        <v>5</v>
      </c>
      <c r="Y22">
        <v>5</v>
      </c>
      <c r="Z22">
        <v>5</v>
      </c>
      <c r="AA22">
        <v>4</v>
      </c>
      <c r="AB22">
        <v>4</v>
      </c>
      <c r="AC22">
        <v>5</v>
      </c>
      <c r="AD22">
        <v>4</v>
      </c>
      <c r="AE22">
        <v>3</v>
      </c>
      <c r="AF22">
        <f t="shared" si="3"/>
        <v>1</v>
      </c>
      <c r="AG22" t="s">
        <v>140</v>
      </c>
      <c r="AH22">
        <f t="shared" si="4"/>
        <v>1</v>
      </c>
      <c r="AI22" t="s">
        <v>141</v>
      </c>
      <c r="AJ22">
        <f t="shared" si="5"/>
        <v>0</v>
      </c>
      <c r="AK22" t="s">
        <v>280</v>
      </c>
      <c r="AL22">
        <f t="shared" si="6"/>
        <v>2</v>
      </c>
      <c r="AM22">
        <v>5</v>
      </c>
      <c r="AN22">
        <v>5</v>
      </c>
      <c r="AO22">
        <v>4</v>
      </c>
      <c r="AP22">
        <v>4</v>
      </c>
      <c r="AQ22">
        <v>4</v>
      </c>
      <c r="AR22">
        <v>5</v>
      </c>
      <c r="AS22">
        <v>8</v>
      </c>
      <c r="AT22" t="s">
        <v>1096</v>
      </c>
      <c r="AU22" t="s">
        <v>1328</v>
      </c>
    </row>
    <row r="23" spans="1:47" x14ac:dyDescent="0.25">
      <c r="A23" t="s">
        <v>963</v>
      </c>
      <c r="B23" t="s">
        <v>964</v>
      </c>
      <c r="C23" t="s">
        <v>42</v>
      </c>
      <c r="D23" t="s">
        <v>453</v>
      </c>
      <c r="E23" t="str">
        <f t="shared" si="7"/>
        <v>Unique</v>
      </c>
      <c r="F23">
        <v>2</v>
      </c>
      <c r="G23">
        <v>100</v>
      </c>
      <c r="H23" s="3">
        <v>85</v>
      </c>
      <c r="I23" s="3" t="e">
        <f>_xlfn.NUMBERVALUE(#REF!)</f>
        <v>#REF!</v>
      </c>
      <c r="J23" t="s">
        <v>114</v>
      </c>
      <c r="K23" t="s">
        <v>964</v>
      </c>
      <c r="L23" t="s">
        <v>965</v>
      </c>
      <c r="M23" t="s">
        <v>111</v>
      </c>
      <c r="N23" t="s">
        <v>111</v>
      </c>
      <c r="O23" t="s">
        <v>111</v>
      </c>
      <c r="P23" t="s">
        <v>111</v>
      </c>
      <c r="Q23" t="s">
        <v>115</v>
      </c>
      <c r="R23" t="str">
        <f t="shared" si="8"/>
        <v/>
      </c>
      <c r="S23" t="s">
        <v>116</v>
      </c>
      <c r="T23" t="s">
        <v>487</v>
      </c>
      <c r="U23" t="s">
        <v>117</v>
      </c>
      <c r="V23" t="s">
        <v>966</v>
      </c>
      <c r="W23" s="4">
        <v>5</v>
      </c>
      <c r="X23">
        <v>4</v>
      </c>
      <c r="Y23">
        <v>1</v>
      </c>
      <c r="Z23">
        <v>5</v>
      </c>
      <c r="AA23">
        <v>1</v>
      </c>
      <c r="AB23">
        <v>5</v>
      </c>
      <c r="AC23">
        <v>5</v>
      </c>
      <c r="AD23">
        <v>1</v>
      </c>
      <c r="AE23">
        <v>3</v>
      </c>
      <c r="AF23">
        <f t="shared" si="3"/>
        <v>1</v>
      </c>
      <c r="AG23" t="s">
        <v>140</v>
      </c>
      <c r="AH23">
        <f t="shared" si="4"/>
        <v>1</v>
      </c>
      <c r="AI23" t="s">
        <v>175</v>
      </c>
      <c r="AJ23">
        <f t="shared" si="5"/>
        <v>1</v>
      </c>
      <c r="AK23" t="s">
        <v>186</v>
      </c>
      <c r="AL23">
        <f t="shared" si="6"/>
        <v>3</v>
      </c>
      <c r="AM23">
        <v>4</v>
      </c>
      <c r="AN23">
        <v>2</v>
      </c>
      <c r="AO23">
        <v>2</v>
      </c>
      <c r="AP23">
        <v>1</v>
      </c>
      <c r="AQ23">
        <v>4</v>
      </c>
      <c r="AR23">
        <v>5</v>
      </c>
      <c r="AS23">
        <v>9</v>
      </c>
      <c r="AT23" t="s">
        <v>111</v>
      </c>
    </row>
    <row r="24" spans="1:47" x14ac:dyDescent="0.25">
      <c r="A24" t="s">
        <v>1179</v>
      </c>
      <c r="B24" t="s">
        <v>1180</v>
      </c>
      <c r="C24" t="s">
        <v>42</v>
      </c>
      <c r="D24" t="s">
        <v>389</v>
      </c>
      <c r="E24" t="str">
        <f t="shared" si="7"/>
        <v/>
      </c>
      <c r="F24">
        <v>2</v>
      </c>
      <c r="G24">
        <v>100</v>
      </c>
      <c r="H24" s="3">
        <v>96</v>
      </c>
      <c r="I24" s="3" t="e">
        <f>_xlfn.NUMBERVALUE(#REF!)</f>
        <v>#REF!</v>
      </c>
      <c r="J24" t="s">
        <v>114</v>
      </c>
      <c r="K24" t="s">
        <v>1181</v>
      </c>
      <c r="L24" t="s">
        <v>1182</v>
      </c>
      <c r="M24" t="s">
        <v>111</v>
      </c>
      <c r="N24" t="s">
        <v>111</v>
      </c>
      <c r="O24" t="s">
        <v>111</v>
      </c>
      <c r="P24" t="s">
        <v>111</v>
      </c>
      <c r="Q24" t="s">
        <v>392</v>
      </c>
      <c r="R24" t="str">
        <f t="shared" si="8"/>
        <v/>
      </c>
      <c r="S24" t="s">
        <v>393</v>
      </c>
      <c r="T24" t="s">
        <v>127</v>
      </c>
      <c r="U24" t="s">
        <v>117</v>
      </c>
      <c r="V24" t="s">
        <v>1183</v>
      </c>
      <c r="W24" s="4">
        <v>5</v>
      </c>
      <c r="X24">
        <v>4</v>
      </c>
      <c r="Y24">
        <v>4</v>
      </c>
      <c r="Z24">
        <v>5</v>
      </c>
      <c r="AA24">
        <v>3</v>
      </c>
      <c r="AB24">
        <v>4</v>
      </c>
      <c r="AC24">
        <v>5</v>
      </c>
      <c r="AD24">
        <v>3</v>
      </c>
      <c r="AE24">
        <v>4</v>
      </c>
      <c r="AF24">
        <f t="shared" si="3"/>
        <v>0</v>
      </c>
      <c r="AG24" t="s">
        <v>140</v>
      </c>
      <c r="AH24">
        <f t="shared" si="4"/>
        <v>1</v>
      </c>
      <c r="AI24" t="s">
        <v>175</v>
      </c>
      <c r="AJ24">
        <f t="shared" si="5"/>
        <v>1</v>
      </c>
      <c r="AK24" t="s">
        <v>167</v>
      </c>
      <c r="AL24">
        <f t="shared" si="6"/>
        <v>3</v>
      </c>
      <c r="AM24">
        <v>4</v>
      </c>
      <c r="AN24">
        <v>3</v>
      </c>
      <c r="AO24">
        <v>4</v>
      </c>
      <c r="AP24">
        <v>1</v>
      </c>
      <c r="AQ24">
        <v>4</v>
      </c>
      <c r="AR24">
        <v>4</v>
      </c>
      <c r="AS24">
        <v>9</v>
      </c>
      <c r="AT24" t="s">
        <v>111</v>
      </c>
    </row>
    <row r="25" spans="1:47" x14ac:dyDescent="0.25">
      <c r="A25" t="s">
        <v>1101</v>
      </c>
      <c r="B25" t="s">
        <v>1102</v>
      </c>
      <c r="C25" t="s">
        <v>42</v>
      </c>
      <c r="D25" t="s">
        <v>843</v>
      </c>
      <c r="E25" t="str">
        <f t="shared" si="7"/>
        <v>Unique</v>
      </c>
      <c r="F25">
        <v>2</v>
      </c>
      <c r="G25">
        <v>100</v>
      </c>
      <c r="H25" s="3">
        <v>90</v>
      </c>
      <c r="I25" s="3" t="e">
        <f>_xlfn.NUMBERVALUE(#REF!)</f>
        <v>#REF!</v>
      </c>
      <c r="J25" t="s">
        <v>114</v>
      </c>
      <c r="K25" t="s">
        <v>1102</v>
      </c>
      <c r="L25" t="s">
        <v>1103</v>
      </c>
      <c r="M25" t="s">
        <v>111</v>
      </c>
      <c r="N25" t="s">
        <v>111</v>
      </c>
      <c r="O25" t="s">
        <v>111</v>
      </c>
      <c r="P25" t="s">
        <v>111</v>
      </c>
      <c r="Q25" t="s">
        <v>229</v>
      </c>
      <c r="R25" t="str">
        <f t="shared" si="8"/>
        <v>Unique</v>
      </c>
      <c r="S25" t="s">
        <v>230</v>
      </c>
      <c r="T25" t="s">
        <v>127</v>
      </c>
      <c r="U25" t="s">
        <v>117</v>
      </c>
      <c r="V25" t="s">
        <v>1104</v>
      </c>
      <c r="W25" s="4">
        <v>5</v>
      </c>
      <c r="X25">
        <v>5</v>
      </c>
      <c r="Y25">
        <v>4</v>
      </c>
      <c r="Z25">
        <v>5</v>
      </c>
      <c r="AA25">
        <v>4</v>
      </c>
      <c r="AB25">
        <v>5</v>
      </c>
      <c r="AC25">
        <v>5</v>
      </c>
      <c r="AD25">
        <v>3</v>
      </c>
      <c r="AE25">
        <v>3</v>
      </c>
      <c r="AF25">
        <f t="shared" si="3"/>
        <v>1</v>
      </c>
      <c r="AG25" t="s">
        <v>154</v>
      </c>
      <c r="AH25">
        <f t="shared" si="4"/>
        <v>0</v>
      </c>
      <c r="AI25" t="s">
        <v>131</v>
      </c>
      <c r="AJ25">
        <f t="shared" si="5"/>
        <v>0</v>
      </c>
      <c r="AK25" t="s">
        <v>186</v>
      </c>
      <c r="AL25">
        <f t="shared" si="6"/>
        <v>3</v>
      </c>
      <c r="AM25">
        <v>5</v>
      </c>
      <c r="AN25">
        <v>5</v>
      </c>
      <c r="AO25">
        <v>3</v>
      </c>
      <c r="AP25">
        <v>3</v>
      </c>
      <c r="AQ25">
        <v>4</v>
      </c>
      <c r="AR25">
        <v>5</v>
      </c>
      <c r="AS25">
        <v>9</v>
      </c>
      <c r="AT25" t="s">
        <v>111</v>
      </c>
    </row>
    <row r="26" spans="1:47" x14ac:dyDescent="0.25">
      <c r="A26" t="s">
        <v>1146</v>
      </c>
      <c r="B26" t="s">
        <v>1147</v>
      </c>
      <c r="C26" t="s">
        <v>42</v>
      </c>
      <c r="D26" t="s">
        <v>190</v>
      </c>
      <c r="E26" t="str">
        <f t="shared" si="7"/>
        <v/>
      </c>
      <c r="F26">
        <v>2</v>
      </c>
      <c r="G26">
        <v>100</v>
      </c>
      <c r="H26" s="3">
        <v>76</v>
      </c>
      <c r="I26" s="3" t="e">
        <f>_xlfn.NUMBERVALUE(#REF!)</f>
        <v>#REF!</v>
      </c>
      <c r="J26" t="s">
        <v>114</v>
      </c>
      <c r="K26" t="s">
        <v>1148</v>
      </c>
      <c r="L26" t="s">
        <v>1149</v>
      </c>
      <c r="M26" t="s">
        <v>111</v>
      </c>
      <c r="N26" t="s">
        <v>111</v>
      </c>
      <c r="O26" t="s">
        <v>111</v>
      </c>
      <c r="P26" t="s">
        <v>111</v>
      </c>
      <c r="Q26" t="s">
        <v>193</v>
      </c>
      <c r="R26" t="str">
        <f t="shared" si="8"/>
        <v/>
      </c>
      <c r="S26" t="s">
        <v>194</v>
      </c>
      <c r="T26" t="s">
        <v>127</v>
      </c>
      <c r="U26" t="s">
        <v>117</v>
      </c>
      <c r="V26" t="s">
        <v>297</v>
      </c>
      <c r="W26" s="4">
        <v>4</v>
      </c>
      <c r="X26">
        <v>4</v>
      </c>
      <c r="Y26">
        <v>3</v>
      </c>
      <c r="Z26">
        <v>3</v>
      </c>
      <c r="AA26">
        <v>2</v>
      </c>
      <c r="AB26">
        <v>3</v>
      </c>
      <c r="AC26">
        <v>4</v>
      </c>
      <c r="AD26">
        <v>2</v>
      </c>
      <c r="AE26">
        <v>4</v>
      </c>
      <c r="AF26">
        <f t="shared" si="3"/>
        <v>0</v>
      </c>
      <c r="AG26" t="s">
        <v>525</v>
      </c>
      <c r="AH26">
        <f t="shared" si="4"/>
        <v>0</v>
      </c>
      <c r="AI26" t="s">
        <v>141</v>
      </c>
      <c r="AJ26">
        <f t="shared" si="5"/>
        <v>0</v>
      </c>
      <c r="AK26" t="s">
        <v>280</v>
      </c>
      <c r="AL26">
        <f t="shared" si="6"/>
        <v>2</v>
      </c>
      <c r="AM26">
        <v>4</v>
      </c>
      <c r="AN26">
        <v>2</v>
      </c>
      <c r="AO26">
        <v>2</v>
      </c>
      <c r="AP26">
        <v>2</v>
      </c>
      <c r="AQ26">
        <v>3</v>
      </c>
      <c r="AR26">
        <v>4</v>
      </c>
      <c r="AS26">
        <v>7</v>
      </c>
      <c r="AT26" t="s">
        <v>111</v>
      </c>
    </row>
    <row r="27" spans="1:47" x14ac:dyDescent="0.25">
      <c r="A27" t="s">
        <v>1193</v>
      </c>
      <c r="B27" t="s">
        <v>1194</v>
      </c>
      <c r="C27" t="s">
        <v>42</v>
      </c>
      <c r="D27" t="s">
        <v>1195</v>
      </c>
      <c r="E27" t="str">
        <f t="shared" si="7"/>
        <v>Unique</v>
      </c>
      <c r="F27">
        <v>2</v>
      </c>
      <c r="G27">
        <v>100</v>
      </c>
      <c r="H27" s="3">
        <v>82</v>
      </c>
      <c r="I27" s="3" t="e">
        <f>_xlfn.NUMBERVALUE(#REF!)</f>
        <v>#REF!</v>
      </c>
      <c r="J27" t="s">
        <v>114</v>
      </c>
      <c r="K27" t="s">
        <v>1194</v>
      </c>
      <c r="L27" t="s">
        <v>1196</v>
      </c>
      <c r="M27" t="s">
        <v>111</v>
      </c>
      <c r="N27" t="s">
        <v>111</v>
      </c>
      <c r="O27" t="s">
        <v>111</v>
      </c>
      <c r="P27" t="s">
        <v>111</v>
      </c>
      <c r="Q27" t="s">
        <v>214</v>
      </c>
      <c r="R27" t="str">
        <f t="shared" si="8"/>
        <v>Unique</v>
      </c>
      <c r="S27" t="s">
        <v>215</v>
      </c>
      <c r="T27" t="s">
        <v>127</v>
      </c>
      <c r="U27" t="s">
        <v>117</v>
      </c>
      <c r="V27" t="s">
        <v>1197</v>
      </c>
      <c r="W27" s="4">
        <v>4</v>
      </c>
      <c r="X27">
        <v>4</v>
      </c>
      <c r="Y27">
        <v>5</v>
      </c>
      <c r="Z27">
        <v>5</v>
      </c>
      <c r="AA27">
        <v>2</v>
      </c>
      <c r="AB27">
        <v>2</v>
      </c>
      <c r="AC27">
        <v>5</v>
      </c>
      <c r="AD27">
        <v>3</v>
      </c>
      <c r="AE27">
        <v>5</v>
      </c>
      <c r="AF27">
        <f t="shared" si="3"/>
        <v>0</v>
      </c>
      <c r="AG27" t="s">
        <v>154</v>
      </c>
      <c r="AH27">
        <f t="shared" si="4"/>
        <v>0</v>
      </c>
      <c r="AI27" t="s">
        <v>155</v>
      </c>
      <c r="AJ27">
        <f t="shared" si="5"/>
        <v>0</v>
      </c>
      <c r="AK27" t="s">
        <v>327</v>
      </c>
      <c r="AL27">
        <f t="shared" si="6"/>
        <v>1</v>
      </c>
      <c r="AM27">
        <v>5</v>
      </c>
      <c r="AN27">
        <v>4</v>
      </c>
      <c r="AO27">
        <v>5</v>
      </c>
      <c r="AP27">
        <v>5</v>
      </c>
      <c r="AQ27">
        <v>5</v>
      </c>
      <c r="AR27">
        <v>5</v>
      </c>
      <c r="AS27">
        <v>9</v>
      </c>
      <c r="AT27" t="s">
        <v>111</v>
      </c>
    </row>
    <row r="28" spans="1:47" x14ac:dyDescent="0.25">
      <c r="A28" t="s">
        <v>1246</v>
      </c>
      <c r="B28" t="s">
        <v>1247</v>
      </c>
      <c r="C28" t="s">
        <v>42</v>
      </c>
      <c r="D28" t="s">
        <v>389</v>
      </c>
      <c r="E28" t="str">
        <f t="shared" si="7"/>
        <v/>
      </c>
      <c r="F28">
        <v>2</v>
      </c>
      <c r="G28">
        <v>100</v>
      </c>
      <c r="H28" s="3">
        <v>259</v>
      </c>
      <c r="I28" s="3" t="e">
        <f>_xlfn.NUMBERVALUE(#REF!)</f>
        <v>#REF!</v>
      </c>
      <c r="J28" t="s">
        <v>114</v>
      </c>
      <c r="K28" t="s">
        <v>1247</v>
      </c>
      <c r="L28" t="s">
        <v>1248</v>
      </c>
      <c r="M28" t="s">
        <v>111</v>
      </c>
      <c r="N28" t="s">
        <v>111</v>
      </c>
      <c r="O28" t="s">
        <v>111</v>
      </c>
      <c r="P28" t="s">
        <v>111</v>
      </c>
      <c r="Q28" t="s">
        <v>392</v>
      </c>
      <c r="R28" t="str">
        <f t="shared" si="8"/>
        <v/>
      </c>
      <c r="S28" t="s">
        <v>393</v>
      </c>
      <c r="T28" t="s">
        <v>127</v>
      </c>
      <c r="U28" t="s">
        <v>117</v>
      </c>
      <c r="V28" t="s">
        <v>1249</v>
      </c>
      <c r="W28" s="4">
        <v>5</v>
      </c>
      <c r="X28">
        <v>5</v>
      </c>
      <c r="Y28">
        <v>4</v>
      </c>
      <c r="Z28">
        <v>4</v>
      </c>
      <c r="AA28">
        <v>3</v>
      </c>
      <c r="AB28">
        <v>4</v>
      </c>
      <c r="AD28">
        <v>3</v>
      </c>
      <c r="AE28">
        <v>3</v>
      </c>
      <c r="AF28">
        <f t="shared" si="3"/>
        <v>1</v>
      </c>
      <c r="AG28" t="s">
        <v>525</v>
      </c>
      <c r="AH28">
        <f t="shared" si="4"/>
        <v>0</v>
      </c>
      <c r="AI28" t="s">
        <v>111</v>
      </c>
      <c r="AJ28">
        <f t="shared" si="5"/>
        <v>0</v>
      </c>
      <c r="AK28" t="s">
        <v>142</v>
      </c>
      <c r="AL28">
        <f t="shared" si="6"/>
        <v>2</v>
      </c>
      <c r="AM28">
        <v>5</v>
      </c>
      <c r="AN28">
        <v>5</v>
      </c>
      <c r="AO28">
        <v>5</v>
      </c>
      <c r="AP28">
        <v>5</v>
      </c>
      <c r="AQ28">
        <v>5</v>
      </c>
      <c r="AR28">
        <v>5</v>
      </c>
      <c r="AS28">
        <v>10</v>
      </c>
      <c r="AT28" t="s">
        <v>1250</v>
      </c>
      <c r="AU28" t="s">
        <v>1330</v>
      </c>
    </row>
    <row r="29" spans="1:47" x14ac:dyDescent="0.25">
      <c r="A29" t="s">
        <v>1078</v>
      </c>
      <c r="B29" t="s">
        <v>1079</v>
      </c>
      <c r="C29" t="s">
        <v>42</v>
      </c>
      <c r="D29" t="s">
        <v>389</v>
      </c>
      <c r="E29" t="str">
        <f t="shared" si="7"/>
        <v/>
      </c>
      <c r="F29">
        <v>2</v>
      </c>
      <c r="G29">
        <v>100</v>
      </c>
      <c r="H29" s="3">
        <v>3436</v>
      </c>
      <c r="I29" s="3" t="e">
        <f>_xlfn.NUMBERVALUE(#REF!)</f>
        <v>#REF!</v>
      </c>
      <c r="J29" t="s">
        <v>114</v>
      </c>
      <c r="K29" t="s">
        <v>1079</v>
      </c>
      <c r="L29" t="s">
        <v>1080</v>
      </c>
      <c r="M29" t="s">
        <v>111</v>
      </c>
      <c r="N29" t="s">
        <v>111</v>
      </c>
      <c r="O29" t="s">
        <v>111</v>
      </c>
      <c r="P29" t="s">
        <v>111</v>
      </c>
      <c r="Q29" t="s">
        <v>392</v>
      </c>
      <c r="R29" t="str">
        <f t="shared" si="8"/>
        <v/>
      </c>
      <c r="S29" t="s">
        <v>393</v>
      </c>
      <c r="T29" t="s">
        <v>487</v>
      </c>
      <c r="U29" t="s">
        <v>117</v>
      </c>
      <c r="V29" t="s">
        <v>748</v>
      </c>
      <c r="W29" s="4">
        <v>5</v>
      </c>
      <c r="X29">
        <v>5</v>
      </c>
      <c r="Y29">
        <v>5</v>
      </c>
      <c r="Z29">
        <v>5</v>
      </c>
      <c r="AA29">
        <v>4</v>
      </c>
      <c r="AB29">
        <v>3</v>
      </c>
      <c r="AC29">
        <v>5</v>
      </c>
      <c r="AD29">
        <v>2</v>
      </c>
      <c r="AE29">
        <v>3</v>
      </c>
      <c r="AF29">
        <f t="shared" si="3"/>
        <v>1</v>
      </c>
      <c r="AG29" t="s">
        <v>140</v>
      </c>
      <c r="AH29">
        <f t="shared" si="4"/>
        <v>1</v>
      </c>
      <c r="AI29" t="s">
        <v>131</v>
      </c>
      <c r="AJ29">
        <f t="shared" si="5"/>
        <v>0</v>
      </c>
      <c r="AK29" t="s">
        <v>280</v>
      </c>
      <c r="AL29">
        <f t="shared" si="6"/>
        <v>2</v>
      </c>
      <c r="AM29">
        <v>4</v>
      </c>
      <c r="AN29">
        <v>4</v>
      </c>
      <c r="AO29">
        <v>2</v>
      </c>
      <c r="AP29">
        <v>3</v>
      </c>
      <c r="AQ29">
        <v>5</v>
      </c>
      <c r="AR29">
        <v>4</v>
      </c>
      <c r="AS29">
        <v>10</v>
      </c>
      <c r="AT29" t="s">
        <v>1081</v>
      </c>
      <c r="AU29" t="s">
        <v>1328</v>
      </c>
    </row>
    <row r="30" spans="1:47" x14ac:dyDescent="0.25">
      <c r="A30" t="s">
        <v>1004</v>
      </c>
      <c r="B30" t="s">
        <v>1005</v>
      </c>
      <c r="C30" t="s">
        <v>42</v>
      </c>
      <c r="D30" t="s">
        <v>1006</v>
      </c>
      <c r="E30" t="str">
        <f t="shared" si="7"/>
        <v>Unique</v>
      </c>
      <c r="F30">
        <v>2</v>
      </c>
      <c r="G30">
        <v>100</v>
      </c>
      <c r="H30" s="3">
        <v>109</v>
      </c>
      <c r="I30" s="3" t="e">
        <f>_xlfn.NUMBERVALUE(#REF!)</f>
        <v>#REF!</v>
      </c>
      <c r="J30" t="s">
        <v>114</v>
      </c>
      <c r="K30" t="s">
        <v>1007</v>
      </c>
      <c r="L30" t="s">
        <v>1008</v>
      </c>
      <c r="M30" t="s">
        <v>111</v>
      </c>
      <c r="N30" t="s">
        <v>111</v>
      </c>
      <c r="O30" t="s">
        <v>111</v>
      </c>
      <c r="P30" t="s">
        <v>111</v>
      </c>
      <c r="Q30" t="s">
        <v>351</v>
      </c>
      <c r="R30" t="str">
        <f t="shared" si="8"/>
        <v/>
      </c>
      <c r="S30" t="s">
        <v>352</v>
      </c>
      <c r="T30" t="s">
        <v>487</v>
      </c>
      <c r="U30" t="s">
        <v>117</v>
      </c>
      <c r="V30" t="s">
        <v>319</v>
      </c>
      <c r="W30" s="4">
        <v>5</v>
      </c>
      <c r="X30">
        <v>5</v>
      </c>
      <c r="Y30">
        <v>4</v>
      </c>
      <c r="Z30">
        <v>4</v>
      </c>
      <c r="AA30">
        <v>5</v>
      </c>
      <c r="AB30">
        <v>5</v>
      </c>
      <c r="AC30">
        <v>5</v>
      </c>
      <c r="AD30">
        <v>4</v>
      </c>
      <c r="AE30">
        <v>3</v>
      </c>
      <c r="AF30">
        <f t="shared" si="3"/>
        <v>1</v>
      </c>
      <c r="AG30" t="s">
        <v>140</v>
      </c>
      <c r="AH30">
        <f t="shared" si="4"/>
        <v>1</v>
      </c>
      <c r="AI30" t="s">
        <v>175</v>
      </c>
      <c r="AJ30">
        <f t="shared" si="5"/>
        <v>1</v>
      </c>
      <c r="AK30" t="s">
        <v>142</v>
      </c>
      <c r="AL30">
        <f t="shared" si="6"/>
        <v>2</v>
      </c>
      <c r="AM30">
        <v>2</v>
      </c>
      <c r="AN30">
        <v>3</v>
      </c>
      <c r="AO30">
        <v>2</v>
      </c>
      <c r="AP30">
        <v>1</v>
      </c>
      <c r="AQ30">
        <v>2</v>
      </c>
      <c r="AR30">
        <v>3</v>
      </c>
      <c r="AS30">
        <v>8</v>
      </c>
      <c r="AT30" t="s">
        <v>1009</v>
      </c>
      <c r="AU30" t="s">
        <v>1337</v>
      </c>
    </row>
    <row r="31" spans="1:47" x14ac:dyDescent="0.25">
      <c r="A31" t="s">
        <v>976</v>
      </c>
      <c r="B31" t="s">
        <v>977</v>
      </c>
      <c r="C31" t="s">
        <v>42</v>
      </c>
      <c r="D31" t="s">
        <v>601</v>
      </c>
      <c r="E31" t="str">
        <f t="shared" si="7"/>
        <v>Unique</v>
      </c>
      <c r="F31">
        <v>2</v>
      </c>
      <c r="G31">
        <v>100</v>
      </c>
      <c r="H31" s="3">
        <v>94</v>
      </c>
      <c r="I31" s="3" t="e">
        <f>_xlfn.NUMBERVALUE(#REF!)</f>
        <v>#REF!</v>
      </c>
      <c r="J31" t="s">
        <v>114</v>
      </c>
      <c r="K31" t="s">
        <v>977</v>
      </c>
      <c r="L31" t="s">
        <v>978</v>
      </c>
      <c r="M31" t="s">
        <v>111</v>
      </c>
      <c r="N31" t="s">
        <v>111</v>
      </c>
      <c r="O31" t="s">
        <v>111</v>
      </c>
      <c r="P31" t="s">
        <v>111</v>
      </c>
      <c r="Q31" t="s">
        <v>351</v>
      </c>
      <c r="R31" t="str">
        <f t="shared" si="8"/>
        <v/>
      </c>
      <c r="S31" t="s">
        <v>352</v>
      </c>
      <c r="T31" t="s">
        <v>487</v>
      </c>
      <c r="U31" t="s">
        <v>117</v>
      </c>
      <c r="V31" t="s">
        <v>604</v>
      </c>
      <c r="W31" s="4">
        <v>5</v>
      </c>
      <c r="X31">
        <v>5</v>
      </c>
      <c r="Y31">
        <v>5</v>
      </c>
      <c r="Z31">
        <v>5</v>
      </c>
      <c r="AA31">
        <v>5</v>
      </c>
      <c r="AB31">
        <v>5</v>
      </c>
      <c r="AC31">
        <v>5</v>
      </c>
      <c r="AD31">
        <v>2</v>
      </c>
      <c r="AE31">
        <v>5</v>
      </c>
      <c r="AF31">
        <f t="shared" si="3"/>
        <v>0</v>
      </c>
      <c r="AG31" t="s">
        <v>140</v>
      </c>
      <c r="AH31">
        <f t="shared" si="4"/>
        <v>1</v>
      </c>
      <c r="AI31" t="s">
        <v>155</v>
      </c>
      <c r="AJ31">
        <f t="shared" si="5"/>
        <v>0</v>
      </c>
      <c r="AK31" t="s">
        <v>167</v>
      </c>
      <c r="AL31">
        <f t="shared" si="6"/>
        <v>3</v>
      </c>
      <c r="AM31">
        <v>5</v>
      </c>
      <c r="AN31">
        <v>5</v>
      </c>
      <c r="AO31">
        <v>5</v>
      </c>
      <c r="AP31">
        <v>5</v>
      </c>
      <c r="AQ31">
        <v>5</v>
      </c>
      <c r="AR31">
        <v>5</v>
      </c>
      <c r="AS31">
        <v>10</v>
      </c>
      <c r="AT31" t="s">
        <v>979</v>
      </c>
      <c r="AU31" t="s">
        <v>1330</v>
      </c>
    </row>
    <row r="32" spans="1:47" x14ac:dyDescent="0.25">
      <c r="A32" t="s">
        <v>1150</v>
      </c>
      <c r="B32" t="s">
        <v>1151</v>
      </c>
      <c r="C32" t="s">
        <v>42</v>
      </c>
      <c r="D32" t="s">
        <v>1152</v>
      </c>
      <c r="E32" t="str">
        <f t="shared" si="7"/>
        <v>Unique</v>
      </c>
      <c r="F32">
        <v>2</v>
      </c>
      <c r="G32">
        <v>100</v>
      </c>
      <c r="H32" s="3">
        <v>229</v>
      </c>
      <c r="I32" s="3" t="e">
        <f>_xlfn.NUMBERVALUE(#REF!)</f>
        <v>#REF!</v>
      </c>
      <c r="J32" t="s">
        <v>114</v>
      </c>
      <c r="K32" t="s">
        <v>1151</v>
      </c>
      <c r="L32" t="s">
        <v>1153</v>
      </c>
      <c r="M32" t="s">
        <v>111</v>
      </c>
      <c r="N32" t="s">
        <v>111</v>
      </c>
      <c r="O32" t="s">
        <v>111</v>
      </c>
      <c r="P32" t="s">
        <v>111</v>
      </c>
      <c r="Q32" t="s">
        <v>1154</v>
      </c>
      <c r="R32" t="str">
        <f t="shared" si="8"/>
        <v/>
      </c>
      <c r="S32" t="s">
        <v>1155</v>
      </c>
      <c r="T32" t="s">
        <v>127</v>
      </c>
      <c r="U32" t="s">
        <v>117</v>
      </c>
      <c r="V32" t="s">
        <v>1156</v>
      </c>
      <c r="W32" s="4">
        <v>5</v>
      </c>
      <c r="X32">
        <v>5</v>
      </c>
      <c r="Y32">
        <v>5</v>
      </c>
      <c r="Z32">
        <v>5</v>
      </c>
      <c r="AA32">
        <v>5</v>
      </c>
      <c r="AB32">
        <v>5</v>
      </c>
      <c r="AC32">
        <v>5</v>
      </c>
      <c r="AD32">
        <v>5</v>
      </c>
      <c r="AE32">
        <v>3</v>
      </c>
      <c r="AF32">
        <f t="shared" si="3"/>
        <v>1</v>
      </c>
      <c r="AG32" t="s">
        <v>140</v>
      </c>
      <c r="AH32">
        <f t="shared" si="4"/>
        <v>1</v>
      </c>
      <c r="AI32" t="s">
        <v>155</v>
      </c>
      <c r="AJ32">
        <f t="shared" si="5"/>
        <v>0</v>
      </c>
      <c r="AK32" t="s">
        <v>186</v>
      </c>
      <c r="AL32">
        <f t="shared" si="6"/>
        <v>3</v>
      </c>
      <c r="AM32">
        <v>5</v>
      </c>
      <c r="AN32">
        <v>3</v>
      </c>
      <c r="AO32">
        <v>5</v>
      </c>
      <c r="AP32">
        <v>4</v>
      </c>
      <c r="AQ32">
        <v>5</v>
      </c>
      <c r="AR32">
        <v>5</v>
      </c>
      <c r="AS32">
        <v>9</v>
      </c>
      <c r="AT32" t="s">
        <v>111</v>
      </c>
    </row>
    <row r="33" spans="1:47" x14ac:dyDescent="0.25">
      <c r="A33" t="s">
        <v>958</v>
      </c>
      <c r="B33" t="s">
        <v>959</v>
      </c>
      <c r="C33" t="s">
        <v>42</v>
      </c>
      <c r="D33" t="s">
        <v>389</v>
      </c>
      <c r="E33" t="str">
        <f t="shared" si="7"/>
        <v/>
      </c>
      <c r="F33">
        <v>2</v>
      </c>
      <c r="G33">
        <v>100</v>
      </c>
      <c r="H33" s="3">
        <v>113</v>
      </c>
      <c r="I33" s="3" t="e">
        <f>_xlfn.NUMBERVALUE(#REF!)</f>
        <v>#REF!</v>
      </c>
      <c r="J33" t="s">
        <v>114</v>
      </c>
      <c r="K33" t="s">
        <v>960</v>
      </c>
      <c r="L33" t="s">
        <v>961</v>
      </c>
      <c r="M33" t="s">
        <v>111</v>
      </c>
      <c r="N33" t="s">
        <v>111</v>
      </c>
      <c r="O33" t="s">
        <v>111</v>
      </c>
      <c r="P33" t="s">
        <v>111</v>
      </c>
      <c r="Q33" t="s">
        <v>392</v>
      </c>
      <c r="R33" t="str">
        <f t="shared" si="8"/>
        <v/>
      </c>
      <c r="S33" t="s">
        <v>393</v>
      </c>
      <c r="T33" t="s">
        <v>487</v>
      </c>
      <c r="U33" t="s">
        <v>117</v>
      </c>
      <c r="V33" t="s">
        <v>616</v>
      </c>
      <c r="W33" s="4">
        <v>3</v>
      </c>
      <c r="X33">
        <v>2</v>
      </c>
      <c r="Y33">
        <v>2</v>
      </c>
      <c r="Z33">
        <v>4</v>
      </c>
      <c r="AA33">
        <v>1</v>
      </c>
      <c r="AB33">
        <v>4</v>
      </c>
      <c r="AC33">
        <v>5</v>
      </c>
      <c r="AD33">
        <v>1</v>
      </c>
      <c r="AE33">
        <v>3</v>
      </c>
      <c r="AF33">
        <f t="shared" si="3"/>
        <v>1</v>
      </c>
      <c r="AG33" t="s">
        <v>140</v>
      </c>
      <c r="AH33">
        <f t="shared" si="4"/>
        <v>1</v>
      </c>
      <c r="AI33" t="s">
        <v>155</v>
      </c>
      <c r="AJ33">
        <f t="shared" si="5"/>
        <v>0</v>
      </c>
      <c r="AK33" t="s">
        <v>167</v>
      </c>
      <c r="AL33">
        <f t="shared" si="6"/>
        <v>3</v>
      </c>
      <c r="AM33">
        <v>4</v>
      </c>
      <c r="AN33">
        <v>3</v>
      </c>
      <c r="AO33">
        <v>4</v>
      </c>
      <c r="AP33">
        <v>1</v>
      </c>
      <c r="AQ33">
        <v>4</v>
      </c>
      <c r="AR33">
        <v>5</v>
      </c>
      <c r="AS33">
        <v>8</v>
      </c>
      <c r="AT33" t="s">
        <v>962</v>
      </c>
      <c r="AU33" t="s">
        <v>1337</v>
      </c>
    </row>
    <row r="34" spans="1:47" x14ac:dyDescent="0.25">
      <c r="A34" t="s">
        <v>984</v>
      </c>
      <c r="B34" t="s">
        <v>1047</v>
      </c>
      <c r="C34" t="s">
        <v>42</v>
      </c>
      <c r="D34" t="s">
        <v>389</v>
      </c>
      <c r="E34" t="str">
        <f t="shared" si="7"/>
        <v/>
      </c>
      <c r="F34">
        <v>2</v>
      </c>
      <c r="G34">
        <v>100</v>
      </c>
      <c r="H34" s="3">
        <v>551</v>
      </c>
      <c r="I34" s="3" t="e">
        <f>_xlfn.NUMBERVALUE(#REF!)</f>
        <v>#REF!</v>
      </c>
      <c r="J34" t="s">
        <v>114</v>
      </c>
      <c r="K34" t="s">
        <v>1048</v>
      </c>
      <c r="L34" t="s">
        <v>1049</v>
      </c>
      <c r="M34" t="s">
        <v>111</v>
      </c>
      <c r="N34" t="s">
        <v>111</v>
      </c>
      <c r="O34" t="s">
        <v>111</v>
      </c>
      <c r="P34" t="s">
        <v>111</v>
      </c>
      <c r="Q34" t="s">
        <v>392</v>
      </c>
      <c r="R34" t="str">
        <f t="shared" si="8"/>
        <v/>
      </c>
      <c r="S34" t="s">
        <v>393</v>
      </c>
      <c r="T34" t="s">
        <v>487</v>
      </c>
      <c r="U34" t="s">
        <v>117</v>
      </c>
      <c r="V34" t="s">
        <v>128</v>
      </c>
      <c r="W34" s="4">
        <v>4</v>
      </c>
      <c r="X34">
        <v>5</v>
      </c>
      <c r="Y34">
        <v>4</v>
      </c>
      <c r="Z34">
        <v>5</v>
      </c>
      <c r="AA34">
        <v>3</v>
      </c>
      <c r="AB34">
        <v>3</v>
      </c>
      <c r="AC34">
        <v>5</v>
      </c>
      <c r="AD34">
        <v>2</v>
      </c>
      <c r="AE34">
        <v>3</v>
      </c>
      <c r="AF34">
        <f t="shared" si="3"/>
        <v>1</v>
      </c>
      <c r="AG34" t="s">
        <v>140</v>
      </c>
      <c r="AH34">
        <f t="shared" si="4"/>
        <v>1</v>
      </c>
      <c r="AI34" t="s">
        <v>175</v>
      </c>
      <c r="AJ34">
        <f t="shared" si="5"/>
        <v>1</v>
      </c>
      <c r="AK34" t="s">
        <v>402</v>
      </c>
      <c r="AL34">
        <f t="shared" si="6"/>
        <v>1</v>
      </c>
      <c r="AM34">
        <v>3</v>
      </c>
      <c r="AN34">
        <v>1</v>
      </c>
      <c r="AO34">
        <v>3</v>
      </c>
      <c r="AP34">
        <v>5</v>
      </c>
      <c r="AQ34">
        <v>5</v>
      </c>
      <c r="AR34">
        <v>5</v>
      </c>
      <c r="AS34">
        <v>8</v>
      </c>
      <c r="AT34" t="s">
        <v>1050</v>
      </c>
      <c r="AU34" t="s">
        <v>1342</v>
      </c>
    </row>
    <row r="35" spans="1:47" x14ac:dyDescent="0.25">
      <c r="A35" t="s">
        <v>1014</v>
      </c>
      <c r="B35" t="s">
        <v>1070</v>
      </c>
      <c r="C35" t="s">
        <v>42</v>
      </c>
      <c r="D35" t="s">
        <v>389</v>
      </c>
      <c r="E35" t="str">
        <f t="shared" si="7"/>
        <v/>
      </c>
      <c r="F35">
        <v>2</v>
      </c>
      <c r="G35">
        <v>100</v>
      </c>
      <c r="H35" s="3">
        <v>1323</v>
      </c>
      <c r="I35" s="3" t="e">
        <f>_xlfn.NUMBERVALUE(#REF!)</f>
        <v>#REF!</v>
      </c>
      <c r="J35" t="s">
        <v>114</v>
      </c>
      <c r="K35" t="s">
        <v>1071</v>
      </c>
      <c r="L35" t="s">
        <v>1072</v>
      </c>
      <c r="M35" t="s">
        <v>111</v>
      </c>
      <c r="N35" t="s">
        <v>111</v>
      </c>
      <c r="O35" t="s">
        <v>111</v>
      </c>
      <c r="P35" t="s">
        <v>111</v>
      </c>
      <c r="Q35" t="s">
        <v>392</v>
      </c>
      <c r="R35" t="str">
        <f t="shared" si="8"/>
        <v/>
      </c>
      <c r="S35" t="s">
        <v>393</v>
      </c>
      <c r="T35" t="s">
        <v>487</v>
      </c>
      <c r="U35" t="s">
        <v>117</v>
      </c>
      <c r="V35" t="s">
        <v>1073</v>
      </c>
      <c r="W35" s="4">
        <v>5</v>
      </c>
      <c r="X35">
        <v>4</v>
      </c>
      <c r="Y35">
        <v>5</v>
      </c>
      <c r="Z35">
        <v>5</v>
      </c>
      <c r="AA35">
        <v>2</v>
      </c>
      <c r="AB35">
        <v>3</v>
      </c>
      <c r="AC35">
        <v>5</v>
      </c>
      <c r="AD35">
        <v>2</v>
      </c>
      <c r="AE35">
        <v>3</v>
      </c>
      <c r="AF35">
        <f t="shared" si="3"/>
        <v>1</v>
      </c>
      <c r="AG35" t="s">
        <v>140</v>
      </c>
      <c r="AH35">
        <f t="shared" si="4"/>
        <v>1</v>
      </c>
      <c r="AI35" t="s">
        <v>131</v>
      </c>
      <c r="AJ35">
        <f t="shared" si="5"/>
        <v>0</v>
      </c>
      <c r="AK35" t="s">
        <v>353</v>
      </c>
      <c r="AL35">
        <f t="shared" si="6"/>
        <v>3</v>
      </c>
      <c r="AM35">
        <v>5</v>
      </c>
      <c r="AN35">
        <v>5</v>
      </c>
      <c r="AO35">
        <v>3</v>
      </c>
      <c r="AP35">
        <v>3</v>
      </c>
      <c r="AQ35">
        <v>3</v>
      </c>
      <c r="AR35">
        <v>3</v>
      </c>
      <c r="AS35">
        <v>10</v>
      </c>
      <c r="AT35" t="s">
        <v>1074</v>
      </c>
      <c r="AU35" t="s">
        <v>1338</v>
      </c>
    </row>
    <row r="36" spans="1:47" x14ac:dyDescent="0.25">
      <c r="A36" t="s">
        <v>1211</v>
      </c>
      <c r="B36" t="s">
        <v>1212</v>
      </c>
      <c r="C36" t="s">
        <v>42</v>
      </c>
      <c r="D36" t="s">
        <v>389</v>
      </c>
      <c r="E36" t="str">
        <f t="shared" si="7"/>
        <v/>
      </c>
      <c r="F36">
        <v>2</v>
      </c>
      <c r="G36">
        <v>100</v>
      </c>
      <c r="H36" s="3">
        <v>375</v>
      </c>
      <c r="I36" s="3" t="e">
        <f>_xlfn.NUMBERVALUE(#REF!)</f>
        <v>#REF!</v>
      </c>
      <c r="J36" t="s">
        <v>114</v>
      </c>
      <c r="K36" t="s">
        <v>1212</v>
      </c>
      <c r="L36" t="s">
        <v>1213</v>
      </c>
      <c r="M36" t="s">
        <v>111</v>
      </c>
      <c r="N36" t="s">
        <v>111</v>
      </c>
      <c r="O36" t="s">
        <v>111</v>
      </c>
      <c r="P36" t="s">
        <v>111</v>
      </c>
      <c r="Q36" t="s">
        <v>392</v>
      </c>
      <c r="R36" t="str">
        <f t="shared" si="8"/>
        <v/>
      </c>
      <c r="S36" t="s">
        <v>393</v>
      </c>
      <c r="T36" t="s">
        <v>127</v>
      </c>
      <c r="U36" t="s">
        <v>117</v>
      </c>
      <c r="V36" t="s">
        <v>473</v>
      </c>
      <c r="W36" s="4">
        <v>5</v>
      </c>
      <c r="X36">
        <v>3</v>
      </c>
      <c r="Y36">
        <v>5</v>
      </c>
      <c r="Z36">
        <v>3</v>
      </c>
      <c r="AA36">
        <v>2</v>
      </c>
      <c r="AB36">
        <v>2</v>
      </c>
      <c r="AC36">
        <v>5</v>
      </c>
      <c r="AD36">
        <v>2</v>
      </c>
      <c r="AE36">
        <v>3</v>
      </c>
      <c r="AF36">
        <f t="shared" si="3"/>
        <v>1</v>
      </c>
      <c r="AG36" t="s">
        <v>140</v>
      </c>
      <c r="AH36">
        <f t="shared" si="4"/>
        <v>1</v>
      </c>
      <c r="AI36" t="s">
        <v>141</v>
      </c>
      <c r="AJ36">
        <f t="shared" si="5"/>
        <v>0</v>
      </c>
      <c r="AK36" t="s">
        <v>186</v>
      </c>
      <c r="AL36">
        <f t="shared" si="6"/>
        <v>3</v>
      </c>
      <c r="AM36">
        <v>3</v>
      </c>
      <c r="AN36">
        <v>4</v>
      </c>
      <c r="AO36">
        <v>4</v>
      </c>
      <c r="AP36">
        <v>2</v>
      </c>
      <c r="AQ36">
        <v>3</v>
      </c>
      <c r="AR36">
        <v>5</v>
      </c>
      <c r="AS36">
        <v>8</v>
      </c>
      <c r="AT36" t="s">
        <v>1214</v>
      </c>
      <c r="AU36" s="20" t="s">
        <v>1340</v>
      </c>
    </row>
    <row r="37" spans="1:47" x14ac:dyDescent="0.25">
      <c r="A37" t="s">
        <v>1262</v>
      </c>
      <c r="B37" t="s">
        <v>1263</v>
      </c>
      <c r="C37" t="s">
        <v>42</v>
      </c>
      <c r="D37" t="s">
        <v>1264</v>
      </c>
      <c r="E37" t="str">
        <f t="shared" si="7"/>
        <v>Unique</v>
      </c>
      <c r="F37">
        <v>2</v>
      </c>
      <c r="G37">
        <v>100</v>
      </c>
      <c r="H37" s="3">
        <v>68</v>
      </c>
      <c r="I37" s="3" t="e">
        <f>_xlfn.NUMBERVALUE(#REF!)</f>
        <v>#REF!</v>
      </c>
      <c r="J37" t="s">
        <v>114</v>
      </c>
      <c r="K37" t="s">
        <v>1265</v>
      </c>
      <c r="L37" t="s">
        <v>1266</v>
      </c>
      <c r="M37" t="s">
        <v>111</v>
      </c>
      <c r="N37" t="s">
        <v>111</v>
      </c>
      <c r="O37" t="s">
        <v>111</v>
      </c>
      <c r="P37" t="s">
        <v>111</v>
      </c>
      <c r="Q37" t="s">
        <v>351</v>
      </c>
      <c r="R37" t="str">
        <f t="shared" si="8"/>
        <v/>
      </c>
      <c r="S37" t="s">
        <v>352</v>
      </c>
      <c r="T37" t="s">
        <v>127</v>
      </c>
      <c r="U37" t="s">
        <v>117</v>
      </c>
      <c r="V37" t="s">
        <v>437</v>
      </c>
      <c r="W37" s="4">
        <v>4</v>
      </c>
      <c r="X37">
        <v>5</v>
      </c>
      <c r="Y37">
        <v>5</v>
      </c>
      <c r="Z37">
        <v>5</v>
      </c>
      <c r="AA37">
        <v>5</v>
      </c>
      <c r="AB37">
        <v>4</v>
      </c>
      <c r="AC37">
        <v>5</v>
      </c>
      <c r="AD37">
        <v>4</v>
      </c>
      <c r="AE37">
        <v>3</v>
      </c>
      <c r="AF37">
        <f t="shared" ref="AF37:AF68" si="9">IF(AE37 = 3, 1, IF(AE37 = 2.5, 0.5, IF(AE37 = 3.5, 0.5, 0)))</f>
        <v>1</v>
      </c>
      <c r="AG37" t="s">
        <v>140</v>
      </c>
      <c r="AH37">
        <f t="shared" ref="AH37:AH68" si="10">IF(AG37="PM &lt; 2.5 μm", 1, 0)</f>
        <v>1</v>
      </c>
      <c r="AI37" t="s">
        <v>175</v>
      </c>
      <c r="AJ37">
        <f t="shared" ref="AJ37:AJ68" si="11">IF(AI37="Particles of this size are generally absorbed in the respiratory tract and safely excreted in mucus.", 1, 0)</f>
        <v>1</v>
      </c>
      <c r="AK37" t="s">
        <v>142</v>
      </c>
      <c r="AL37">
        <f t="shared" ref="AL37:AL68" si="12">IF(ISNUMBER(SEARCH("Trucks", AK37)) = TRUE, 1, 0) + IF(ISNUMBER(SEARCH("Cars", AK37)) = TRUE, 1, 0) + IF(ISNUMBER(SEARCH("Fireplaces",AK37)) = TRUE, 1, 0) + IF(ISNUMBER(SEARCH("Dirt Roads", AK37)) = TRUE, 1, 0) - IF(ISNUMBER(SEARCH("Electric Vehicles",AK37)) = TRUE, 1, 0) - IF(ISNUMBER(SEARCH("Pollen",AK37)) = TRUE, 1, 0)</f>
        <v>2</v>
      </c>
      <c r="AM37">
        <v>5</v>
      </c>
      <c r="AN37">
        <v>5</v>
      </c>
      <c r="AO37">
        <v>5</v>
      </c>
      <c r="AP37">
        <v>5</v>
      </c>
      <c r="AQ37">
        <v>5</v>
      </c>
      <c r="AR37">
        <v>5</v>
      </c>
      <c r="AS37">
        <v>10</v>
      </c>
      <c r="AT37" t="s">
        <v>111</v>
      </c>
    </row>
    <row r="38" spans="1:47" x14ac:dyDescent="0.25">
      <c r="A38" t="s">
        <v>1121</v>
      </c>
      <c r="B38" t="s">
        <v>1122</v>
      </c>
      <c r="C38" t="s">
        <v>42</v>
      </c>
      <c r="D38" t="s">
        <v>1123</v>
      </c>
      <c r="E38" t="str">
        <f t="shared" si="7"/>
        <v>Unique</v>
      </c>
      <c r="F38">
        <v>2</v>
      </c>
      <c r="G38">
        <v>100</v>
      </c>
      <c r="H38" s="3">
        <v>858</v>
      </c>
      <c r="I38" s="3" t="e">
        <f>_xlfn.NUMBERVALUE(#REF!)</f>
        <v>#REF!</v>
      </c>
      <c r="J38" t="s">
        <v>114</v>
      </c>
      <c r="K38" t="s">
        <v>1124</v>
      </c>
      <c r="L38" t="s">
        <v>1125</v>
      </c>
      <c r="M38" t="s">
        <v>111</v>
      </c>
      <c r="N38" t="s">
        <v>111</v>
      </c>
      <c r="O38" t="s">
        <v>111</v>
      </c>
      <c r="P38" t="s">
        <v>111</v>
      </c>
      <c r="Q38" t="s">
        <v>193</v>
      </c>
      <c r="R38" t="str">
        <f t="shared" si="8"/>
        <v/>
      </c>
      <c r="S38" t="s">
        <v>194</v>
      </c>
      <c r="T38" t="s">
        <v>127</v>
      </c>
      <c r="U38" t="s">
        <v>117</v>
      </c>
      <c r="V38" t="s">
        <v>799</v>
      </c>
      <c r="W38" s="4">
        <v>4</v>
      </c>
      <c r="X38">
        <v>3</v>
      </c>
      <c r="Y38">
        <v>5</v>
      </c>
      <c r="Z38">
        <v>5</v>
      </c>
      <c r="AA38">
        <v>5</v>
      </c>
      <c r="AB38">
        <v>4</v>
      </c>
      <c r="AC38">
        <v>5</v>
      </c>
      <c r="AD38">
        <v>5</v>
      </c>
      <c r="AE38">
        <v>3</v>
      </c>
      <c r="AF38">
        <f t="shared" si="9"/>
        <v>1</v>
      </c>
      <c r="AG38" t="s">
        <v>140</v>
      </c>
      <c r="AH38">
        <f t="shared" si="10"/>
        <v>1</v>
      </c>
      <c r="AI38" t="s">
        <v>175</v>
      </c>
      <c r="AJ38">
        <f t="shared" si="11"/>
        <v>1</v>
      </c>
      <c r="AK38" t="s">
        <v>402</v>
      </c>
      <c r="AL38">
        <f t="shared" si="12"/>
        <v>1</v>
      </c>
      <c r="AM38">
        <v>1</v>
      </c>
      <c r="AO38">
        <v>1</v>
      </c>
      <c r="AP38">
        <v>1</v>
      </c>
      <c r="AQ38">
        <v>1</v>
      </c>
      <c r="AR38">
        <v>2</v>
      </c>
      <c r="AS38">
        <v>7</v>
      </c>
      <c r="AT38" t="s">
        <v>1126</v>
      </c>
      <c r="AU38" t="s">
        <v>1331</v>
      </c>
    </row>
    <row r="39" spans="1:47" x14ac:dyDescent="0.25">
      <c r="A39" t="s">
        <v>1272</v>
      </c>
      <c r="B39" t="s">
        <v>1273</v>
      </c>
      <c r="C39" t="s">
        <v>42</v>
      </c>
      <c r="D39" t="s">
        <v>284</v>
      </c>
      <c r="E39" t="str">
        <f t="shared" si="7"/>
        <v>Unique</v>
      </c>
      <c r="F39">
        <v>2</v>
      </c>
      <c r="G39">
        <v>100</v>
      </c>
      <c r="H39" s="3">
        <v>341</v>
      </c>
      <c r="I39" s="3" t="e">
        <f>_xlfn.NUMBERVALUE(#REF!)</f>
        <v>#REF!</v>
      </c>
      <c r="J39" t="s">
        <v>114</v>
      </c>
      <c r="K39" t="s">
        <v>1273</v>
      </c>
      <c r="L39" t="s">
        <v>1274</v>
      </c>
      <c r="M39" t="s">
        <v>111</v>
      </c>
      <c r="N39" t="s">
        <v>111</v>
      </c>
      <c r="O39" t="s">
        <v>111</v>
      </c>
      <c r="P39" t="s">
        <v>111</v>
      </c>
      <c r="Q39" t="s">
        <v>288</v>
      </c>
      <c r="R39" t="str">
        <f t="shared" si="8"/>
        <v>Unique</v>
      </c>
      <c r="S39" t="s">
        <v>289</v>
      </c>
      <c r="T39" t="s">
        <v>127</v>
      </c>
      <c r="U39" t="s">
        <v>117</v>
      </c>
      <c r="V39" t="s">
        <v>1275</v>
      </c>
      <c r="W39" s="4">
        <v>5</v>
      </c>
      <c r="X39">
        <v>4</v>
      </c>
      <c r="Y39">
        <v>3</v>
      </c>
      <c r="Z39">
        <v>5</v>
      </c>
      <c r="AA39">
        <v>4</v>
      </c>
      <c r="AB39">
        <v>3</v>
      </c>
      <c r="AC39">
        <v>5</v>
      </c>
      <c r="AD39">
        <v>2</v>
      </c>
      <c r="AE39">
        <v>3</v>
      </c>
      <c r="AF39">
        <f t="shared" si="9"/>
        <v>1</v>
      </c>
      <c r="AG39" t="s">
        <v>140</v>
      </c>
      <c r="AH39">
        <f t="shared" si="10"/>
        <v>1</v>
      </c>
      <c r="AI39" t="s">
        <v>141</v>
      </c>
      <c r="AJ39">
        <f t="shared" si="11"/>
        <v>0</v>
      </c>
      <c r="AK39" t="s">
        <v>156</v>
      </c>
      <c r="AL39">
        <f t="shared" si="12"/>
        <v>4</v>
      </c>
      <c r="AM39">
        <v>2</v>
      </c>
      <c r="AN39">
        <v>5</v>
      </c>
      <c r="AO39">
        <v>5</v>
      </c>
      <c r="AP39">
        <v>3</v>
      </c>
      <c r="AQ39">
        <v>3</v>
      </c>
      <c r="AR39">
        <v>4</v>
      </c>
      <c r="AS39">
        <v>8</v>
      </c>
      <c r="AT39" t="s">
        <v>1276</v>
      </c>
      <c r="AU39" t="s">
        <v>1341</v>
      </c>
    </row>
    <row r="40" spans="1:47" x14ac:dyDescent="0.25">
      <c r="A40" t="s">
        <v>1251</v>
      </c>
      <c r="B40" t="s">
        <v>1252</v>
      </c>
      <c r="C40" t="s">
        <v>42</v>
      </c>
      <c r="D40" t="s">
        <v>1253</v>
      </c>
      <c r="E40" t="str">
        <f t="shared" si="7"/>
        <v>Unique</v>
      </c>
      <c r="F40">
        <v>2</v>
      </c>
      <c r="G40">
        <v>100</v>
      </c>
      <c r="H40" s="3">
        <v>176</v>
      </c>
      <c r="I40" s="3" t="e">
        <f>_xlfn.NUMBERVALUE(#REF!)</f>
        <v>#REF!</v>
      </c>
      <c r="J40" t="s">
        <v>114</v>
      </c>
      <c r="K40" t="s">
        <v>1254</v>
      </c>
      <c r="L40" t="s">
        <v>1255</v>
      </c>
      <c r="M40" t="s">
        <v>111</v>
      </c>
      <c r="N40" t="s">
        <v>111</v>
      </c>
      <c r="O40" t="s">
        <v>111</v>
      </c>
      <c r="P40" t="s">
        <v>111</v>
      </c>
      <c r="Q40" t="s">
        <v>351</v>
      </c>
      <c r="R40" t="str">
        <f t="shared" si="8"/>
        <v/>
      </c>
      <c r="S40" t="s">
        <v>352</v>
      </c>
      <c r="T40" t="s">
        <v>127</v>
      </c>
      <c r="U40" t="s">
        <v>117</v>
      </c>
      <c r="V40" t="s">
        <v>1256</v>
      </c>
      <c r="W40" s="4">
        <v>5</v>
      </c>
      <c r="X40">
        <v>5</v>
      </c>
      <c r="Y40">
        <v>5</v>
      </c>
      <c r="Z40">
        <v>5</v>
      </c>
      <c r="AA40">
        <v>5</v>
      </c>
      <c r="AB40">
        <v>5</v>
      </c>
      <c r="AC40">
        <v>5</v>
      </c>
      <c r="AD40">
        <v>5</v>
      </c>
      <c r="AE40">
        <v>3</v>
      </c>
      <c r="AF40">
        <f t="shared" si="9"/>
        <v>1</v>
      </c>
      <c r="AG40" t="s">
        <v>185</v>
      </c>
      <c r="AH40">
        <f t="shared" si="10"/>
        <v>0</v>
      </c>
      <c r="AI40" t="s">
        <v>175</v>
      </c>
      <c r="AJ40">
        <f t="shared" si="11"/>
        <v>1</v>
      </c>
      <c r="AK40" t="s">
        <v>156</v>
      </c>
      <c r="AL40">
        <f t="shared" si="12"/>
        <v>4</v>
      </c>
      <c r="AM40">
        <v>5</v>
      </c>
      <c r="AN40">
        <v>3</v>
      </c>
      <c r="AO40">
        <v>4</v>
      </c>
      <c r="AP40">
        <v>4</v>
      </c>
      <c r="AQ40">
        <v>5</v>
      </c>
      <c r="AR40">
        <v>5</v>
      </c>
      <c r="AS40">
        <v>10</v>
      </c>
      <c r="AT40" t="s">
        <v>1257</v>
      </c>
      <c r="AU40" t="s">
        <v>1340</v>
      </c>
    </row>
    <row r="41" spans="1:47" x14ac:dyDescent="0.25">
      <c r="A41" t="s">
        <v>1227</v>
      </c>
      <c r="B41" t="s">
        <v>1228</v>
      </c>
      <c r="C41" t="s">
        <v>42</v>
      </c>
      <c r="D41" t="s">
        <v>389</v>
      </c>
      <c r="E41" t="str">
        <f t="shared" si="7"/>
        <v/>
      </c>
      <c r="F41">
        <v>2</v>
      </c>
      <c r="G41">
        <v>100</v>
      </c>
      <c r="H41" s="3">
        <v>81</v>
      </c>
      <c r="I41" s="3" t="e">
        <f>_xlfn.NUMBERVALUE(#REF!)</f>
        <v>#REF!</v>
      </c>
      <c r="J41" t="s">
        <v>114</v>
      </c>
      <c r="K41" t="s">
        <v>1228</v>
      </c>
      <c r="L41" t="s">
        <v>1229</v>
      </c>
      <c r="M41" t="s">
        <v>111</v>
      </c>
      <c r="N41" t="s">
        <v>111</v>
      </c>
      <c r="O41" t="s">
        <v>111</v>
      </c>
      <c r="P41" t="s">
        <v>111</v>
      </c>
      <c r="Q41" t="s">
        <v>392</v>
      </c>
      <c r="R41" t="str">
        <f t="shared" si="8"/>
        <v/>
      </c>
      <c r="S41" t="s">
        <v>393</v>
      </c>
      <c r="T41" t="s">
        <v>127</v>
      </c>
      <c r="U41" t="s">
        <v>117</v>
      </c>
      <c r="V41" t="s">
        <v>731</v>
      </c>
      <c r="W41" s="4">
        <v>5</v>
      </c>
      <c r="X41">
        <v>5</v>
      </c>
      <c r="Y41">
        <v>5</v>
      </c>
      <c r="Z41">
        <v>5</v>
      </c>
      <c r="AA41">
        <v>5</v>
      </c>
      <c r="AB41">
        <v>5</v>
      </c>
      <c r="AC41">
        <v>5</v>
      </c>
      <c r="AD41">
        <v>5</v>
      </c>
      <c r="AE41">
        <v>3</v>
      </c>
      <c r="AF41">
        <f t="shared" si="9"/>
        <v>1</v>
      </c>
      <c r="AG41" t="s">
        <v>140</v>
      </c>
      <c r="AH41">
        <f t="shared" si="10"/>
        <v>1</v>
      </c>
      <c r="AI41" t="s">
        <v>175</v>
      </c>
      <c r="AJ41">
        <f t="shared" si="11"/>
        <v>1</v>
      </c>
      <c r="AK41" t="s">
        <v>186</v>
      </c>
      <c r="AL41">
        <f t="shared" si="12"/>
        <v>3</v>
      </c>
      <c r="AM41">
        <v>5</v>
      </c>
      <c r="AN41">
        <v>5</v>
      </c>
      <c r="AO41">
        <v>5</v>
      </c>
      <c r="AP41">
        <v>5</v>
      </c>
      <c r="AQ41">
        <v>5</v>
      </c>
      <c r="AR41">
        <v>5</v>
      </c>
      <c r="AS41">
        <v>10</v>
      </c>
      <c r="AT41" t="s">
        <v>111</v>
      </c>
    </row>
    <row r="42" spans="1:47" x14ac:dyDescent="0.25">
      <c r="A42" t="s">
        <v>1242</v>
      </c>
      <c r="B42" t="s">
        <v>1243</v>
      </c>
      <c r="C42" t="s">
        <v>42</v>
      </c>
      <c r="D42" t="s">
        <v>1244</v>
      </c>
      <c r="E42" t="str">
        <f t="shared" si="7"/>
        <v>Unique</v>
      </c>
      <c r="F42">
        <v>2</v>
      </c>
      <c r="G42">
        <v>100</v>
      </c>
      <c r="H42" s="3">
        <v>90</v>
      </c>
      <c r="I42" s="3" t="e">
        <f>_xlfn.NUMBERVALUE(#REF!)</f>
        <v>#REF!</v>
      </c>
      <c r="J42" t="s">
        <v>114</v>
      </c>
      <c r="K42" t="s">
        <v>1243</v>
      </c>
      <c r="L42" t="s">
        <v>1245</v>
      </c>
      <c r="M42" t="s">
        <v>111</v>
      </c>
      <c r="N42" t="s">
        <v>111</v>
      </c>
      <c r="O42" t="s">
        <v>111</v>
      </c>
      <c r="P42" t="s">
        <v>111</v>
      </c>
      <c r="Q42" t="s">
        <v>351</v>
      </c>
      <c r="R42" t="str">
        <f t="shared" si="8"/>
        <v/>
      </c>
      <c r="S42" t="s">
        <v>352</v>
      </c>
      <c r="T42" t="s">
        <v>127</v>
      </c>
      <c r="U42" t="s">
        <v>117</v>
      </c>
      <c r="V42" t="s">
        <v>449</v>
      </c>
      <c r="W42" s="4">
        <v>5</v>
      </c>
      <c r="X42">
        <v>4</v>
      </c>
      <c r="Y42">
        <v>4</v>
      </c>
      <c r="Z42">
        <v>5</v>
      </c>
      <c r="AA42">
        <v>3</v>
      </c>
      <c r="AB42">
        <v>3</v>
      </c>
      <c r="AC42">
        <v>5</v>
      </c>
      <c r="AD42">
        <v>2</v>
      </c>
      <c r="AE42">
        <v>3.5</v>
      </c>
      <c r="AF42">
        <f t="shared" si="9"/>
        <v>0.5</v>
      </c>
      <c r="AG42" t="s">
        <v>154</v>
      </c>
      <c r="AH42">
        <f t="shared" si="10"/>
        <v>0</v>
      </c>
      <c r="AI42" t="s">
        <v>175</v>
      </c>
      <c r="AJ42">
        <f t="shared" si="11"/>
        <v>1</v>
      </c>
      <c r="AK42" t="s">
        <v>327</v>
      </c>
      <c r="AL42">
        <f t="shared" si="12"/>
        <v>1</v>
      </c>
      <c r="AM42">
        <v>2</v>
      </c>
      <c r="AN42">
        <v>2</v>
      </c>
      <c r="AO42">
        <v>2</v>
      </c>
      <c r="AP42">
        <v>1</v>
      </c>
      <c r="AQ42">
        <v>2</v>
      </c>
      <c r="AR42">
        <v>3</v>
      </c>
      <c r="AS42">
        <v>6</v>
      </c>
      <c r="AT42" t="s">
        <v>111</v>
      </c>
    </row>
    <row r="43" spans="1:47" x14ac:dyDescent="0.25">
      <c r="A43" t="s">
        <v>1055</v>
      </c>
      <c r="B43" t="s">
        <v>1056</v>
      </c>
      <c r="C43" t="s">
        <v>42</v>
      </c>
      <c r="D43" t="s">
        <v>1057</v>
      </c>
      <c r="E43" t="str">
        <f t="shared" si="7"/>
        <v>Unique</v>
      </c>
      <c r="F43">
        <v>2</v>
      </c>
      <c r="G43">
        <v>100</v>
      </c>
      <c r="H43" s="3">
        <v>783</v>
      </c>
      <c r="I43" s="3" t="e">
        <f>_xlfn.NUMBERVALUE(#REF!)</f>
        <v>#REF!</v>
      </c>
      <c r="J43" t="s">
        <v>114</v>
      </c>
      <c r="K43" t="s">
        <v>1058</v>
      </c>
      <c r="L43" t="s">
        <v>1059</v>
      </c>
      <c r="M43" t="s">
        <v>111</v>
      </c>
      <c r="N43" t="s">
        <v>111</v>
      </c>
      <c r="O43" t="s">
        <v>111</v>
      </c>
      <c r="P43" t="s">
        <v>111</v>
      </c>
      <c r="Q43" t="s">
        <v>1060</v>
      </c>
      <c r="R43" t="str">
        <f t="shared" si="8"/>
        <v>Unique</v>
      </c>
      <c r="S43" t="s">
        <v>204</v>
      </c>
      <c r="T43" t="s">
        <v>487</v>
      </c>
      <c r="U43" t="s">
        <v>117</v>
      </c>
      <c r="V43" t="s">
        <v>1061</v>
      </c>
      <c r="W43" s="4">
        <v>2</v>
      </c>
      <c r="X43">
        <v>2</v>
      </c>
      <c r="Y43">
        <v>0</v>
      </c>
      <c r="Z43">
        <v>4</v>
      </c>
      <c r="AA43">
        <v>0</v>
      </c>
      <c r="AB43">
        <v>2</v>
      </c>
      <c r="AC43">
        <v>3</v>
      </c>
      <c r="AD43">
        <v>1</v>
      </c>
      <c r="AE43">
        <v>2.5</v>
      </c>
      <c r="AF43">
        <f t="shared" si="9"/>
        <v>0.5</v>
      </c>
      <c r="AG43" t="s">
        <v>140</v>
      </c>
      <c r="AH43">
        <f t="shared" si="10"/>
        <v>1</v>
      </c>
      <c r="AI43" t="s">
        <v>175</v>
      </c>
      <c r="AJ43">
        <f t="shared" si="11"/>
        <v>1</v>
      </c>
      <c r="AK43" t="s">
        <v>186</v>
      </c>
      <c r="AL43">
        <f t="shared" si="12"/>
        <v>3</v>
      </c>
      <c r="AM43">
        <v>2</v>
      </c>
      <c r="AN43">
        <v>2</v>
      </c>
      <c r="AO43">
        <v>4</v>
      </c>
      <c r="AP43">
        <v>1</v>
      </c>
      <c r="AQ43">
        <v>4</v>
      </c>
      <c r="AR43">
        <v>3</v>
      </c>
      <c r="AS43">
        <v>3</v>
      </c>
      <c r="AT43" t="s">
        <v>111</v>
      </c>
    </row>
    <row r="44" spans="1:47" x14ac:dyDescent="0.25">
      <c r="A44" t="s">
        <v>1087</v>
      </c>
      <c r="B44" t="s">
        <v>1088</v>
      </c>
      <c r="C44" t="s">
        <v>42</v>
      </c>
      <c r="D44" t="s">
        <v>307</v>
      </c>
      <c r="E44" t="str">
        <f t="shared" si="7"/>
        <v/>
      </c>
      <c r="F44">
        <v>2</v>
      </c>
      <c r="G44">
        <v>100</v>
      </c>
      <c r="H44" s="3">
        <v>177</v>
      </c>
      <c r="I44" s="3" t="e">
        <f>_xlfn.NUMBERVALUE(#REF!)</f>
        <v>#REF!</v>
      </c>
      <c r="J44" t="s">
        <v>114</v>
      </c>
      <c r="K44" t="s">
        <v>1089</v>
      </c>
      <c r="L44" t="s">
        <v>1090</v>
      </c>
      <c r="M44" t="s">
        <v>111</v>
      </c>
      <c r="N44" t="s">
        <v>111</v>
      </c>
      <c r="O44" t="s">
        <v>111</v>
      </c>
      <c r="P44" t="s">
        <v>111</v>
      </c>
      <c r="Q44" t="s">
        <v>311</v>
      </c>
      <c r="R44" t="str">
        <f t="shared" si="8"/>
        <v/>
      </c>
      <c r="S44" t="s">
        <v>312</v>
      </c>
      <c r="T44" t="s">
        <v>127</v>
      </c>
      <c r="U44" t="s">
        <v>117</v>
      </c>
      <c r="V44" t="s">
        <v>1091</v>
      </c>
      <c r="W44" s="4">
        <v>5</v>
      </c>
      <c r="X44">
        <v>5</v>
      </c>
      <c r="Y44">
        <v>5</v>
      </c>
      <c r="Z44">
        <v>5</v>
      </c>
      <c r="AA44">
        <v>5</v>
      </c>
      <c r="AB44">
        <v>5</v>
      </c>
      <c r="AC44">
        <v>5</v>
      </c>
      <c r="AD44">
        <v>4</v>
      </c>
      <c r="AE44">
        <v>3</v>
      </c>
      <c r="AF44">
        <f t="shared" si="9"/>
        <v>1</v>
      </c>
      <c r="AG44" t="s">
        <v>154</v>
      </c>
      <c r="AH44">
        <f t="shared" si="10"/>
        <v>0</v>
      </c>
      <c r="AI44" t="s">
        <v>175</v>
      </c>
      <c r="AJ44">
        <f t="shared" si="11"/>
        <v>1</v>
      </c>
      <c r="AK44" t="s">
        <v>206</v>
      </c>
      <c r="AL44">
        <f t="shared" si="12"/>
        <v>2</v>
      </c>
      <c r="AM44">
        <v>4</v>
      </c>
      <c r="AN44">
        <v>5</v>
      </c>
      <c r="AO44">
        <v>5</v>
      </c>
      <c r="AP44">
        <v>4</v>
      </c>
      <c r="AQ44">
        <v>5</v>
      </c>
      <c r="AR44">
        <v>5</v>
      </c>
      <c r="AS44">
        <v>10</v>
      </c>
      <c r="AT44" t="s">
        <v>1092</v>
      </c>
      <c r="AU44" t="s">
        <v>1326</v>
      </c>
    </row>
    <row r="45" spans="1:47" x14ac:dyDescent="0.25">
      <c r="A45" t="s">
        <v>972</v>
      </c>
      <c r="B45" t="s">
        <v>973</v>
      </c>
      <c r="C45" t="s">
        <v>42</v>
      </c>
      <c r="D45" t="s">
        <v>398</v>
      </c>
      <c r="E45" t="str">
        <f t="shared" si="7"/>
        <v/>
      </c>
      <c r="F45">
        <v>2</v>
      </c>
      <c r="G45">
        <v>100</v>
      </c>
      <c r="H45" s="3">
        <v>77</v>
      </c>
      <c r="I45" s="3" t="e">
        <f>_xlfn.NUMBERVALUE(#REF!)</f>
        <v>#REF!</v>
      </c>
      <c r="J45" t="s">
        <v>114</v>
      </c>
      <c r="K45" t="s">
        <v>973</v>
      </c>
      <c r="L45" t="s">
        <v>974</v>
      </c>
      <c r="M45" t="s">
        <v>111</v>
      </c>
      <c r="N45" t="s">
        <v>111</v>
      </c>
      <c r="O45" t="s">
        <v>111</v>
      </c>
      <c r="P45" t="s">
        <v>111</v>
      </c>
      <c r="Q45" t="s">
        <v>351</v>
      </c>
      <c r="R45" t="str">
        <f t="shared" si="8"/>
        <v/>
      </c>
      <c r="S45" t="s">
        <v>352</v>
      </c>
      <c r="T45" t="s">
        <v>487</v>
      </c>
      <c r="U45" t="s">
        <v>117</v>
      </c>
      <c r="V45" t="s">
        <v>401</v>
      </c>
      <c r="W45" s="4">
        <v>5</v>
      </c>
      <c r="X45">
        <v>5</v>
      </c>
      <c r="Y45">
        <v>5</v>
      </c>
      <c r="Z45">
        <v>5</v>
      </c>
      <c r="AA45">
        <v>3</v>
      </c>
      <c r="AB45">
        <v>3</v>
      </c>
      <c r="AC45">
        <v>5</v>
      </c>
      <c r="AD45">
        <v>3</v>
      </c>
      <c r="AE45">
        <v>5</v>
      </c>
      <c r="AF45">
        <f t="shared" si="9"/>
        <v>0</v>
      </c>
      <c r="AG45" t="s">
        <v>140</v>
      </c>
      <c r="AH45">
        <f t="shared" si="10"/>
        <v>1</v>
      </c>
      <c r="AI45" t="s">
        <v>175</v>
      </c>
      <c r="AJ45">
        <f t="shared" si="11"/>
        <v>1</v>
      </c>
      <c r="AK45" t="s">
        <v>142</v>
      </c>
      <c r="AL45">
        <f t="shared" si="12"/>
        <v>2</v>
      </c>
      <c r="AM45">
        <v>5</v>
      </c>
      <c r="AN45">
        <v>5</v>
      </c>
      <c r="AO45">
        <v>5</v>
      </c>
      <c r="AP45">
        <v>5</v>
      </c>
      <c r="AQ45">
        <v>5</v>
      </c>
      <c r="AR45">
        <v>5</v>
      </c>
      <c r="AS45">
        <v>10</v>
      </c>
      <c r="AT45" t="s">
        <v>975</v>
      </c>
    </row>
    <row r="46" spans="1:47" x14ac:dyDescent="0.25">
      <c r="A46" t="s">
        <v>1097</v>
      </c>
      <c r="B46" t="s">
        <v>1098</v>
      </c>
      <c r="C46" t="s">
        <v>42</v>
      </c>
      <c r="D46" t="s">
        <v>347</v>
      </c>
      <c r="E46" t="str">
        <f t="shared" si="7"/>
        <v>Unique</v>
      </c>
      <c r="F46">
        <v>2</v>
      </c>
      <c r="G46">
        <v>100</v>
      </c>
      <c r="H46" s="3">
        <v>78</v>
      </c>
      <c r="I46" s="3" t="e">
        <f>_xlfn.NUMBERVALUE(#REF!)</f>
        <v>#REF!</v>
      </c>
      <c r="J46" t="s">
        <v>114</v>
      </c>
      <c r="K46" t="s">
        <v>1098</v>
      </c>
      <c r="L46" t="s">
        <v>1099</v>
      </c>
      <c r="M46" t="s">
        <v>111</v>
      </c>
      <c r="N46" t="s">
        <v>111</v>
      </c>
      <c r="O46" t="s">
        <v>111</v>
      </c>
      <c r="P46" t="s">
        <v>111</v>
      </c>
      <c r="Q46" t="s">
        <v>351</v>
      </c>
      <c r="R46" t="str">
        <f t="shared" si="8"/>
        <v/>
      </c>
      <c r="S46" t="s">
        <v>352</v>
      </c>
      <c r="T46" t="s">
        <v>127</v>
      </c>
      <c r="U46" t="s">
        <v>117</v>
      </c>
      <c r="V46" t="s">
        <v>1100</v>
      </c>
      <c r="W46" s="4">
        <v>4</v>
      </c>
      <c r="X46">
        <v>5</v>
      </c>
      <c r="Y46">
        <v>3</v>
      </c>
      <c r="Z46">
        <v>3</v>
      </c>
      <c r="AA46">
        <v>3</v>
      </c>
      <c r="AB46">
        <v>4</v>
      </c>
      <c r="AC46">
        <v>5</v>
      </c>
      <c r="AD46">
        <v>3</v>
      </c>
      <c r="AE46">
        <v>2.5</v>
      </c>
      <c r="AF46">
        <f t="shared" si="9"/>
        <v>0.5</v>
      </c>
      <c r="AG46" t="s">
        <v>140</v>
      </c>
      <c r="AH46">
        <f t="shared" si="10"/>
        <v>1</v>
      </c>
      <c r="AI46" t="s">
        <v>141</v>
      </c>
      <c r="AJ46">
        <f t="shared" si="11"/>
        <v>0</v>
      </c>
      <c r="AK46" t="s">
        <v>353</v>
      </c>
      <c r="AL46">
        <f t="shared" si="12"/>
        <v>3</v>
      </c>
      <c r="AM46">
        <v>5</v>
      </c>
      <c r="AN46">
        <v>5</v>
      </c>
      <c r="AO46">
        <v>5</v>
      </c>
      <c r="AP46">
        <v>5</v>
      </c>
      <c r="AQ46">
        <v>5</v>
      </c>
      <c r="AR46">
        <v>5</v>
      </c>
      <c r="AT46" t="s">
        <v>111</v>
      </c>
    </row>
    <row r="47" spans="1:47" x14ac:dyDescent="0.25">
      <c r="A47" t="s">
        <v>984</v>
      </c>
      <c r="B47" t="s">
        <v>985</v>
      </c>
      <c r="C47" t="s">
        <v>42</v>
      </c>
      <c r="D47" t="s">
        <v>986</v>
      </c>
      <c r="E47" t="str">
        <f t="shared" si="7"/>
        <v>Unique</v>
      </c>
      <c r="F47">
        <v>2</v>
      </c>
      <c r="G47">
        <v>100</v>
      </c>
      <c r="H47" s="3">
        <v>93</v>
      </c>
      <c r="I47" s="3" t="e">
        <f>_xlfn.NUMBERVALUE(#REF!)</f>
        <v>#REF!</v>
      </c>
      <c r="J47" t="s">
        <v>114</v>
      </c>
      <c r="K47" t="s">
        <v>985</v>
      </c>
      <c r="L47" t="s">
        <v>987</v>
      </c>
      <c r="M47" t="s">
        <v>111</v>
      </c>
      <c r="N47" t="s">
        <v>111</v>
      </c>
      <c r="O47" t="s">
        <v>111</v>
      </c>
      <c r="P47" t="s">
        <v>111</v>
      </c>
      <c r="Q47" t="s">
        <v>988</v>
      </c>
      <c r="R47" t="str">
        <f t="shared" si="8"/>
        <v>Unique</v>
      </c>
      <c r="S47" t="s">
        <v>989</v>
      </c>
      <c r="T47" t="s">
        <v>487</v>
      </c>
      <c r="U47" t="s">
        <v>117</v>
      </c>
      <c r="V47" t="s">
        <v>990</v>
      </c>
      <c r="W47" s="4">
        <v>5</v>
      </c>
      <c r="X47">
        <v>5</v>
      </c>
      <c r="Y47">
        <v>5</v>
      </c>
      <c r="Z47">
        <v>5</v>
      </c>
      <c r="AA47">
        <v>4</v>
      </c>
      <c r="AB47">
        <v>4</v>
      </c>
      <c r="AC47">
        <v>5</v>
      </c>
      <c r="AD47">
        <v>4</v>
      </c>
      <c r="AE47">
        <v>2.5</v>
      </c>
      <c r="AF47">
        <f t="shared" si="9"/>
        <v>0.5</v>
      </c>
      <c r="AG47" t="s">
        <v>140</v>
      </c>
      <c r="AH47">
        <f t="shared" si="10"/>
        <v>1</v>
      </c>
      <c r="AI47" t="s">
        <v>175</v>
      </c>
      <c r="AJ47">
        <f t="shared" si="11"/>
        <v>1</v>
      </c>
      <c r="AK47" t="s">
        <v>142</v>
      </c>
      <c r="AL47">
        <f t="shared" si="12"/>
        <v>2</v>
      </c>
      <c r="AM47">
        <v>5</v>
      </c>
      <c r="AN47">
        <v>5</v>
      </c>
      <c r="AO47">
        <v>5</v>
      </c>
      <c r="AP47">
        <v>5</v>
      </c>
      <c r="AQ47">
        <v>5</v>
      </c>
      <c r="AR47">
        <v>5</v>
      </c>
      <c r="AS47">
        <v>10</v>
      </c>
      <c r="AT47" t="s">
        <v>111</v>
      </c>
    </row>
    <row r="48" spans="1:47" x14ac:dyDescent="0.25">
      <c r="A48" t="s">
        <v>1221</v>
      </c>
      <c r="B48" t="s">
        <v>1222</v>
      </c>
      <c r="C48" t="s">
        <v>42</v>
      </c>
      <c r="D48" t="s">
        <v>389</v>
      </c>
      <c r="E48" t="str">
        <f t="shared" si="7"/>
        <v/>
      </c>
      <c r="F48">
        <v>2</v>
      </c>
      <c r="G48">
        <v>100</v>
      </c>
      <c r="H48" s="3">
        <v>136</v>
      </c>
      <c r="I48" s="3" t="e">
        <f>_xlfn.NUMBERVALUE(#REF!)</f>
        <v>#REF!</v>
      </c>
      <c r="J48" t="s">
        <v>114</v>
      </c>
      <c r="K48" t="s">
        <v>1223</v>
      </c>
      <c r="L48" t="s">
        <v>1224</v>
      </c>
      <c r="M48" t="s">
        <v>111</v>
      </c>
      <c r="N48" t="s">
        <v>111</v>
      </c>
      <c r="O48" t="s">
        <v>111</v>
      </c>
      <c r="P48" t="s">
        <v>111</v>
      </c>
      <c r="Q48" t="s">
        <v>392</v>
      </c>
      <c r="R48" t="str">
        <f t="shared" si="8"/>
        <v/>
      </c>
      <c r="S48" t="s">
        <v>393</v>
      </c>
      <c r="T48" t="s">
        <v>127</v>
      </c>
      <c r="U48" t="s">
        <v>117</v>
      </c>
      <c r="V48" t="s">
        <v>1225</v>
      </c>
      <c r="W48" s="4">
        <v>5</v>
      </c>
      <c r="X48">
        <v>5</v>
      </c>
      <c r="Y48">
        <v>5</v>
      </c>
      <c r="Z48">
        <v>5</v>
      </c>
      <c r="AA48">
        <v>5</v>
      </c>
      <c r="AB48">
        <v>5</v>
      </c>
      <c r="AC48">
        <v>5</v>
      </c>
      <c r="AD48">
        <v>5</v>
      </c>
      <c r="AE48">
        <v>4</v>
      </c>
      <c r="AF48">
        <f t="shared" si="9"/>
        <v>0</v>
      </c>
      <c r="AG48" t="s">
        <v>140</v>
      </c>
      <c r="AH48">
        <f t="shared" si="10"/>
        <v>1</v>
      </c>
      <c r="AI48" t="s">
        <v>131</v>
      </c>
      <c r="AJ48">
        <f t="shared" si="11"/>
        <v>0</v>
      </c>
      <c r="AK48" t="s">
        <v>156</v>
      </c>
      <c r="AL48">
        <f t="shared" si="12"/>
        <v>4</v>
      </c>
      <c r="AM48">
        <v>5</v>
      </c>
      <c r="AN48">
        <v>5</v>
      </c>
      <c r="AO48">
        <v>5</v>
      </c>
      <c r="AP48">
        <v>5</v>
      </c>
      <c r="AQ48">
        <v>5</v>
      </c>
      <c r="AR48">
        <v>5</v>
      </c>
      <c r="AS48">
        <v>9</v>
      </c>
      <c r="AT48" t="s">
        <v>1226</v>
      </c>
      <c r="AU48" t="s">
        <v>1333</v>
      </c>
    </row>
    <row r="49" spans="1:47" x14ac:dyDescent="0.25">
      <c r="A49" t="s">
        <v>1132</v>
      </c>
      <c r="B49" t="s">
        <v>1133</v>
      </c>
      <c r="C49" t="s">
        <v>42</v>
      </c>
      <c r="D49" t="s">
        <v>307</v>
      </c>
      <c r="E49" t="str">
        <f t="shared" si="7"/>
        <v/>
      </c>
      <c r="F49">
        <v>2</v>
      </c>
      <c r="G49">
        <v>100</v>
      </c>
      <c r="H49" s="3">
        <v>53</v>
      </c>
      <c r="I49" s="3" t="e">
        <f>_xlfn.NUMBERVALUE(#REF!)</f>
        <v>#REF!</v>
      </c>
      <c r="J49" t="s">
        <v>114</v>
      </c>
      <c r="K49" t="s">
        <v>1133</v>
      </c>
      <c r="L49" t="s">
        <v>1134</v>
      </c>
      <c r="M49" t="s">
        <v>111</v>
      </c>
      <c r="N49" t="s">
        <v>111</v>
      </c>
      <c r="O49" t="s">
        <v>111</v>
      </c>
      <c r="P49" t="s">
        <v>111</v>
      </c>
      <c r="Q49" t="s">
        <v>311</v>
      </c>
      <c r="R49" t="str">
        <f t="shared" si="8"/>
        <v/>
      </c>
      <c r="S49" t="s">
        <v>312</v>
      </c>
      <c r="T49" t="s">
        <v>127</v>
      </c>
      <c r="U49" t="s">
        <v>117</v>
      </c>
      <c r="V49" t="s">
        <v>1135</v>
      </c>
      <c r="W49" s="4">
        <v>5</v>
      </c>
      <c r="X49">
        <v>3</v>
      </c>
      <c r="Y49">
        <v>4</v>
      </c>
      <c r="Z49">
        <v>4</v>
      </c>
      <c r="AA49">
        <v>2</v>
      </c>
      <c r="AB49">
        <v>2</v>
      </c>
      <c r="AC49">
        <v>5</v>
      </c>
      <c r="AD49">
        <v>2</v>
      </c>
      <c r="AE49">
        <v>2.5</v>
      </c>
      <c r="AF49">
        <f t="shared" si="9"/>
        <v>0.5</v>
      </c>
      <c r="AG49" t="s">
        <v>185</v>
      </c>
      <c r="AH49">
        <f t="shared" si="10"/>
        <v>0</v>
      </c>
      <c r="AI49" t="s">
        <v>175</v>
      </c>
      <c r="AJ49">
        <f t="shared" si="11"/>
        <v>1</v>
      </c>
      <c r="AK49" t="s">
        <v>142</v>
      </c>
      <c r="AL49">
        <f t="shared" si="12"/>
        <v>2</v>
      </c>
      <c r="AM49">
        <v>4</v>
      </c>
      <c r="AN49">
        <v>4</v>
      </c>
      <c r="AO49">
        <v>4</v>
      </c>
      <c r="AP49">
        <v>4</v>
      </c>
      <c r="AQ49">
        <v>4</v>
      </c>
      <c r="AR49">
        <v>4</v>
      </c>
      <c r="AS49">
        <v>8</v>
      </c>
      <c r="AT49" t="s">
        <v>1136</v>
      </c>
      <c r="AU49" t="s">
        <v>1339</v>
      </c>
    </row>
    <row r="50" spans="1:47" x14ac:dyDescent="0.25">
      <c r="A50" t="s">
        <v>1110</v>
      </c>
      <c r="B50" t="s">
        <v>1111</v>
      </c>
      <c r="C50" t="s">
        <v>42</v>
      </c>
      <c r="D50" t="s">
        <v>1112</v>
      </c>
      <c r="E50" t="str">
        <f t="shared" si="7"/>
        <v>Unique</v>
      </c>
      <c r="F50">
        <v>2</v>
      </c>
      <c r="G50">
        <v>100</v>
      </c>
      <c r="H50" s="3">
        <v>145</v>
      </c>
      <c r="I50" s="3" t="e">
        <f>_xlfn.NUMBERVALUE(#REF!)</f>
        <v>#REF!</v>
      </c>
      <c r="J50" t="s">
        <v>114</v>
      </c>
      <c r="K50" t="s">
        <v>1111</v>
      </c>
      <c r="L50" t="s">
        <v>1113</v>
      </c>
      <c r="M50" t="s">
        <v>111</v>
      </c>
      <c r="N50" t="s">
        <v>111</v>
      </c>
      <c r="O50" t="s">
        <v>111</v>
      </c>
      <c r="P50" t="s">
        <v>111</v>
      </c>
      <c r="Q50" t="s">
        <v>351</v>
      </c>
      <c r="R50" t="str">
        <f t="shared" si="8"/>
        <v/>
      </c>
      <c r="S50" t="s">
        <v>352</v>
      </c>
      <c r="T50" t="s">
        <v>127</v>
      </c>
      <c r="U50" t="s">
        <v>117</v>
      </c>
      <c r="V50" t="s">
        <v>1114</v>
      </c>
      <c r="W50" s="4">
        <v>3</v>
      </c>
      <c r="X50">
        <v>2</v>
      </c>
      <c r="Y50">
        <v>3</v>
      </c>
      <c r="Z50">
        <v>5</v>
      </c>
      <c r="AA50">
        <v>2</v>
      </c>
      <c r="AB50">
        <v>3</v>
      </c>
      <c r="AC50">
        <v>5</v>
      </c>
      <c r="AD50">
        <v>1</v>
      </c>
      <c r="AE50">
        <v>2.5</v>
      </c>
      <c r="AF50">
        <f t="shared" si="9"/>
        <v>0.5</v>
      </c>
      <c r="AG50" t="s">
        <v>140</v>
      </c>
      <c r="AH50">
        <f t="shared" si="10"/>
        <v>1</v>
      </c>
      <c r="AI50" t="s">
        <v>175</v>
      </c>
      <c r="AJ50">
        <f t="shared" si="11"/>
        <v>1</v>
      </c>
      <c r="AK50" t="s">
        <v>450</v>
      </c>
      <c r="AL50">
        <f t="shared" si="12"/>
        <v>2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6</v>
      </c>
      <c r="AT50" t="s">
        <v>1115</v>
      </c>
      <c r="AU50" t="s">
        <v>1333</v>
      </c>
    </row>
    <row r="51" spans="1:47" x14ac:dyDescent="0.25">
      <c r="A51" t="s">
        <v>1198</v>
      </c>
      <c r="B51" t="s">
        <v>1199</v>
      </c>
      <c r="C51" t="s">
        <v>42</v>
      </c>
      <c r="D51" t="s">
        <v>1200</v>
      </c>
      <c r="E51" t="str">
        <f t="shared" si="7"/>
        <v>Unique</v>
      </c>
      <c r="F51">
        <v>2</v>
      </c>
      <c r="G51">
        <v>100</v>
      </c>
      <c r="H51" s="3">
        <v>120</v>
      </c>
      <c r="I51" s="3" t="e">
        <f>_xlfn.NUMBERVALUE(#REF!)</f>
        <v>#REF!</v>
      </c>
      <c r="J51" t="s">
        <v>114</v>
      </c>
      <c r="K51" t="s">
        <v>1201</v>
      </c>
      <c r="L51" t="s">
        <v>1202</v>
      </c>
      <c r="M51" t="s">
        <v>111</v>
      </c>
      <c r="N51" t="s">
        <v>111</v>
      </c>
      <c r="O51" t="s">
        <v>111</v>
      </c>
      <c r="P51" t="s">
        <v>111</v>
      </c>
      <c r="Q51" t="s">
        <v>1154</v>
      </c>
      <c r="R51" t="str">
        <f t="shared" si="8"/>
        <v/>
      </c>
      <c r="S51" t="s">
        <v>1155</v>
      </c>
      <c r="T51" t="s">
        <v>127</v>
      </c>
      <c r="U51" t="s">
        <v>117</v>
      </c>
      <c r="V51" t="s">
        <v>1203</v>
      </c>
      <c r="W51" s="4">
        <v>5</v>
      </c>
      <c r="X51">
        <v>4</v>
      </c>
      <c r="Y51">
        <v>4</v>
      </c>
      <c r="Z51">
        <v>5</v>
      </c>
      <c r="AA51">
        <v>5</v>
      </c>
      <c r="AB51">
        <v>5</v>
      </c>
      <c r="AC51">
        <v>5</v>
      </c>
      <c r="AD51">
        <v>4</v>
      </c>
      <c r="AE51">
        <v>4.5</v>
      </c>
      <c r="AF51">
        <f t="shared" si="9"/>
        <v>0</v>
      </c>
      <c r="AG51" t="s">
        <v>130</v>
      </c>
      <c r="AH51">
        <f t="shared" si="10"/>
        <v>0</v>
      </c>
      <c r="AI51" t="s">
        <v>131</v>
      </c>
      <c r="AJ51">
        <f t="shared" si="11"/>
        <v>0</v>
      </c>
      <c r="AK51" t="s">
        <v>142</v>
      </c>
      <c r="AL51">
        <f t="shared" si="12"/>
        <v>2</v>
      </c>
      <c r="AM51">
        <v>5</v>
      </c>
      <c r="AN51">
        <v>4</v>
      </c>
      <c r="AO51">
        <v>5</v>
      </c>
      <c r="AP51">
        <v>4</v>
      </c>
      <c r="AQ51">
        <v>4</v>
      </c>
      <c r="AR51">
        <v>4</v>
      </c>
      <c r="AS51">
        <v>9</v>
      </c>
      <c r="AT51" t="s">
        <v>1204</v>
      </c>
      <c r="AU51" t="s">
        <v>1332</v>
      </c>
    </row>
    <row r="52" spans="1:47" x14ac:dyDescent="0.25">
      <c r="A52" t="s">
        <v>1184</v>
      </c>
      <c r="B52" t="s">
        <v>1185</v>
      </c>
      <c r="C52" t="s">
        <v>42</v>
      </c>
      <c r="D52" t="s">
        <v>307</v>
      </c>
      <c r="E52" t="str">
        <f t="shared" si="7"/>
        <v/>
      </c>
      <c r="F52">
        <v>2</v>
      </c>
      <c r="G52">
        <v>100</v>
      </c>
      <c r="H52" s="3">
        <v>77</v>
      </c>
      <c r="I52" s="3" t="e">
        <f>_xlfn.NUMBERVALUE(#REF!)</f>
        <v>#REF!</v>
      </c>
      <c r="J52" t="s">
        <v>114</v>
      </c>
      <c r="K52" t="s">
        <v>1186</v>
      </c>
      <c r="L52" t="s">
        <v>1187</v>
      </c>
      <c r="M52" t="s">
        <v>111</v>
      </c>
      <c r="N52" t="s">
        <v>111</v>
      </c>
      <c r="O52" t="s">
        <v>111</v>
      </c>
      <c r="P52" t="s">
        <v>111</v>
      </c>
      <c r="Q52" t="s">
        <v>311</v>
      </c>
      <c r="R52" t="str">
        <f t="shared" si="8"/>
        <v/>
      </c>
      <c r="S52" t="s">
        <v>312</v>
      </c>
      <c r="T52" t="s">
        <v>127</v>
      </c>
      <c r="U52" t="s">
        <v>117</v>
      </c>
      <c r="V52" t="s">
        <v>313</v>
      </c>
      <c r="W52" s="4">
        <v>5</v>
      </c>
      <c r="X52">
        <v>5</v>
      </c>
      <c r="Y52">
        <v>5</v>
      </c>
      <c r="Z52">
        <v>5</v>
      </c>
      <c r="AA52">
        <v>5</v>
      </c>
      <c r="AB52">
        <v>5</v>
      </c>
      <c r="AC52">
        <v>5</v>
      </c>
      <c r="AD52">
        <v>5</v>
      </c>
      <c r="AE52">
        <v>4.5</v>
      </c>
      <c r="AF52">
        <f t="shared" si="9"/>
        <v>0</v>
      </c>
      <c r="AG52" t="s">
        <v>140</v>
      </c>
      <c r="AH52">
        <f t="shared" si="10"/>
        <v>1</v>
      </c>
      <c r="AI52" t="s">
        <v>131</v>
      </c>
      <c r="AJ52">
        <f t="shared" si="11"/>
        <v>0</v>
      </c>
      <c r="AK52" t="s">
        <v>167</v>
      </c>
      <c r="AL52">
        <f t="shared" si="12"/>
        <v>3</v>
      </c>
      <c r="AM52">
        <v>5</v>
      </c>
      <c r="AN52">
        <v>5</v>
      </c>
      <c r="AO52">
        <v>5</v>
      </c>
      <c r="AP52">
        <v>5</v>
      </c>
      <c r="AQ52">
        <v>5</v>
      </c>
      <c r="AR52">
        <v>5</v>
      </c>
      <c r="AS52">
        <v>10</v>
      </c>
      <c r="AT52" t="s">
        <v>1188</v>
      </c>
      <c r="AU52" t="s">
        <v>1326</v>
      </c>
    </row>
    <row r="53" spans="1:47" x14ac:dyDescent="0.25">
      <c r="A53" t="s">
        <v>1035</v>
      </c>
      <c r="B53" t="s">
        <v>1036</v>
      </c>
      <c r="C53" t="s">
        <v>42</v>
      </c>
      <c r="D53" t="s">
        <v>398</v>
      </c>
      <c r="E53" t="str">
        <f t="shared" si="7"/>
        <v/>
      </c>
      <c r="F53">
        <v>2</v>
      </c>
      <c r="G53">
        <v>100</v>
      </c>
      <c r="H53" s="3">
        <v>409</v>
      </c>
      <c r="I53" s="3" t="e">
        <f>_xlfn.NUMBERVALUE(#REF!)</f>
        <v>#REF!</v>
      </c>
      <c r="J53" t="s">
        <v>114</v>
      </c>
      <c r="K53" t="s">
        <v>1037</v>
      </c>
      <c r="L53" t="s">
        <v>1038</v>
      </c>
      <c r="M53" t="s">
        <v>111</v>
      </c>
      <c r="N53" t="s">
        <v>111</v>
      </c>
      <c r="O53" t="s">
        <v>111</v>
      </c>
      <c r="P53" t="s">
        <v>111</v>
      </c>
      <c r="Q53" t="s">
        <v>351</v>
      </c>
      <c r="R53" t="str">
        <f t="shared" si="8"/>
        <v/>
      </c>
      <c r="S53" t="s">
        <v>352</v>
      </c>
      <c r="T53" t="s">
        <v>487</v>
      </c>
      <c r="U53" t="s">
        <v>117</v>
      </c>
      <c r="V53" t="s">
        <v>480</v>
      </c>
      <c r="W53" s="4">
        <v>5</v>
      </c>
      <c r="X53">
        <v>4</v>
      </c>
      <c r="Y53">
        <v>5</v>
      </c>
      <c r="Z53">
        <v>5</v>
      </c>
      <c r="AA53">
        <v>2</v>
      </c>
      <c r="AB53">
        <v>4</v>
      </c>
      <c r="AC53">
        <v>5</v>
      </c>
      <c r="AD53">
        <v>4</v>
      </c>
      <c r="AE53">
        <v>3</v>
      </c>
      <c r="AF53">
        <f t="shared" si="9"/>
        <v>1</v>
      </c>
      <c r="AG53" t="s">
        <v>154</v>
      </c>
      <c r="AH53">
        <f t="shared" si="10"/>
        <v>0</v>
      </c>
      <c r="AI53" t="s">
        <v>175</v>
      </c>
      <c r="AJ53">
        <f t="shared" si="11"/>
        <v>1</v>
      </c>
      <c r="AK53" t="s">
        <v>1019</v>
      </c>
      <c r="AL53">
        <f t="shared" si="12"/>
        <v>2</v>
      </c>
      <c r="AM53">
        <v>4</v>
      </c>
      <c r="AN53">
        <v>4</v>
      </c>
      <c r="AO53">
        <v>5</v>
      </c>
      <c r="AP53">
        <v>4</v>
      </c>
      <c r="AQ53">
        <v>5</v>
      </c>
      <c r="AR53">
        <v>5</v>
      </c>
      <c r="AS53">
        <v>10</v>
      </c>
      <c r="AT53" t="s">
        <v>1039</v>
      </c>
      <c r="AU53" t="s">
        <v>1337</v>
      </c>
    </row>
    <row r="54" spans="1:47" x14ac:dyDescent="0.25">
      <c r="A54" t="s">
        <v>1082</v>
      </c>
      <c r="B54" t="s">
        <v>1083</v>
      </c>
      <c r="C54" t="s">
        <v>42</v>
      </c>
      <c r="D54" t="s">
        <v>389</v>
      </c>
      <c r="E54" t="str">
        <f t="shared" si="7"/>
        <v/>
      </c>
      <c r="F54">
        <v>2</v>
      </c>
      <c r="G54">
        <v>100</v>
      </c>
      <c r="H54" s="3">
        <v>88</v>
      </c>
      <c r="I54" s="3" t="e">
        <f>_xlfn.NUMBERVALUE(#REF!)</f>
        <v>#REF!</v>
      </c>
      <c r="J54" t="s">
        <v>114</v>
      </c>
      <c r="K54" t="s">
        <v>1083</v>
      </c>
      <c r="L54" t="s">
        <v>1084</v>
      </c>
      <c r="M54" t="s">
        <v>111</v>
      </c>
      <c r="N54" t="s">
        <v>111</v>
      </c>
      <c r="O54" t="s">
        <v>111</v>
      </c>
      <c r="P54" t="s">
        <v>111</v>
      </c>
      <c r="Q54" t="s">
        <v>392</v>
      </c>
      <c r="R54" t="str">
        <f t="shared" si="8"/>
        <v/>
      </c>
      <c r="S54" t="s">
        <v>393</v>
      </c>
      <c r="T54" t="s">
        <v>127</v>
      </c>
      <c r="U54" t="s">
        <v>117</v>
      </c>
      <c r="V54" t="s">
        <v>1085</v>
      </c>
      <c r="W54" s="4">
        <v>5</v>
      </c>
      <c r="X54">
        <v>5</v>
      </c>
      <c r="Y54">
        <v>5</v>
      </c>
      <c r="Z54">
        <v>5</v>
      </c>
      <c r="AA54">
        <v>5</v>
      </c>
      <c r="AB54">
        <v>5</v>
      </c>
      <c r="AC54">
        <v>5</v>
      </c>
      <c r="AD54">
        <v>5</v>
      </c>
      <c r="AE54">
        <v>3</v>
      </c>
      <c r="AF54">
        <f t="shared" si="9"/>
        <v>1</v>
      </c>
      <c r="AG54" t="s">
        <v>140</v>
      </c>
      <c r="AH54">
        <f t="shared" si="10"/>
        <v>1</v>
      </c>
      <c r="AI54" t="s">
        <v>175</v>
      </c>
      <c r="AJ54">
        <f t="shared" si="11"/>
        <v>1</v>
      </c>
      <c r="AK54" t="s">
        <v>186</v>
      </c>
      <c r="AL54">
        <f t="shared" si="12"/>
        <v>3</v>
      </c>
      <c r="AM54">
        <v>5</v>
      </c>
      <c r="AN54">
        <v>5</v>
      </c>
      <c r="AO54">
        <v>4</v>
      </c>
      <c r="AP54">
        <v>4</v>
      </c>
      <c r="AQ54">
        <v>4</v>
      </c>
      <c r="AR54">
        <v>5</v>
      </c>
      <c r="AS54">
        <v>10</v>
      </c>
      <c r="AT54" t="s">
        <v>1086</v>
      </c>
      <c r="AU54" t="s">
        <v>1339</v>
      </c>
    </row>
    <row r="55" spans="1:47" x14ac:dyDescent="0.25">
      <c r="A55" t="s">
        <v>952</v>
      </c>
      <c r="B55" t="s">
        <v>953</v>
      </c>
      <c r="C55" t="s">
        <v>42</v>
      </c>
      <c r="D55" t="s">
        <v>954</v>
      </c>
      <c r="E55" t="str">
        <f t="shared" si="7"/>
        <v>Unique</v>
      </c>
      <c r="F55">
        <v>2</v>
      </c>
      <c r="G55">
        <v>100</v>
      </c>
      <c r="H55" s="3">
        <v>49</v>
      </c>
      <c r="I55" s="3" t="e">
        <f>_xlfn.NUMBERVALUE(#REF!)</f>
        <v>#REF!</v>
      </c>
      <c r="J55" t="s">
        <v>114</v>
      </c>
      <c r="K55" t="s">
        <v>953</v>
      </c>
      <c r="L55" t="s">
        <v>955</v>
      </c>
      <c r="M55" t="s">
        <v>111</v>
      </c>
      <c r="N55" t="s">
        <v>111</v>
      </c>
      <c r="O55" t="s">
        <v>111</v>
      </c>
      <c r="P55" t="s">
        <v>111</v>
      </c>
      <c r="Q55" t="s">
        <v>956</v>
      </c>
      <c r="R55" t="str">
        <f t="shared" si="8"/>
        <v>Unique</v>
      </c>
      <c r="S55" t="s">
        <v>957</v>
      </c>
      <c r="T55" t="s">
        <v>487</v>
      </c>
      <c r="U55" t="s">
        <v>117</v>
      </c>
      <c r="V55" t="s">
        <v>111</v>
      </c>
      <c r="W55" s="4">
        <v>3</v>
      </c>
      <c r="X55">
        <v>4</v>
      </c>
      <c r="Y55">
        <v>4</v>
      </c>
      <c r="Z55">
        <v>4</v>
      </c>
      <c r="AA55">
        <v>4</v>
      </c>
      <c r="AB55">
        <v>5</v>
      </c>
      <c r="AC55">
        <v>4</v>
      </c>
      <c r="AD55">
        <v>4</v>
      </c>
      <c r="AE55">
        <v>4</v>
      </c>
      <c r="AF55">
        <f t="shared" si="9"/>
        <v>0</v>
      </c>
      <c r="AG55" t="s">
        <v>154</v>
      </c>
      <c r="AH55">
        <f t="shared" si="10"/>
        <v>0</v>
      </c>
      <c r="AI55" t="s">
        <v>141</v>
      </c>
      <c r="AJ55">
        <f t="shared" si="11"/>
        <v>0</v>
      </c>
      <c r="AK55" t="s">
        <v>353</v>
      </c>
      <c r="AL55">
        <f t="shared" si="12"/>
        <v>3</v>
      </c>
      <c r="AM55">
        <v>5</v>
      </c>
      <c r="AN55">
        <v>5</v>
      </c>
      <c r="AO55">
        <v>5</v>
      </c>
      <c r="AP55">
        <v>5</v>
      </c>
      <c r="AQ55">
        <v>5</v>
      </c>
      <c r="AR55">
        <v>5</v>
      </c>
      <c r="AS55">
        <v>10</v>
      </c>
      <c r="AT55" t="s">
        <v>111</v>
      </c>
    </row>
    <row r="56" spans="1:47" x14ac:dyDescent="0.25">
      <c r="A56" t="s">
        <v>967</v>
      </c>
      <c r="B56" t="s">
        <v>968</v>
      </c>
      <c r="C56" t="s">
        <v>42</v>
      </c>
      <c r="D56" t="s">
        <v>389</v>
      </c>
      <c r="E56" t="str">
        <f t="shared" si="7"/>
        <v/>
      </c>
      <c r="F56">
        <v>2</v>
      </c>
      <c r="G56">
        <v>100</v>
      </c>
      <c r="H56" s="3">
        <v>57</v>
      </c>
      <c r="I56" s="3" t="e">
        <f>_xlfn.NUMBERVALUE(#REF!)</f>
        <v>#REF!</v>
      </c>
      <c r="J56" t="s">
        <v>114</v>
      </c>
      <c r="K56" t="s">
        <v>969</v>
      </c>
      <c r="L56" t="s">
        <v>970</v>
      </c>
      <c r="M56" t="s">
        <v>111</v>
      </c>
      <c r="N56" t="s">
        <v>111</v>
      </c>
      <c r="O56" t="s">
        <v>111</v>
      </c>
      <c r="P56" t="s">
        <v>111</v>
      </c>
      <c r="Q56" t="s">
        <v>392</v>
      </c>
      <c r="R56" t="str">
        <f t="shared" si="8"/>
        <v/>
      </c>
      <c r="S56" t="s">
        <v>393</v>
      </c>
      <c r="T56" t="s">
        <v>487</v>
      </c>
      <c r="U56" t="s">
        <v>117</v>
      </c>
      <c r="V56" t="s">
        <v>111</v>
      </c>
      <c r="W56" s="4">
        <v>5</v>
      </c>
      <c r="X56">
        <v>5</v>
      </c>
      <c r="Y56">
        <v>4</v>
      </c>
      <c r="Z56">
        <v>5</v>
      </c>
      <c r="AA56">
        <v>4</v>
      </c>
      <c r="AB56">
        <v>4</v>
      </c>
      <c r="AC56">
        <v>5</v>
      </c>
      <c r="AD56">
        <v>4</v>
      </c>
      <c r="AE56">
        <v>3</v>
      </c>
      <c r="AF56">
        <f t="shared" si="9"/>
        <v>1</v>
      </c>
      <c r="AG56" t="s">
        <v>140</v>
      </c>
      <c r="AH56">
        <f t="shared" si="10"/>
        <v>1</v>
      </c>
      <c r="AI56" t="s">
        <v>175</v>
      </c>
      <c r="AJ56">
        <f t="shared" si="11"/>
        <v>1</v>
      </c>
      <c r="AK56" t="s">
        <v>186</v>
      </c>
      <c r="AL56">
        <f t="shared" si="12"/>
        <v>3</v>
      </c>
      <c r="AM56">
        <v>5</v>
      </c>
      <c r="AN56">
        <v>5</v>
      </c>
      <c r="AO56">
        <v>5</v>
      </c>
      <c r="AP56">
        <v>5</v>
      </c>
      <c r="AQ56">
        <v>5</v>
      </c>
      <c r="AR56">
        <v>5</v>
      </c>
      <c r="AS56">
        <v>9</v>
      </c>
      <c r="AT56" t="s">
        <v>971</v>
      </c>
      <c r="AU56" t="s">
        <v>1330</v>
      </c>
    </row>
    <row r="57" spans="1:47" x14ac:dyDescent="0.25">
      <c r="A57" t="s">
        <v>953</v>
      </c>
      <c r="B57" t="s">
        <v>980</v>
      </c>
      <c r="C57" t="s">
        <v>42</v>
      </c>
      <c r="D57" t="s">
        <v>389</v>
      </c>
      <c r="E57" t="str">
        <f t="shared" si="7"/>
        <v/>
      </c>
      <c r="F57">
        <v>2</v>
      </c>
      <c r="G57">
        <v>100</v>
      </c>
      <c r="H57" s="3">
        <v>81</v>
      </c>
      <c r="I57" s="3" t="e">
        <f>_xlfn.NUMBERVALUE(#REF!)</f>
        <v>#REF!</v>
      </c>
      <c r="J57" t="s">
        <v>114</v>
      </c>
      <c r="K57" t="s">
        <v>981</v>
      </c>
      <c r="L57" t="s">
        <v>982</v>
      </c>
      <c r="M57" t="s">
        <v>111</v>
      </c>
      <c r="N57" t="s">
        <v>111</v>
      </c>
      <c r="O57" t="s">
        <v>111</v>
      </c>
      <c r="P57" t="s">
        <v>111</v>
      </c>
      <c r="Q57" t="s">
        <v>392</v>
      </c>
      <c r="R57" t="str">
        <f t="shared" si="8"/>
        <v/>
      </c>
      <c r="S57" t="s">
        <v>393</v>
      </c>
      <c r="T57" t="s">
        <v>487</v>
      </c>
      <c r="U57" t="s">
        <v>117</v>
      </c>
      <c r="V57" t="s">
        <v>111</v>
      </c>
      <c r="W57" s="4">
        <v>4</v>
      </c>
      <c r="X57">
        <v>4</v>
      </c>
      <c r="Y57">
        <v>4</v>
      </c>
      <c r="Z57">
        <v>4</v>
      </c>
      <c r="AA57">
        <v>4</v>
      </c>
      <c r="AB57">
        <v>4</v>
      </c>
      <c r="AC57">
        <v>4</v>
      </c>
      <c r="AD57">
        <v>4</v>
      </c>
      <c r="AE57">
        <v>3</v>
      </c>
      <c r="AF57">
        <f t="shared" si="9"/>
        <v>1</v>
      </c>
      <c r="AG57" t="s">
        <v>140</v>
      </c>
      <c r="AH57">
        <f t="shared" si="10"/>
        <v>1</v>
      </c>
      <c r="AI57" t="s">
        <v>141</v>
      </c>
      <c r="AJ57">
        <f t="shared" si="11"/>
        <v>0</v>
      </c>
      <c r="AK57" t="s">
        <v>156</v>
      </c>
      <c r="AL57">
        <f t="shared" si="12"/>
        <v>4</v>
      </c>
      <c r="AM57">
        <v>5</v>
      </c>
      <c r="AN57">
        <v>5</v>
      </c>
      <c r="AO57">
        <v>5</v>
      </c>
      <c r="AP57">
        <v>5</v>
      </c>
      <c r="AQ57">
        <v>5</v>
      </c>
      <c r="AR57">
        <v>5</v>
      </c>
      <c r="AS57">
        <v>10</v>
      </c>
      <c r="AT57" t="s">
        <v>983</v>
      </c>
    </row>
    <row r="58" spans="1:47" x14ac:dyDescent="0.25">
      <c r="A58" t="s">
        <v>991</v>
      </c>
      <c r="B58" t="s">
        <v>992</v>
      </c>
      <c r="C58" t="s">
        <v>42</v>
      </c>
      <c r="D58" t="s">
        <v>389</v>
      </c>
      <c r="E58" t="str">
        <f t="shared" si="7"/>
        <v/>
      </c>
      <c r="F58">
        <v>2</v>
      </c>
      <c r="G58">
        <v>100</v>
      </c>
      <c r="H58" s="3">
        <v>104</v>
      </c>
      <c r="I58" s="3" t="e">
        <f>_xlfn.NUMBERVALUE(#REF!)</f>
        <v>#REF!</v>
      </c>
      <c r="J58" t="s">
        <v>114</v>
      </c>
      <c r="K58" t="s">
        <v>993</v>
      </c>
      <c r="L58" t="s">
        <v>994</v>
      </c>
      <c r="M58" t="s">
        <v>111</v>
      </c>
      <c r="N58" t="s">
        <v>111</v>
      </c>
      <c r="O58" t="s">
        <v>111</v>
      </c>
      <c r="P58" t="s">
        <v>111</v>
      </c>
      <c r="Q58" t="s">
        <v>392</v>
      </c>
      <c r="R58" t="str">
        <f t="shared" si="8"/>
        <v/>
      </c>
      <c r="S58" t="s">
        <v>393</v>
      </c>
      <c r="T58" t="s">
        <v>487</v>
      </c>
      <c r="U58" t="s">
        <v>117</v>
      </c>
      <c r="V58" t="s">
        <v>111</v>
      </c>
      <c r="W58" s="4">
        <v>4</v>
      </c>
      <c r="X58">
        <v>5</v>
      </c>
      <c r="Y58">
        <v>4</v>
      </c>
      <c r="Z58">
        <v>4</v>
      </c>
      <c r="AA58">
        <v>5</v>
      </c>
      <c r="AB58">
        <v>4</v>
      </c>
      <c r="AC58">
        <v>5</v>
      </c>
      <c r="AD58">
        <v>5</v>
      </c>
      <c r="AE58">
        <v>3</v>
      </c>
      <c r="AF58">
        <f t="shared" si="9"/>
        <v>1</v>
      </c>
      <c r="AG58" t="s">
        <v>140</v>
      </c>
      <c r="AH58">
        <f t="shared" si="10"/>
        <v>1</v>
      </c>
      <c r="AI58" t="s">
        <v>175</v>
      </c>
      <c r="AJ58">
        <f t="shared" si="11"/>
        <v>1</v>
      </c>
      <c r="AK58" t="s">
        <v>142</v>
      </c>
      <c r="AL58">
        <f t="shared" si="12"/>
        <v>2</v>
      </c>
      <c r="AM58">
        <v>5</v>
      </c>
      <c r="AN58">
        <v>5</v>
      </c>
      <c r="AO58">
        <v>5</v>
      </c>
      <c r="AP58">
        <v>5</v>
      </c>
      <c r="AQ58">
        <v>5</v>
      </c>
      <c r="AR58">
        <v>5</v>
      </c>
      <c r="AS58">
        <v>10</v>
      </c>
      <c r="AT58" t="s">
        <v>995</v>
      </c>
      <c r="AU58" t="s">
        <v>1334</v>
      </c>
    </row>
    <row r="59" spans="1:47" x14ac:dyDescent="0.25">
      <c r="A59" t="s">
        <v>996</v>
      </c>
      <c r="B59" t="s">
        <v>997</v>
      </c>
      <c r="C59" t="s">
        <v>42</v>
      </c>
      <c r="D59" t="s">
        <v>606</v>
      </c>
      <c r="E59" t="str">
        <f t="shared" si="7"/>
        <v>Unique</v>
      </c>
      <c r="F59">
        <v>2</v>
      </c>
      <c r="G59">
        <v>100</v>
      </c>
      <c r="H59" s="3">
        <v>127</v>
      </c>
      <c r="I59" s="3" t="e">
        <f>_xlfn.NUMBERVALUE(#REF!)</f>
        <v>#REF!</v>
      </c>
      <c r="J59" t="s">
        <v>114</v>
      </c>
      <c r="K59" t="s">
        <v>997</v>
      </c>
      <c r="L59" t="s">
        <v>998</v>
      </c>
      <c r="M59" t="s">
        <v>111</v>
      </c>
      <c r="N59" t="s">
        <v>111</v>
      </c>
      <c r="O59" t="s">
        <v>111</v>
      </c>
      <c r="P59" t="s">
        <v>111</v>
      </c>
      <c r="Q59" t="s">
        <v>351</v>
      </c>
      <c r="R59" t="str">
        <f t="shared" si="8"/>
        <v/>
      </c>
      <c r="S59" t="s">
        <v>352</v>
      </c>
      <c r="T59" t="s">
        <v>487</v>
      </c>
      <c r="U59" t="s">
        <v>117</v>
      </c>
      <c r="V59" t="s">
        <v>111</v>
      </c>
      <c r="W59" s="4">
        <v>4</v>
      </c>
      <c r="X59">
        <v>4</v>
      </c>
      <c r="Y59">
        <v>4</v>
      </c>
      <c r="Z59">
        <v>4</v>
      </c>
      <c r="AA59">
        <v>2</v>
      </c>
      <c r="AB59">
        <v>3</v>
      </c>
      <c r="AC59">
        <v>5</v>
      </c>
      <c r="AD59">
        <v>3</v>
      </c>
      <c r="AE59">
        <v>3</v>
      </c>
      <c r="AF59">
        <f t="shared" si="9"/>
        <v>1</v>
      </c>
      <c r="AG59" t="s">
        <v>140</v>
      </c>
      <c r="AH59">
        <f t="shared" si="10"/>
        <v>1</v>
      </c>
      <c r="AI59" t="s">
        <v>175</v>
      </c>
      <c r="AJ59">
        <f t="shared" si="11"/>
        <v>1</v>
      </c>
      <c r="AK59" t="s">
        <v>999</v>
      </c>
      <c r="AL59">
        <f t="shared" si="12"/>
        <v>2</v>
      </c>
      <c r="AM59">
        <v>3</v>
      </c>
      <c r="AN59">
        <v>4</v>
      </c>
      <c r="AO59">
        <v>3</v>
      </c>
      <c r="AP59">
        <v>3</v>
      </c>
      <c r="AQ59">
        <v>3</v>
      </c>
      <c r="AR59">
        <v>3</v>
      </c>
      <c r="AS59">
        <v>10</v>
      </c>
      <c r="AT59" t="s">
        <v>111</v>
      </c>
    </row>
    <row r="60" spans="1:47" x14ac:dyDescent="0.25">
      <c r="A60" t="s">
        <v>996</v>
      </c>
      <c r="B60" t="s">
        <v>1007</v>
      </c>
      <c r="C60" t="s">
        <v>42</v>
      </c>
      <c r="D60" t="s">
        <v>709</v>
      </c>
      <c r="E60" t="str">
        <f t="shared" si="7"/>
        <v>Unique</v>
      </c>
      <c r="F60">
        <v>2</v>
      </c>
      <c r="G60">
        <v>100</v>
      </c>
      <c r="H60" s="3">
        <v>144</v>
      </c>
      <c r="I60" s="3" t="e">
        <f>_xlfn.NUMBERVALUE(#REF!)</f>
        <v>#REF!</v>
      </c>
      <c r="J60" t="s">
        <v>114</v>
      </c>
      <c r="K60" t="s">
        <v>1007</v>
      </c>
      <c r="L60" t="s">
        <v>1010</v>
      </c>
      <c r="M60" t="s">
        <v>111</v>
      </c>
      <c r="N60" t="s">
        <v>111</v>
      </c>
      <c r="O60" t="s">
        <v>111</v>
      </c>
      <c r="P60" t="s">
        <v>111</v>
      </c>
      <c r="Q60" t="s">
        <v>712</v>
      </c>
      <c r="R60" t="str">
        <f t="shared" si="8"/>
        <v>Unique</v>
      </c>
      <c r="S60" t="s">
        <v>713</v>
      </c>
      <c r="T60" t="s">
        <v>487</v>
      </c>
      <c r="U60" t="s">
        <v>117</v>
      </c>
      <c r="V60" t="s">
        <v>111</v>
      </c>
      <c r="W60" s="4">
        <v>5</v>
      </c>
      <c r="X60">
        <v>5</v>
      </c>
      <c r="Y60">
        <v>4</v>
      </c>
      <c r="Z60">
        <v>5</v>
      </c>
      <c r="AA60">
        <v>3</v>
      </c>
      <c r="AB60">
        <v>2</v>
      </c>
      <c r="AC60">
        <v>5</v>
      </c>
      <c r="AD60">
        <v>3</v>
      </c>
      <c r="AE60">
        <v>3</v>
      </c>
      <c r="AF60">
        <f t="shared" si="9"/>
        <v>1</v>
      </c>
      <c r="AG60" t="s">
        <v>140</v>
      </c>
      <c r="AH60">
        <f t="shared" si="10"/>
        <v>1</v>
      </c>
      <c r="AI60" t="s">
        <v>175</v>
      </c>
      <c r="AJ60">
        <f t="shared" si="11"/>
        <v>1</v>
      </c>
      <c r="AK60" t="s">
        <v>999</v>
      </c>
      <c r="AL60">
        <f t="shared" si="12"/>
        <v>2</v>
      </c>
      <c r="AM60">
        <v>4</v>
      </c>
      <c r="AN60">
        <v>5</v>
      </c>
      <c r="AO60">
        <v>4</v>
      </c>
      <c r="AP60">
        <v>4</v>
      </c>
      <c r="AQ60">
        <v>4</v>
      </c>
      <c r="AR60">
        <v>5</v>
      </c>
      <c r="AS60">
        <v>9</v>
      </c>
      <c r="AT60" t="s">
        <v>111</v>
      </c>
    </row>
    <row r="61" spans="1:47" x14ac:dyDescent="0.25">
      <c r="A61" t="s">
        <v>991</v>
      </c>
      <c r="B61" t="s">
        <v>1011</v>
      </c>
      <c r="C61" t="s">
        <v>42</v>
      </c>
      <c r="D61" t="s">
        <v>389</v>
      </c>
      <c r="E61" t="str">
        <f t="shared" si="7"/>
        <v/>
      </c>
      <c r="F61">
        <v>2</v>
      </c>
      <c r="G61">
        <v>100</v>
      </c>
      <c r="H61" s="3">
        <v>196</v>
      </c>
      <c r="I61" s="3" t="e">
        <f>_xlfn.NUMBERVALUE(#REF!)</f>
        <v>#REF!</v>
      </c>
      <c r="J61" t="s">
        <v>114</v>
      </c>
      <c r="K61" t="s">
        <v>1011</v>
      </c>
      <c r="L61" t="s">
        <v>1012</v>
      </c>
      <c r="M61" t="s">
        <v>111</v>
      </c>
      <c r="N61" t="s">
        <v>111</v>
      </c>
      <c r="O61" t="s">
        <v>111</v>
      </c>
      <c r="P61" t="s">
        <v>111</v>
      </c>
      <c r="Q61" t="s">
        <v>392</v>
      </c>
      <c r="R61" t="str">
        <f t="shared" si="8"/>
        <v/>
      </c>
      <c r="S61" t="s">
        <v>393</v>
      </c>
      <c r="T61" t="s">
        <v>487</v>
      </c>
      <c r="U61" t="s">
        <v>117</v>
      </c>
      <c r="V61" t="s">
        <v>111</v>
      </c>
      <c r="W61" s="4">
        <v>5</v>
      </c>
      <c r="X61">
        <v>4</v>
      </c>
      <c r="Y61">
        <v>4</v>
      </c>
      <c r="Z61">
        <v>4</v>
      </c>
      <c r="AA61">
        <v>5</v>
      </c>
      <c r="AB61">
        <v>5</v>
      </c>
      <c r="AC61">
        <v>4</v>
      </c>
      <c r="AD61">
        <v>1</v>
      </c>
      <c r="AE61">
        <v>3.5</v>
      </c>
      <c r="AF61">
        <f t="shared" si="9"/>
        <v>0.5</v>
      </c>
      <c r="AG61" t="s">
        <v>185</v>
      </c>
      <c r="AH61">
        <f t="shared" si="10"/>
        <v>0</v>
      </c>
      <c r="AI61" t="s">
        <v>175</v>
      </c>
      <c r="AJ61">
        <f t="shared" si="11"/>
        <v>1</v>
      </c>
      <c r="AK61" t="s">
        <v>232</v>
      </c>
      <c r="AL61">
        <f t="shared" si="12"/>
        <v>1</v>
      </c>
      <c r="AM61">
        <v>3</v>
      </c>
      <c r="AN61">
        <v>3</v>
      </c>
      <c r="AO61">
        <v>3</v>
      </c>
      <c r="AP61">
        <v>2</v>
      </c>
      <c r="AQ61">
        <v>2</v>
      </c>
      <c r="AR61">
        <v>3</v>
      </c>
      <c r="AS61">
        <v>5</v>
      </c>
      <c r="AT61" t="s">
        <v>1013</v>
      </c>
      <c r="AU61" t="s">
        <v>1335</v>
      </c>
    </row>
    <row r="62" spans="1:47" x14ac:dyDescent="0.25">
      <c r="A62" t="s">
        <v>996</v>
      </c>
      <c r="B62" t="s">
        <v>1016</v>
      </c>
      <c r="C62" t="s">
        <v>42</v>
      </c>
      <c r="D62" t="s">
        <v>1020</v>
      </c>
      <c r="E62" t="str">
        <f t="shared" si="7"/>
        <v>Unique</v>
      </c>
      <c r="F62">
        <v>2</v>
      </c>
      <c r="G62">
        <v>100</v>
      </c>
      <c r="H62" s="3">
        <v>200</v>
      </c>
      <c r="I62" s="3" t="e">
        <f>_xlfn.NUMBERVALUE(#REF!)</f>
        <v>#REF!</v>
      </c>
      <c r="J62" t="s">
        <v>114</v>
      </c>
      <c r="K62" t="s">
        <v>1016</v>
      </c>
      <c r="L62" t="s">
        <v>1021</v>
      </c>
      <c r="M62" t="s">
        <v>111</v>
      </c>
      <c r="N62" t="s">
        <v>111</v>
      </c>
      <c r="O62" t="s">
        <v>111</v>
      </c>
      <c r="P62" t="s">
        <v>111</v>
      </c>
      <c r="Q62" t="s">
        <v>351</v>
      </c>
      <c r="R62" t="str">
        <f t="shared" si="8"/>
        <v/>
      </c>
      <c r="S62" t="s">
        <v>352</v>
      </c>
      <c r="T62" t="s">
        <v>487</v>
      </c>
      <c r="U62" t="s">
        <v>117</v>
      </c>
      <c r="V62" t="s">
        <v>111</v>
      </c>
      <c r="W62" s="4">
        <v>4</v>
      </c>
      <c r="X62">
        <v>4</v>
      </c>
      <c r="Y62">
        <v>4</v>
      </c>
      <c r="Z62">
        <v>4</v>
      </c>
      <c r="AA62">
        <v>4</v>
      </c>
      <c r="AB62">
        <v>4</v>
      </c>
      <c r="AC62">
        <v>4</v>
      </c>
      <c r="AD62">
        <v>3</v>
      </c>
      <c r="AE62">
        <v>3</v>
      </c>
      <c r="AF62">
        <f t="shared" si="9"/>
        <v>1</v>
      </c>
      <c r="AG62" t="s">
        <v>140</v>
      </c>
      <c r="AH62">
        <f t="shared" si="10"/>
        <v>1</v>
      </c>
      <c r="AI62" t="s">
        <v>175</v>
      </c>
      <c r="AJ62">
        <f t="shared" si="11"/>
        <v>1</v>
      </c>
      <c r="AK62" t="s">
        <v>156</v>
      </c>
      <c r="AL62">
        <f t="shared" si="12"/>
        <v>4</v>
      </c>
      <c r="AM62">
        <v>4</v>
      </c>
      <c r="AN62">
        <v>4</v>
      </c>
      <c r="AO62">
        <v>4</v>
      </c>
      <c r="AP62">
        <v>4</v>
      </c>
      <c r="AQ62">
        <v>4</v>
      </c>
      <c r="AR62">
        <v>4</v>
      </c>
      <c r="AS62">
        <v>8</v>
      </c>
      <c r="AT62" t="s">
        <v>1022</v>
      </c>
      <c r="AU62" t="s">
        <v>1336</v>
      </c>
    </row>
    <row r="63" spans="1:47" x14ac:dyDescent="0.25">
      <c r="A63" t="s">
        <v>1032</v>
      </c>
      <c r="B63" t="s">
        <v>1033</v>
      </c>
      <c r="C63" t="s">
        <v>42</v>
      </c>
      <c r="D63" t="s">
        <v>389</v>
      </c>
      <c r="E63" t="str">
        <f t="shared" si="7"/>
        <v/>
      </c>
      <c r="F63">
        <v>2</v>
      </c>
      <c r="G63">
        <v>100</v>
      </c>
      <c r="H63" s="3">
        <v>87</v>
      </c>
      <c r="I63" s="3" t="e">
        <f>_xlfn.NUMBERVALUE(#REF!)</f>
        <v>#REF!</v>
      </c>
      <c r="J63" t="s">
        <v>114</v>
      </c>
      <c r="K63" t="s">
        <v>1033</v>
      </c>
      <c r="L63" t="s">
        <v>1034</v>
      </c>
      <c r="M63" t="s">
        <v>111</v>
      </c>
      <c r="N63" t="s">
        <v>111</v>
      </c>
      <c r="O63" t="s">
        <v>111</v>
      </c>
      <c r="P63" t="s">
        <v>111</v>
      </c>
      <c r="Q63" t="s">
        <v>392</v>
      </c>
      <c r="R63" t="str">
        <f t="shared" si="8"/>
        <v/>
      </c>
      <c r="S63" t="s">
        <v>393</v>
      </c>
      <c r="T63" t="s">
        <v>487</v>
      </c>
      <c r="U63" t="s">
        <v>117</v>
      </c>
      <c r="V63" t="s">
        <v>111</v>
      </c>
      <c r="W63" s="4">
        <v>5</v>
      </c>
      <c r="X63">
        <v>5</v>
      </c>
      <c r="Y63">
        <v>5</v>
      </c>
      <c r="Z63">
        <v>5</v>
      </c>
      <c r="AA63">
        <v>5</v>
      </c>
      <c r="AB63">
        <v>5</v>
      </c>
      <c r="AC63">
        <v>5</v>
      </c>
      <c r="AD63">
        <v>5</v>
      </c>
      <c r="AF63">
        <f t="shared" si="9"/>
        <v>0</v>
      </c>
      <c r="AG63" t="s">
        <v>154</v>
      </c>
      <c r="AH63">
        <f t="shared" si="10"/>
        <v>0</v>
      </c>
      <c r="AI63" t="s">
        <v>175</v>
      </c>
      <c r="AJ63">
        <f t="shared" si="11"/>
        <v>1</v>
      </c>
      <c r="AK63" t="s">
        <v>156</v>
      </c>
      <c r="AL63">
        <f t="shared" si="12"/>
        <v>4</v>
      </c>
      <c r="AM63">
        <v>5</v>
      </c>
      <c r="AN63">
        <v>5</v>
      </c>
      <c r="AO63">
        <v>5</v>
      </c>
      <c r="AP63">
        <v>5</v>
      </c>
      <c r="AQ63">
        <v>5</v>
      </c>
      <c r="AR63">
        <v>5</v>
      </c>
      <c r="AS63">
        <v>10</v>
      </c>
      <c r="AT63" t="s">
        <v>111</v>
      </c>
    </row>
    <row r="64" spans="1:47" x14ac:dyDescent="0.25">
      <c r="A64" t="s">
        <v>1040</v>
      </c>
      <c r="B64" t="s">
        <v>1041</v>
      </c>
      <c r="C64" t="s">
        <v>42</v>
      </c>
      <c r="D64" t="s">
        <v>1042</v>
      </c>
      <c r="E64" t="str">
        <f t="shared" si="7"/>
        <v>Unique</v>
      </c>
      <c r="F64">
        <v>2</v>
      </c>
      <c r="G64">
        <v>100</v>
      </c>
      <c r="H64" s="3">
        <v>208</v>
      </c>
      <c r="I64" s="3" t="e">
        <f>_xlfn.NUMBERVALUE(#REF!)</f>
        <v>#REF!</v>
      </c>
      <c r="J64" t="s">
        <v>114</v>
      </c>
      <c r="K64" t="s">
        <v>1041</v>
      </c>
      <c r="L64" t="s">
        <v>1043</v>
      </c>
      <c r="M64" t="s">
        <v>111</v>
      </c>
      <c r="N64" t="s">
        <v>111</v>
      </c>
      <c r="O64" t="s">
        <v>111</v>
      </c>
      <c r="P64" t="s">
        <v>111</v>
      </c>
      <c r="Q64" t="s">
        <v>1044</v>
      </c>
      <c r="R64" t="str">
        <f t="shared" si="8"/>
        <v>Unique</v>
      </c>
      <c r="S64" t="s">
        <v>1045</v>
      </c>
      <c r="T64" t="s">
        <v>487</v>
      </c>
      <c r="U64" t="s">
        <v>117</v>
      </c>
      <c r="V64" t="s">
        <v>111</v>
      </c>
      <c r="W64" s="4">
        <v>5</v>
      </c>
      <c r="X64">
        <v>3</v>
      </c>
      <c r="Y64">
        <v>3</v>
      </c>
      <c r="Z64">
        <v>5</v>
      </c>
      <c r="AA64">
        <v>2</v>
      </c>
      <c r="AB64">
        <v>4</v>
      </c>
      <c r="AC64">
        <v>5</v>
      </c>
      <c r="AD64">
        <v>1</v>
      </c>
      <c r="AE64">
        <v>3</v>
      </c>
      <c r="AF64">
        <f t="shared" si="9"/>
        <v>1</v>
      </c>
      <c r="AG64" t="s">
        <v>140</v>
      </c>
      <c r="AH64">
        <f t="shared" si="10"/>
        <v>1</v>
      </c>
      <c r="AI64" t="s">
        <v>175</v>
      </c>
      <c r="AJ64">
        <f t="shared" si="11"/>
        <v>1</v>
      </c>
      <c r="AK64" t="s">
        <v>450</v>
      </c>
      <c r="AL64">
        <f t="shared" si="12"/>
        <v>2</v>
      </c>
      <c r="AM64">
        <v>3</v>
      </c>
      <c r="AN64">
        <v>2</v>
      </c>
      <c r="AO64">
        <v>2</v>
      </c>
      <c r="AP64">
        <v>1</v>
      </c>
      <c r="AQ64">
        <v>3</v>
      </c>
      <c r="AR64">
        <v>5</v>
      </c>
      <c r="AS64">
        <v>9</v>
      </c>
      <c r="AT64" t="s">
        <v>1046</v>
      </c>
      <c r="AU64" t="s">
        <v>1337</v>
      </c>
    </row>
    <row r="65" spans="1:47" x14ac:dyDescent="0.25">
      <c r="A65" t="s">
        <v>1075</v>
      </c>
      <c r="B65" t="s">
        <v>1076</v>
      </c>
      <c r="C65" t="s">
        <v>42</v>
      </c>
      <c r="D65" t="s">
        <v>721</v>
      </c>
      <c r="E65" t="str">
        <f t="shared" si="7"/>
        <v>Unique</v>
      </c>
      <c r="F65">
        <v>2</v>
      </c>
      <c r="G65">
        <v>100</v>
      </c>
      <c r="H65" s="3">
        <v>1712</v>
      </c>
      <c r="I65" s="3" t="e">
        <f>_xlfn.NUMBERVALUE(#REF!)</f>
        <v>#REF!</v>
      </c>
      <c r="J65" t="s">
        <v>114</v>
      </c>
      <c r="K65" t="s">
        <v>1076</v>
      </c>
      <c r="L65" t="s">
        <v>1077</v>
      </c>
      <c r="M65" t="s">
        <v>111</v>
      </c>
      <c r="N65" t="s">
        <v>111</v>
      </c>
      <c r="O65" t="s">
        <v>111</v>
      </c>
      <c r="P65" t="s">
        <v>111</v>
      </c>
      <c r="Q65" t="s">
        <v>351</v>
      </c>
      <c r="R65" t="str">
        <f t="shared" si="8"/>
        <v/>
      </c>
      <c r="S65" t="s">
        <v>352</v>
      </c>
      <c r="T65" t="s">
        <v>487</v>
      </c>
      <c r="U65" t="s">
        <v>117</v>
      </c>
      <c r="V65" t="s">
        <v>111</v>
      </c>
      <c r="W65" s="4">
        <v>4</v>
      </c>
      <c r="X65">
        <v>4</v>
      </c>
      <c r="Y65">
        <v>3</v>
      </c>
      <c r="Z65">
        <v>5</v>
      </c>
      <c r="AA65">
        <v>3</v>
      </c>
      <c r="AB65">
        <v>3</v>
      </c>
      <c r="AC65">
        <v>4</v>
      </c>
      <c r="AD65">
        <v>3</v>
      </c>
      <c r="AE65">
        <v>3</v>
      </c>
      <c r="AF65">
        <f t="shared" si="9"/>
        <v>1</v>
      </c>
      <c r="AG65" t="s">
        <v>140</v>
      </c>
      <c r="AH65">
        <f t="shared" si="10"/>
        <v>1</v>
      </c>
      <c r="AI65" t="s">
        <v>155</v>
      </c>
      <c r="AJ65">
        <f t="shared" si="11"/>
        <v>0</v>
      </c>
      <c r="AK65" t="s">
        <v>142</v>
      </c>
      <c r="AL65">
        <f t="shared" si="12"/>
        <v>2</v>
      </c>
      <c r="AM65">
        <v>4</v>
      </c>
      <c r="AN65">
        <v>4</v>
      </c>
      <c r="AO65">
        <v>4</v>
      </c>
      <c r="AP65">
        <v>4</v>
      </c>
      <c r="AQ65">
        <v>4</v>
      </c>
      <c r="AR65">
        <v>4</v>
      </c>
      <c r="AS65">
        <v>8</v>
      </c>
      <c r="AT65" t="s">
        <v>726</v>
      </c>
      <c r="AU65" t="s">
        <v>1336</v>
      </c>
    </row>
    <row r="66" spans="1:47" x14ac:dyDescent="0.25">
      <c r="A66" t="s">
        <v>1105</v>
      </c>
      <c r="B66" t="s">
        <v>1106</v>
      </c>
      <c r="C66" t="s">
        <v>42</v>
      </c>
      <c r="D66" t="s">
        <v>254</v>
      </c>
      <c r="E66" t="str">
        <f t="shared" si="7"/>
        <v>Unique</v>
      </c>
      <c r="F66">
        <v>2</v>
      </c>
      <c r="G66">
        <v>100</v>
      </c>
      <c r="H66" s="3">
        <v>215</v>
      </c>
      <c r="I66" s="3" t="e">
        <f>_xlfn.NUMBERVALUE(#REF!)</f>
        <v>#REF!</v>
      </c>
      <c r="J66" t="s">
        <v>114</v>
      </c>
      <c r="K66" t="s">
        <v>1107</v>
      </c>
      <c r="L66" t="s">
        <v>1108</v>
      </c>
      <c r="M66" t="s">
        <v>111</v>
      </c>
      <c r="N66" t="s">
        <v>111</v>
      </c>
      <c r="O66" t="s">
        <v>111</v>
      </c>
      <c r="P66" t="s">
        <v>111</v>
      </c>
      <c r="Q66" t="s">
        <v>256</v>
      </c>
      <c r="R66" t="str">
        <f t="shared" si="8"/>
        <v>Unique</v>
      </c>
      <c r="S66" t="s">
        <v>257</v>
      </c>
      <c r="T66" t="s">
        <v>127</v>
      </c>
      <c r="U66" t="s">
        <v>117</v>
      </c>
      <c r="V66" t="s">
        <v>111</v>
      </c>
      <c r="W66" s="4">
        <v>5</v>
      </c>
      <c r="X66">
        <v>5</v>
      </c>
      <c r="Y66">
        <v>4</v>
      </c>
      <c r="Z66">
        <v>3</v>
      </c>
      <c r="AA66">
        <v>4</v>
      </c>
      <c r="AB66">
        <v>5</v>
      </c>
      <c r="AC66">
        <v>5</v>
      </c>
      <c r="AD66">
        <v>3</v>
      </c>
      <c r="AE66">
        <v>1.5</v>
      </c>
      <c r="AF66">
        <f t="shared" si="9"/>
        <v>0</v>
      </c>
      <c r="AG66" t="s">
        <v>140</v>
      </c>
      <c r="AH66">
        <f t="shared" si="10"/>
        <v>1</v>
      </c>
      <c r="AI66" t="s">
        <v>175</v>
      </c>
      <c r="AJ66">
        <f t="shared" si="11"/>
        <v>1</v>
      </c>
      <c r="AK66" t="s">
        <v>186</v>
      </c>
      <c r="AL66">
        <f t="shared" si="12"/>
        <v>3</v>
      </c>
      <c r="AM66">
        <v>1</v>
      </c>
      <c r="AN66">
        <v>3</v>
      </c>
      <c r="AO66">
        <v>5</v>
      </c>
      <c r="AP66">
        <v>3</v>
      </c>
      <c r="AQ66">
        <v>4</v>
      </c>
      <c r="AR66">
        <v>5</v>
      </c>
      <c r="AS66">
        <v>8</v>
      </c>
      <c r="AT66" t="s">
        <v>1109</v>
      </c>
      <c r="AU66" t="s">
        <v>1337</v>
      </c>
    </row>
    <row r="67" spans="1:47" x14ac:dyDescent="0.25">
      <c r="A67" t="s">
        <v>1116</v>
      </c>
      <c r="B67" t="s">
        <v>1117</v>
      </c>
      <c r="C67" t="s">
        <v>42</v>
      </c>
      <c r="D67" t="s">
        <v>366</v>
      </c>
      <c r="E67" t="str">
        <f t="shared" si="7"/>
        <v>Unique</v>
      </c>
      <c r="F67">
        <v>2</v>
      </c>
      <c r="G67">
        <v>100</v>
      </c>
      <c r="H67" s="3">
        <v>96</v>
      </c>
      <c r="I67" s="3" t="e">
        <f>_xlfn.NUMBERVALUE(#REF!)</f>
        <v>#REF!</v>
      </c>
      <c r="J67" t="s">
        <v>114</v>
      </c>
      <c r="K67" t="s">
        <v>1118</v>
      </c>
      <c r="L67" t="s">
        <v>1119</v>
      </c>
      <c r="M67" t="s">
        <v>111</v>
      </c>
      <c r="N67" t="s">
        <v>111</v>
      </c>
      <c r="O67" t="s">
        <v>111</v>
      </c>
      <c r="P67" t="s">
        <v>111</v>
      </c>
      <c r="Q67" t="s">
        <v>115</v>
      </c>
      <c r="R67" t="str">
        <f t="shared" si="8"/>
        <v/>
      </c>
      <c r="S67" t="s">
        <v>116</v>
      </c>
      <c r="T67" t="s">
        <v>127</v>
      </c>
      <c r="U67" t="s">
        <v>117</v>
      </c>
      <c r="V67" t="s">
        <v>111</v>
      </c>
      <c r="W67" s="4">
        <v>5</v>
      </c>
      <c r="X67">
        <v>5</v>
      </c>
      <c r="Y67">
        <v>1</v>
      </c>
      <c r="Z67">
        <v>3</v>
      </c>
      <c r="AA67">
        <v>5</v>
      </c>
      <c r="AB67">
        <v>2</v>
      </c>
      <c r="AC67">
        <v>5</v>
      </c>
      <c r="AD67">
        <v>3</v>
      </c>
      <c r="AE67">
        <v>4</v>
      </c>
      <c r="AF67">
        <f t="shared" si="9"/>
        <v>0</v>
      </c>
      <c r="AG67" t="s">
        <v>154</v>
      </c>
      <c r="AH67">
        <f t="shared" si="10"/>
        <v>0</v>
      </c>
      <c r="AI67" t="s">
        <v>155</v>
      </c>
      <c r="AJ67">
        <f t="shared" si="11"/>
        <v>0</v>
      </c>
      <c r="AK67" t="s">
        <v>167</v>
      </c>
      <c r="AL67">
        <f t="shared" si="12"/>
        <v>3</v>
      </c>
      <c r="AM67">
        <v>5</v>
      </c>
      <c r="AN67">
        <v>5</v>
      </c>
      <c r="AO67">
        <v>5</v>
      </c>
      <c r="AP67">
        <v>2</v>
      </c>
      <c r="AQ67">
        <v>5</v>
      </c>
      <c r="AR67">
        <v>5</v>
      </c>
      <c r="AS67">
        <v>10</v>
      </c>
      <c r="AT67" t="s">
        <v>1120</v>
      </c>
      <c r="AU67" t="s">
        <v>1338</v>
      </c>
    </row>
    <row r="68" spans="1:47" x14ac:dyDescent="0.25">
      <c r="A68" t="s">
        <v>1170</v>
      </c>
      <c r="B68" t="s">
        <v>1171</v>
      </c>
      <c r="C68" t="s">
        <v>42</v>
      </c>
      <c r="D68" t="s">
        <v>1172</v>
      </c>
      <c r="E68" t="str">
        <f t="shared" si="7"/>
        <v>Unique</v>
      </c>
      <c r="F68">
        <v>2</v>
      </c>
      <c r="G68">
        <v>100</v>
      </c>
      <c r="H68" s="3">
        <v>164</v>
      </c>
      <c r="I68" s="3" t="e">
        <f>_xlfn.NUMBERVALUE(#REF!)</f>
        <v>#REF!</v>
      </c>
      <c r="J68" t="s">
        <v>114</v>
      </c>
      <c r="K68" t="s">
        <v>1173</v>
      </c>
      <c r="L68" t="s">
        <v>1174</v>
      </c>
      <c r="M68" t="s">
        <v>111</v>
      </c>
      <c r="N68" t="s">
        <v>111</v>
      </c>
      <c r="O68" t="s">
        <v>111</v>
      </c>
      <c r="P68" t="s">
        <v>111</v>
      </c>
      <c r="Q68" t="s">
        <v>1175</v>
      </c>
      <c r="R68" t="str">
        <f t="shared" si="8"/>
        <v>Unique</v>
      </c>
      <c r="S68" t="s">
        <v>1176</v>
      </c>
      <c r="T68" t="s">
        <v>127</v>
      </c>
      <c r="U68" t="s">
        <v>117</v>
      </c>
      <c r="V68" t="s">
        <v>111</v>
      </c>
      <c r="W68" s="4">
        <v>4</v>
      </c>
      <c r="X68">
        <v>2</v>
      </c>
      <c r="Y68">
        <v>4</v>
      </c>
      <c r="Z68">
        <v>5</v>
      </c>
      <c r="AA68">
        <v>3</v>
      </c>
      <c r="AB68">
        <v>2</v>
      </c>
      <c r="AC68">
        <v>5</v>
      </c>
      <c r="AD68">
        <v>1</v>
      </c>
      <c r="AE68">
        <v>2.5</v>
      </c>
      <c r="AF68">
        <f t="shared" si="9"/>
        <v>0.5</v>
      </c>
      <c r="AG68" t="s">
        <v>140</v>
      </c>
      <c r="AH68">
        <f t="shared" si="10"/>
        <v>1</v>
      </c>
      <c r="AI68" t="s">
        <v>175</v>
      </c>
      <c r="AJ68">
        <f t="shared" si="11"/>
        <v>1</v>
      </c>
      <c r="AK68" t="s">
        <v>1177</v>
      </c>
      <c r="AL68">
        <f t="shared" si="12"/>
        <v>1</v>
      </c>
      <c r="AM68">
        <v>4</v>
      </c>
      <c r="AN68">
        <v>1</v>
      </c>
      <c r="AO68">
        <v>4</v>
      </c>
      <c r="AP68">
        <v>1</v>
      </c>
      <c r="AQ68">
        <v>4</v>
      </c>
      <c r="AR68">
        <v>4</v>
      </c>
      <c r="AS68">
        <v>10</v>
      </c>
      <c r="AT68" t="s">
        <v>1178</v>
      </c>
      <c r="AU68" t="s">
        <v>1333</v>
      </c>
    </row>
    <row r="69" spans="1:47" x14ac:dyDescent="0.25">
      <c r="A69" t="s">
        <v>1215</v>
      </c>
      <c r="B69" t="s">
        <v>1216</v>
      </c>
      <c r="C69" t="s">
        <v>42</v>
      </c>
      <c r="D69" t="s">
        <v>1217</v>
      </c>
      <c r="E69" t="str">
        <f t="shared" si="7"/>
        <v>Unique</v>
      </c>
      <c r="F69">
        <v>2</v>
      </c>
      <c r="G69">
        <v>100</v>
      </c>
      <c r="H69" s="3">
        <v>127</v>
      </c>
      <c r="I69" s="3" t="e">
        <f>_xlfn.NUMBERVALUE(#REF!)</f>
        <v>#REF!</v>
      </c>
      <c r="J69" t="s">
        <v>114</v>
      </c>
      <c r="K69" t="s">
        <v>1216</v>
      </c>
      <c r="L69" t="s">
        <v>1218</v>
      </c>
      <c r="M69" t="s">
        <v>111</v>
      </c>
      <c r="N69" t="s">
        <v>111</v>
      </c>
      <c r="O69" t="s">
        <v>111</v>
      </c>
      <c r="P69" t="s">
        <v>111</v>
      </c>
      <c r="Q69" t="s">
        <v>1219</v>
      </c>
      <c r="R69" t="str">
        <f t="shared" si="8"/>
        <v>Unique</v>
      </c>
      <c r="S69" t="s">
        <v>1220</v>
      </c>
      <c r="T69" t="s">
        <v>127</v>
      </c>
      <c r="U69" t="s">
        <v>117</v>
      </c>
      <c r="V69" t="s">
        <v>111</v>
      </c>
      <c r="W69" s="4">
        <v>3</v>
      </c>
      <c r="X69">
        <v>3</v>
      </c>
      <c r="Y69">
        <v>2</v>
      </c>
      <c r="Z69">
        <v>3</v>
      </c>
      <c r="AA69">
        <v>1</v>
      </c>
      <c r="AB69">
        <v>3</v>
      </c>
      <c r="AC69">
        <v>4</v>
      </c>
      <c r="AD69">
        <v>2</v>
      </c>
      <c r="AE69">
        <v>3</v>
      </c>
      <c r="AF69">
        <f>IF(AE69 = 3, 1, IF(AE69 = 2.5, 0.5, IF(AE69 = 3.5, 0.5, 0)))</f>
        <v>1</v>
      </c>
      <c r="AG69" t="s">
        <v>140</v>
      </c>
      <c r="AH69">
        <f>IF(AG69="PM &lt; 2.5 μm", 1, 0)</f>
        <v>1</v>
      </c>
      <c r="AI69" t="s">
        <v>175</v>
      </c>
      <c r="AJ69">
        <f>IF(AI69="Particles of this size are generally absorbed in the respiratory tract and safely excreted in mucus.", 1, 0)</f>
        <v>1</v>
      </c>
      <c r="AK69" t="s">
        <v>186</v>
      </c>
      <c r="AL69">
        <f>IF(ISNUMBER(SEARCH("Trucks", AK69)) = TRUE, 1, 0) + IF(ISNUMBER(SEARCH("Cars", AK69)) = TRUE, 1, 0) + IF(ISNUMBER(SEARCH("Fireplaces",AK69)) = TRUE, 1, 0) + IF(ISNUMBER(SEARCH("Dirt Roads", AK69)) = TRUE, 1, 0) - IF(ISNUMBER(SEARCH("Electric Vehicles",AK69)) = TRUE, 1, 0) - IF(ISNUMBER(SEARCH("Pollen",AK69)) = TRUE, 1, 0)</f>
        <v>3</v>
      </c>
      <c r="AM69">
        <v>5</v>
      </c>
      <c r="AN69">
        <v>5</v>
      </c>
      <c r="AO69">
        <v>5</v>
      </c>
      <c r="AP69">
        <v>5</v>
      </c>
      <c r="AQ69">
        <v>5</v>
      </c>
      <c r="AR69">
        <v>5</v>
      </c>
      <c r="AS69">
        <v>9</v>
      </c>
      <c r="AT69" t="s">
        <v>111</v>
      </c>
    </row>
    <row r="70" spans="1:47" x14ac:dyDescent="0.25">
      <c r="A70" t="s">
        <v>1230</v>
      </c>
      <c r="B70" t="s">
        <v>1231</v>
      </c>
      <c r="C70" t="s">
        <v>42</v>
      </c>
      <c r="D70" t="s">
        <v>1232</v>
      </c>
      <c r="E70" t="str">
        <f>IF(COUNTIF($D$5:$D$72, D70)=1, "Unique", "")</f>
        <v>Unique</v>
      </c>
      <c r="F70">
        <v>2</v>
      </c>
      <c r="G70">
        <v>100</v>
      </c>
      <c r="H70" s="3">
        <v>74</v>
      </c>
      <c r="I70" s="3" t="e">
        <f>_xlfn.NUMBERVALUE(#REF!)</f>
        <v>#REF!</v>
      </c>
      <c r="J70" t="s">
        <v>114</v>
      </c>
      <c r="K70" t="s">
        <v>1231</v>
      </c>
      <c r="L70" t="s">
        <v>1233</v>
      </c>
      <c r="M70" t="s">
        <v>111</v>
      </c>
      <c r="N70" t="s">
        <v>111</v>
      </c>
      <c r="O70" t="s">
        <v>111</v>
      </c>
      <c r="P70" t="s">
        <v>111</v>
      </c>
      <c r="Q70" t="s">
        <v>351</v>
      </c>
      <c r="R70" t="str">
        <f>IF(COUNTIF($Q$5:$Q$72, Q70)=1, "Unique", "")</f>
        <v/>
      </c>
      <c r="S70" t="s">
        <v>352</v>
      </c>
      <c r="T70" t="s">
        <v>127</v>
      </c>
      <c r="U70" t="s">
        <v>117</v>
      </c>
      <c r="V70" t="s">
        <v>111</v>
      </c>
      <c r="W70" s="4">
        <v>5</v>
      </c>
      <c r="X70">
        <v>4</v>
      </c>
      <c r="Y70">
        <v>4</v>
      </c>
      <c r="Z70">
        <v>5</v>
      </c>
      <c r="AA70">
        <v>3</v>
      </c>
      <c r="AB70">
        <v>3</v>
      </c>
      <c r="AC70">
        <v>5</v>
      </c>
      <c r="AD70">
        <v>3</v>
      </c>
      <c r="AE70">
        <v>4</v>
      </c>
      <c r="AF70">
        <f>IF(AE70 = 3, 1, IF(AE70 = 2.5, 0.5, IF(AE70 = 3.5, 0.5, 0)))</f>
        <v>0</v>
      </c>
      <c r="AG70" t="s">
        <v>140</v>
      </c>
      <c r="AH70">
        <f>IF(AG70="PM &lt; 2.5 μm", 1, 0)</f>
        <v>1</v>
      </c>
      <c r="AI70" t="s">
        <v>141</v>
      </c>
      <c r="AJ70">
        <f>IF(AI70="Particles of this size are generally absorbed in the respiratory tract and safely excreted in mucus.", 1, 0)</f>
        <v>0</v>
      </c>
      <c r="AK70" t="s">
        <v>156</v>
      </c>
      <c r="AL70">
        <f>IF(ISNUMBER(SEARCH("Trucks", AK70)) = TRUE, 1, 0) + IF(ISNUMBER(SEARCH("Cars", AK70)) = TRUE, 1, 0) + IF(ISNUMBER(SEARCH("Fireplaces",AK70)) = TRUE, 1, 0) + IF(ISNUMBER(SEARCH("Dirt Roads", AK70)) = TRUE, 1, 0) - IF(ISNUMBER(SEARCH("Electric Vehicles",AK70)) = TRUE, 1, 0) - IF(ISNUMBER(SEARCH("Pollen",AK70)) = TRUE, 1, 0)</f>
        <v>4</v>
      </c>
      <c r="AM70">
        <v>4</v>
      </c>
      <c r="AN70">
        <v>5</v>
      </c>
      <c r="AO70">
        <v>3</v>
      </c>
      <c r="AP70">
        <v>3</v>
      </c>
      <c r="AQ70">
        <v>4</v>
      </c>
      <c r="AR70">
        <v>5</v>
      </c>
      <c r="AS70">
        <v>8</v>
      </c>
      <c r="AT70" t="s">
        <v>111</v>
      </c>
    </row>
    <row r="71" spans="1:47" x14ac:dyDescent="0.25">
      <c r="A71" t="s">
        <v>1258</v>
      </c>
      <c r="B71" t="s">
        <v>1259</v>
      </c>
      <c r="C71" t="s">
        <v>42</v>
      </c>
      <c r="D71" t="s">
        <v>389</v>
      </c>
      <c r="E71" t="str">
        <f>IF(COUNTIF($D$5:$D$72, D71)=1, "Unique", "")</f>
        <v/>
      </c>
      <c r="F71">
        <v>2</v>
      </c>
      <c r="G71">
        <v>100</v>
      </c>
      <c r="H71" s="3">
        <v>59</v>
      </c>
      <c r="I71" s="3" t="e">
        <f>_xlfn.NUMBERVALUE(#REF!)</f>
        <v>#REF!</v>
      </c>
      <c r="J71" t="s">
        <v>114</v>
      </c>
      <c r="K71" t="s">
        <v>1260</v>
      </c>
      <c r="L71" t="s">
        <v>1261</v>
      </c>
      <c r="M71" t="s">
        <v>111</v>
      </c>
      <c r="N71" t="s">
        <v>111</v>
      </c>
      <c r="O71" t="s">
        <v>111</v>
      </c>
      <c r="P71" t="s">
        <v>111</v>
      </c>
      <c r="Q71" t="s">
        <v>392</v>
      </c>
      <c r="R71" t="str">
        <f>IF(COUNTIF($Q$5:$Q$72, Q71)=1, "Unique", "")</f>
        <v/>
      </c>
      <c r="S71" t="s">
        <v>393</v>
      </c>
      <c r="T71" t="s">
        <v>127</v>
      </c>
      <c r="U71" t="s">
        <v>117</v>
      </c>
      <c r="V71" t="s">
        <v>111</v>
      </c>
      <c r="W71" s="4">
        <v>5</v>
      </c>
      <c r="X71">
        <v>5</v>
      </c>
      <c r="Y71">
        <v>5</v>
      </c>
      <c r="Z71">
        <v>5</v>
      </c>
      <c r="AA71">
        <v>5</v>
      </c>
      <c r="AB71">
        <v>5</v>
      </c>
      <c r="AC71">
        <v>5</v>
      </c>
      <c r="AD71">
        <v>5</v>
      </c>
      <c r="AE71">
        <v>5</v>
      </c>
      <c r="AF71">
        <f>IF(AE71 = 3, 1, IF(AE71 = 2.5, 0.5, IF(AE71 = 3.5, 0.5, 0)))</f>
        <v>0</v>
      </c>
      <c r="AG71" t="s">
        <v>185</v>
      </c>
      <c r="AH71">
        <f>IF(AG71="PM &lt; 2.5 μm", 1, 0)</f>
        <v>0</v>
      </c>
      <c r="AI71" t="s">
        <v>131</v>
      </c>
      <c r="AJ71">
        <f>IF(AI71="Particles of this size are generally absorbed in the respiratory tract and safely excreted in mucus.", 1, 0)</f>
        <v>0</v>
      </c>
      <c r="AK71" t="s">
        <v>142</v>
      </c>
      <c r="AL71">
        <f>IF(ISNUMBER(SEARCH("Trucks", AK71)) = TRUE, 1, 0) + IF(ISNUMBER(SEARCH("Cars", AK71)) = TRUE, 1, 0) + IF(ISNUMBER(SEARCH("Fireplaces",AK71)) = TRUE, 1, 0) + IF(ISNUMBER(SEARCH("Dirt Roads", AK71)) = TRUE, 1, 0) - IF(ISNUMBER(SEARCH("Electric Vehicles",AK71)) = TRUE, 1, 0) - IF(ISNUMBER(SEARCH("Pollen",AK71)) = TRUE, 1, 0)</f>
        <v>2</v>
      </c>
      <c r="AM71">
        <v>5</v>
      </c>
      <c r="AN71">
        <v>5</v>
      </c>
      <c r="AO71">
        <v>5</v>
      </c>
      <c r="AP71">
        <v>5</v>
      </c>
      <c r="AQ71">
        <v>5</v>
      </c>
      <c r="AR71">
        <v>5</v>
      </c>
      <c r="AS71">
        <v>10</v>
      </c>
      <c r="AT71" t="s">
        <v>111</v>
      </c>
    </row>
    <row r="72" spans="1:47" s="5" customFormat="1" x14ac:dyDescent="0.25">
      <c r="A72" s="5" t="s">
        <v>1308</v>
      </c>
      <c r="B72" s="5" t="s">
        <v>1309</v>
      </c>
      <c r="C72" s="5" t="s">
        <v>42</v>
      </c>
      <c r="D72" s="5" t="s">
        <v>832</v>
      </c>
      <c r="E72" t="str">
        <f>IF(COUNTIF($D$5:$D$72, D72)=1, "Unique", "")</f>
        <v>Unique</v>
      </c>
      <c r="F72" s="4">
        <v>2</v>
      </c>
      <c r="G72">
        <v>55</v>
      </c>
      <c r="H72" s="5">
        <v>208</v>
      </c>
      <c r="I72" s="5" t="e">
        <f>_xlfn.NUMBERVALUE(#REF!)</f>
        <v>#REF!</v>
      </c>
      <c r="J72" s="5" t="s">
        <v>821</v>
      </c>
      <c r="K72" s="5" t="s">
        <v>1310</v>
      </c>
      <c r="L72" s="5" t="s">
        <v>1311</v>
      </c>
      <c r="M72" s="5" t="s">
        <v>111</v>
      </c>
      <c r="N72" s="5" t="s">
        <v>111</v>
      </c>
      <c r="O72" s="5" t="s">
        <v>111</v>
      </c>
      <c r="P72" s="5" t="s">
        <v>111</v>
      </c>
      <c r="Q72" s="5" t="s">
        <v>111</v>
      </c>
      <c r="R72" t="str">
        <f>IF(COUNTIF($Q$5:$Q$72, Q72)=1, "Unique", "")</f>
        <v>Unique</v>
      </c>
      <c r="S72" s="5" t="s">
        <v>111</v>
      </c>
      <c r="T72" s="5" t="s">
        <v>127</v>
      </c>
      <c r="U72" s="5" t="s">
        <v>117</v>
      </c>
      <c r="V72" s="5" t="s">
        <v>1312</v>
      </c>
      <c r="W72">
        <v>5</v>
      </c>
      <c r="X72">
        <v>5</v>
      </c>
      <c r="Y72">
        <v>5</v>
      </c>
      <c r="Z72">
        <v>5</v>
      </c>
      <c r="AA72">
        <v>5</v>
      </c>
      <c r="AB72">
        <v>5</v>
      </c>
      <c r="AC72">
        <v>5</v>
      </c>
      <c r="AD72">
        <v>5</v>
      </c>
      <c r="AE72">
        <v>5</v>
      </c>
      <c r="AF72">
        <f>IF(AE72 = 3, 1, IF(AE72 = 2.5, 0.5, IF(AE72 = 3.5, 0.5, 0)))</f>
        <v>0</v>
      </c>
      <c r="AG72" s="5" t="s">
        <v>154</v>
      </c>
      <c r="AH72">
        <f>IF(AG72="PM &lt; 2.5 μm", 1, 0)</f>
        <v>0</v>
      </c>
      <c r="AI72" s="5" t="s">
        <v>111</v>
      </c>
      <c r="AJ72"/>
      <c r="AK72" s="5" t="s">
        <v>111</v>
      </c>
      <c r="AL72"/>
      <c r="AM72" s="5" t="s">
        <v>111</v>
      </c>
      <c r="AN72" s="5" t="s">
        <v>111</v>
      </c>
      <c r="AO72" s="5" t="s">
        <v>111</v>
      </c>
      <c r="AP72" s="5" t="s">
        <v>111</v>
      </c>
      <c r="AQ72" s="5" t="s">
        <v>111</v>
      </c>
      <c r="AR72" s="5" t="s">
        <v>111</v>
      </c>
      <c r="AS72" s="5" t="s">
        <v>111</v>
      </c>
      <c r="AT72" s="5" t="s">
        <v>111</v>
      </c>
    </row>
    <row r="73" spans="1:47" x14ac:dyDescent="0.25">
      <c r="E73" t="str">
        <f>IF(COUNTIF($D$5:$D$72, D73)=1, "Unique", "")</f>
        <v/>
      </c>
      <c r="F73">
        <v>2</v>
      </c>
      <c r="H73">
        <f>AVERAGE(H5:H72)</f>
        <v>301.97058823529414</v>
      </c>
      <c r="I73" s="3" t="e">
        <f>AVERAGE(I6:I8)</f>
        <v>#REF!</v>
      </c>
      <c r="W73" s="5">
        <f t="shared" ref="W73:AF73" si="13">AVERAGE(W5:W72)</f>
        <v>4.5294117647058822</v>
      </c>
      <c r="X73" s="5">
        <f t="shared" si="13"/>
        <v>4.2352941176470589</v>
      </c>
      <c r="Y73" s="5">
        <f t="shared" si="13"/>
        <v>4</v>
      </c>
      <c r="Z73" s="5">
        <f t="shared" si="13"/>
        <v>4.5735294117647056</v>
      </c>
      <c r="AA73" s="5">
        <f t="shared" si="13"/>
        <v>3.5373134328358211</v>
      </c>
      <c r="AB73" s="5">
        <f t="shared" si="13"/>
        <v>3.8059701492537314</v>
      </c>
      <c r="AC73" s="5">
        <f t="shared" si="13"/>
        <v>4.8208955223880601</v>
      </c>
      <c r="AD73" s="5">
        <f t="shared" si="13"/>
        <v>3.1343283582089554</v>
      </c>
      <c r="AE73" s="5">
        <f t="shared" si="13"/>
        <v>3.2686567164179103</v>
      </c>
      <c r="AF73" s="5">
        <f t="shared" si="13"/>
        <v>0.6029411764705882</v>
      </c>
      <c r="AG73" s="5"/>
      <c r="AH73" s="5">
        <f>AVERAGE(AH5:AH72)</f>
        <v>0.67647058823529416</v>
      </c>
      <c r="AI73" s="5"/>
      <c r="AJ73" s="5">
        <f>AVERAGE(AJ5:AJ72)</f>
        <v>0.56716417910447758</v>
      </c>
      <c r="AK73" s="5"/>
      <c r="AL73" s="5">
        <f>AVERAGE(AL5:AL72)</f>
        <v>2.5223880597014925</v>
      </c>
      <c r="AM73" s="5">
        <f t="shared" ref="AM73:AS73" si="14">AVERAGE(AM5:AM71)</f>
        <v>4.0149253731343286</v>
      </c>
      <c r="AN73" s="5">
        <f t="shared" si="14"/>
        <v>3.8636363636363638</v>
      </c>
      <c r="AO73" s="5">
        <f t="shared" si="14"/>
        <v>3.91044776119403</v>
      </c>
      <c r="AP73" s="5">
        <f t="shared" si="14"/>
        <v>3.4477611940298507</v>
      </c>
      <c r="AQ73" s="5">
        <f t="shared" si="14"/>
        <v>4.0746268656716422</v>
      </c>
      <c r="AR73" s="5">
        <f t="shared" si="14"/>
        <v>4.3731343283582094</v>
      </c>
      <c r="AS73" s="5">
        <f t="shared" si="14"/>
        <v>8.8484848484848477</v>
      </c>
      <c r="AT73" s="5"/>
      <c r="AU73" s="5"/>
    </row>
    <row r="74" spans="1:47" x14ac:dyDescent="0.25">
      <c r="H74" s="2">
        <f>TRIMMEAN(H5:H72, 0.1)</f>
        <v>224.30645161290323</v>
      </c>
      <c r="W74">
        <f t="shared" ref="W74:AE74" si="15">COUNT(W5:W72)</f>
        <v>68</v>
      </c>
      <c r="X74">
        <f t="shared" si="15"/>
        <v>68</v>
      </c>
      <c r="Y74">
        <f t="shared" si="15"/>
        <v>68</v>
      </c>
      <c r="Z74">
        <f t="shared" si="15"/>
        <v>68</v>
      </c>
      <c r="AA74">
        <f t="shared" si="15"/>
        <v>67</v>
      </c>
      <c r="AB74">
        <f t="shared" si="15"/>
        <v>67</v>
      </c>
      <c r="AC74">
        <f t="shared" si="15"/>
        <v>67</v>
      </c>
      <c r="AD74">
        <f t="shared" si="15"/>
        <v>67</v>
      </c>
      <c r="AE74">
        <f t="shared" si="15"/>
        <v>67</v>
      </c>
      <c r="AF74">
        <f t="shared" ref="AF74:AK74" si="16">COUNT(AF5:AF71)</f>
        <v>67</v>
      </c>
      <c r="AG74">
        <f t="shared" si="16"/>
        <v>0</v>
      </c>
      <c r="AH74">
        <f t="shared" si="16"/>
        <v>67</v>
      </c>
      <c r="AI74">
        <f t="shared" si="16"/>
        <v>0</v>
      </c>
      <c r="AJ74">
        <f t="shared" si="16"/>
        <v>67</v>
      </c>
      <c r="AK74">
        <f t="shared" si="16"/>
        <v>0</v>
      </c>
      <c r="AM74">
        <f t="shared" ref="AM74:AS74" si="17">COUNT(AM5:AM71)</f>
        <v>67</v>
      </c>
      <c r="AN74">
        <f t="shared" si="17"/>
        <v>66</v>
      </c>
      <c r="AO74">
        <f t="shared" si="17"/>
        <v>67</v>
      </c>
      <c r="AP74">
        <f t="shared" si="17"/>
        <v>67</v>
      </c>
      <c r="AQ74">
        <f t="shared" si="17"/>
        <v>67</v>
      </c>
      <c r="AR74">
        <f t="shared" si="17"/>
        <v>67</v>
      </c>
      <c r="AS74">
        <f t="shared" si="17"/>
        <v>66</v>
      </c>
    </row>
    <row r="76" spans="1:47" x14ac:dyDescent="0.25">
      <c r="H76">
        <f>_xlfn.STDEV.P(H5:H71)</f>
        <v>508.35555296805757</v>
      </c>
      <c r="X76" t="s">
        <v>1400</v>
      </c>
      <c r="Y76" s="3">
        <f>AVERAGE(H66:H71,H36:H64,H30:H34,H19:H28,H17,H5:H15)</f>
        <v>183.29032258064515</v>
      </c>
      <c r="AA76" s="31">
        <f>(300-Y76)/300</f>
        <v>0.38903225806451613</v>
      </c>
    </row>
    <row r="77" spans="1:47" x14ac:dyDescent="0.25">
      <c r="G77" t="e">
        <f>#REF!-H76</f>
        <v>#REF!</v>
      </c>
      <c r="H77" t="e">
        <f>#REF!+2*H76</f>
        <v>#REF!</v>
      </c>
    </row>
    <row r="78" spans="1:47" x14ac:dyDescent="0.25">
      <c r="H78">
        <f>COUNTIF(H5:H71, "&lt;1128.37777")</f>
        <v>62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5EC60-549A-0847-8812-1FBC6721C7A7}">
  <dimension ref="A3:AJ33"/>
  <sheetViews>
    <sheetView zoomScale="60" zoomScaleNormal="60" workbookViewId="0">
      <selection activeCell="D16" sqref="D16"/>
    </sheetView>
  </sheetViews>
  <sheetFormatPr defaultColWidth="10.625" defaultRowHeight="15.75" x14ac:dyDescent="0.25"/>
  <cols>
    <col min="1" max="1" width="31.625" bestFit="1" customWidth="1"/>
    <col min="2" max="2" width="15.875" bestFit="1" customWidth="1"/>
    <col min="3" max="3" width="17.375" bestFit="1" customWidth="1"/>
    <col min="4" max="4" width="22.375" bestFit="1" customWidth="1"/>
    <col min="5" max="5" width="13" bestFit="1" customWidth="1"/>
    <col min="6" max="6" width="20.875" bestFit="1" customWidth="1"/>
    <col min="7" max="7" width="18.5" bestFit="1" customWidth="1"/>
    <col min="8" max="8" width="7" bestFit="1" customWidth="1"/>
    <col min="10" max="10" width="13.625" bestFit="1" customWidth="1"/>
    <col min="11" max="11" width="12.875" bestFit="1" customWidth="1"/>
    <col min="12" max="12" width="14.875" bestFit="1" customWidth="1"/>
    <col min="13" max="14" width="12.875" bestFit="1" customWidth="1"/>
    <col min="15" max="15" width="14.75" bestFit="1" customWidth="1"/>
    <col min="16" max="21" width="15.625" customWidth="1"/>
    <col min="22" max="22" width="12.875" bestFit="1" customWidth="1"/>
    <col min="23" max="23" width="12.625" bestFit="1" customWidth="1"/>
    <col min="24" max="24" width="14.75" bestFit="1" customWidth="1"/>
    <col min="25" max="25" width="15.625" customWidth="1"/>
    <col min="26" max="26" width="12.875" bestFit="1" customWidth="1"/>
    <col min="27" max="27" width="12.625" bestFit="1" customWidth="1"/>
    <col min="28" max="28" width="14.75" bestFit="1" customWidth="1"/>
    <col min="29" max="29" width="15.625" customWidth="1"/>
    <col min="30" max="30" width="12.875" bestFit="1" customWidth="1"/>
    <col min="31" max="31" width="12.625" bestFit="1" customWidth="1"/>
    <col min="32" max="32" width="14.75" bestFit="1" customWidth="1"/>
    <col min="33" max="33" width="15.625" customWidth="1"/>
    <col min="34" max="34" width="12.875" bestFit="1" customWidth="1"/>
    <col min="35" max="35" width="12.625" bestFit="1" customWidth="1"/>
    <col min="36" max="36" width="14.75" bestFit="1" customWidth="1"/>
  </cols>
  <sheetData>
    <row r="3" spans="1:36" s="1" customFormat="1" x14ac:dyDescent="0.25">
      <c r="A3"/>
      <c r="J3" s="22" t="s">
        <v>1360</v>
      </c>
      <c r="K3" s="1" t="s">
        <v>1383</v>
      </c>
      <c r="L3"/>
    </row>
    <row r="4" spans="1:36" x14ac:dyDescent="0.25">
      <c r="J4" s="21">
        <v>3</v>
      </c>
      <c r="K4" s="23">
        <v>1.5151515151515152E-2</v>
      </c>
    </row>
    <row r="5" spans="1:36" x14ac:dyDescent="0.25">
      <c r="J5" s="21">
        <v>5</v>
      </c>
      <c r="K5" s="23">
        <v>1.5151515151515152E-2</v>
      </c>
    </row>
    <row r="6" spans="1:36" x14ac:dyDescent="0.25">
      <c r="J6" s="21">
        <v>6</v>
      </c>
      <c r="K6" s="23">
        <v>4.5454545454545456E-2</v>
      </c>
    </row>
    <row r="7" spans="1:36" x14ac:dyDescent="0.25">
      <c r="J7" s="21">
        <v>7</v>
      </c>
      <c r="K7" s="23">
        <v>3.0303030303030304E-2</v>
      </c>
    </row>
    <row r="8" spans="1:36" x14ac:dyDescent="0.25">
      <c r="J8" s="21">
        <v>8</v>
      </c>
      <c r="K8" s="23">
        <v>0.22727272727272727</v>
      </c>
    </row>
    <row r="9" spans="1:36" x14ac:dyDescent="0.25">
      <c r="J9" s="21">
        <v>9</v>
      </c>
      <c r="K9" s="23">
        <v>0.24242424242424243</v>
      </c>
    </row>
    <row r="10" spans="1:36" x14ac:dyDescent="0.25">
      <c r="J10" s="21">
        <v>10</v>
      </c>
      <c r="K10" s="23">
        <v>0.42424242424242425</v>
      </c>
    </row>
    <row r="11" spans="1:36" x14ac:dyDescent="0.25">
      <c r="H11" t="s">
        <v>1378</v>
      </c>
      <c r="J11" s="21" t="s">
        <v>1361</v>
      </c>
      <c r="K11" s="23">
        <v>1</v>
      </c>
    </row>
    <row r="15" spans="1:36" s="1" customFormat="1" x14ac:dyDescent="0.25">
      <c r="A15" t="s">
        <v>1421</v>
      </c>
      <c r="B15" t="s">
        <v>1424</v>
      </c>
      <c r="C15" t="s">
        <v>1355</v>
      </c>
      <c r="D15" t="s">
        <v>1356</v>
      </c>
      <c r="E15" t="s">
        <v>1425</v>
      </c>
      <c r="F15" t="s">
        <v>1426</v>
      </c>
      <c r="G15" t="s">
        <v>1359</v>
      </c>
      <c r="H15" s="4"/>
      <c r="I15" s="4"/>
      <c r="J15" s="22" t="s">
        <v>1360</v>
      </c>
      <c r="K15" t="s">
        <v>1385</v>
      </c>
      <c r="L15" t="s">
        <v>1403</v>
      </c>
      <c r="N15" s="22" t="s">
        <v>1360</v>
      </c>
      <c r="O15" t="s">
        <v>1384</v>
      </c>
      <c r="P15" t="s">
        <v>1404</v>
      </c>
      <c r="R15" s="22" t="s">
        <v>1360</v>
      </c>
      <c r="S15" t="s">
        <v>1386</v>
      </c>
      <c r="T15" t="s">
        <v>1405</v>
      </c>
      <c r="V15" s="22" t="s">
        <v>1360</v>
      </c>
      <c r="W15" t="s">
        <v>1387</v>
      </c>
      <c r="X15" t="s">
        <v>1406</v>
      </c>
      <c r="Z15" s="22" t="s">
        <v>1360</v>
      </c>
      <c r="AA15" t="s">
        <v>1388</v>
      </c>
      <c r="AB15" t="s">
        <v>1407</v>
      </c>
      <c r="AD15" s="22" t="s">
        <v>1360</v>
      </c>
      <c r="AE15" t="s">
        <v>1389</v>
      </c>
      <c r="AF15" t="s">
        <v>1402</v>
      </c>
      <c r="AH15"/>
      <c r="AI15"/>
      <c r="AJ15"/>
    </row>
    <row r="16" spans="1:36" x14ac:dyDescent="0.25">
      <c r="A16" s="1">
        <v>1</v>
      </c>
      <c r="B16" s="23">
        <v>5.9701492537313432E-2</v>
      </c>
      <c r="C16" s="23">
        <v>7.575757575757576E-2</v>
      </c>
      <c r="D16" s="23">
        <v>2.9850746268656716E-2</v>
      </c>
      <c r="E16" s="23">
        <v>0.14925373134328357</v>
      </c>
      <c r="F16" s="23">
        <v>4.4776119402985072E-2</v>
      </c>
      <c r="G16" s="23">
        <v>1.4925373134328358E-2</v>
      </c>
      <c r="H16" s="4"/>
      <c r="I16" s="4"/>
      <c r="J16" s="21">
        <v>1</v>
      </c>
      <c r="K16" s="23">
        <v>5.9701492537313432E-2</v>
      </c>
      <c r="L16" s="4">
        <v>4</v>
      </c>
      <c r="N16" s="21">
        <v>1</v>
      </c>
      <c r="O16" s="23">
        <v>7.575757575757576E-2</v>
      </c>
      <c r="P16" s="4">
        <v>5</v>
      </c>
      <c r="R16" s="21">
        <v>1</v>
      </c>
      <c r="S16" s="23">
        <v>2.9850746268656716E-2</v>
      </c>
      <c r="T16" s="4">
        <v>2</v>
      </c>
      <c r="V16" s="21">
        <v>1</v>
      </c>
      <c r="W16" s="23">
        <v>0.14925373134328357</v>
      </c>
      <c r="X16" s="4">
        <v>10</v>
      </c>
      <c r="Z16" s="21">
        <v>1</v>
      </c>
      <c r="AA16" s="23">
        <v>4.4776119402985072E-2</v>
      </c>
      <c r="AB16" s="4">
        <v>3</v>
      </c>
      <c r="AD16" s="21">
        <v>1</v>
      </c>
      <c r="AE16" s="23">
        <v>1.4925373134328358E-2</v>
      </c>
      <c r="AF16" s="4">
        <v>1</v>
      </c>
    </row>
    <row r="17" spans="1:36" x14ac:dyDescent="0.25">
      <c r="A17">
        <v>2</v>
      </c>
      <c r="B17" s="23">
        <v>7.4626865671641784E-2</v>
      </c>
      <c r="C17" s="23">
        <v>9.0909090909090912E-2</v>
      </c>
      <c r="D17" s="23">
        <v>0.11940298507462686</v>
      </c>
      <c r="E17" s="23">
        <v>0.11940298507462686</v>
      </c>
      <c r="F17" s="23">
        <v>4.4776119402985072E-2</v>
      </c>
      <c r="G17" s="23">
        <v>2.9850746268656716E-2</v>
      </c>
      <c r="H17" s="4"/>
      <c r="I17" s="4"/>
      <c r="J17" s="21">
        <v>2</v>
      </c>
      <c r="K17" s="23">
        <v>7.4626865671641784E-2</v>
      </c>
      <c r="L17" s="4">
        <v>5</v>
      </c>
      <c r="N17" s="21">
        <v>2</v>
      </c>
      <c r="O17" s="23">
        <v>9.0909090909090912E-2</v>
      </c>
      <c r="P17" s="4">
        <v>6</v>
      </c>
      <c r="R17" s="21">
        <v>2</v>
      </c>
      <c r="S17" s="23">
        <v>0.11940298507462686</v>
      </c>
      <c r="T17" s="4">
        <v>8</v>
      </c>
      <c r="V17" s="21">
        <v>2</v>
      </c>
      <c r="W17" s="23">
        <v>0.11940298507462686</v>
      </c>
      <c r="X17" s="4">
        <v>8</v>
      </c>
      <c r="Z17" s="21">
        <v>2</v>
      </c>
      <c r="AA17" s="23">
        <v>4.4776119402985072E-2</v>
      </c>
      <c r="AB17" s="4">
        <v>3</v>
      </c>
      <c r="AD17" s="21">
        <v>2</v>
      </c>
      <c r="AE17" s="23">
        <v>2.9850746268656716E-2</v>
      </c>
      <c r="AF17" s="4">
        <v>2</v>
      </c>
    </row>
    <row r="18" spans="1:36" x14ac:dyDescent="0.25">
      <c r="A18">
        <v>3</v>
      </c>
      <c r="B18" s="23">
        <v>0.11940298507462686</v>
      </c>
      <c r="C18" s="23">
        <v>0.16666666666666666</v>
      </c>
      <c r="D18" s="23">
        <v>0.16417910447761194</v>
      </c>
      <c r="E18" s="23">
        <v>0.16417910447761194</v>
      </c>
      <c r="F18" s="23">
        <v>0.14925373134328357</v>
      </c>
      <c r="G18" s="23">
        <v>0.13432835820895522</v>
      </c>
      <c r="H18" s="4"/>
      <c r="I18" s="4"/>
      <c r="J18" s="21">
        <v>3</v>
      </c>
      <c r="K18" s="23">
        <v>0.11940298507462686</v>
      </c>
      <c r="L18" s="4">
        <v>8</v>
      </c>
      <c r="N18" s="21">
        <v>3</v>
      </c>
      <c r="O18" s="23">
        <v>0.16666666666666666</v>
      </c>
      <c r="P18" s="4">
        <v>11</v>
      </c>
      <c r="R18" s="21">
        <v>3</v>
      </c>
      <c r="S18" s="23">
        <v>0.16417910447761194</v>
      </c>
      <c r="T18" s="4">
        <v>11</v>
      </c>
      <c r="V18" s="21">
        <v>3</v>
      </c>
      <c r="W18" s="23">
        <v>0.16417910447761194</v>
      </c>
      <c r="X18" s="4">
        <v>11</v>
      </c>
      <c r="Z18" s="21">
        <v>3</v>
      </c>
      <c r="AA18" s="23">
        <v>0.14925373134328357</v>
      </c>
      <c r="AB18" s="4">
        <v>10</v>
      </c>
      <c r="AD18" s="21">
        <v>3</v>
      </c>
      <c r="AE18" s="23">
        <v>0.13432835820895522</v>
      </c>
      <c r="AF18" s="4">
        <v>9</v>
      </c>
    </row>
    <row r="19" spans="1:36" x14ac:dyDescent="0.25">
      <c r="A19">
        <v>4</v>
      </c>
      <c r="B19" s="23">
        <v>0.28358208955223879</v>
      </c>
      <c r="C19" s="23">
        <v>0.22727272727272727</v>
      </c>
      <c r="D19" s="23">
        <v>0.28358208955223879</v>
      </c>
      <c r="E19" s="23">
        <v>0.26865671641791045</v>
      </c>
      <c r="F19" s="23">
        <v>0.31343283582089554</v>
      </c>
      <c r="G19" s="23">
        <v>0.20895522388059701</v>
      </c>
      <c r="H19" s="4"/>
      <c r="I19" s="4"/>
      <c r="J19" s="21">
        <v>4</v>
      </c>
      <c r="K19" s="23">
        <v>0.28358208955223879</v>
      </c>
      <c r="L19" s="4">
        <v>19</v>
      </c>
      <c r="N19" s="21">
        <v>4</v>
      </c>
      <c r="O19" s="23">
        <v>0.22727272727272727</v>
      </c>
      <c r="P19" s="4">
        <v>15</v>
      </c>
      <c r="R19" s="21">
        <v>4</v>
      </c>
      <c r="S19" s="23">
        <v>0.28358208955223879</v>
      </c>
      <c r="T19" s="4">
        <v>19</v>
      </c>
      <c r="V19" s="21">
        <v>4</v>
      </c>
      <c r="W19" s="23">
        <v>0.26865671641791045</v>
      </c>
      <c r="X19" s="4">
        <v>18</v>
      </c>
      <c r="Z19" s="21">
        <v>4</v>
      </c>
      <c r="AA19" s="23">
        <v>0.31343283582089554</v>
      </c>
      <c r="AB19" s="4">
        <v>21</v>
      </c>
      <c r="AD19" s="21">
        <v>4</v>
      </c>
      <c r="AE19" s="23">
        <v>0.20895522388059701</v>
      </c>
      <c r="AF19" s="4">
        <v>14</v>
      </c>
    </row>
    <row r="20" spans="1:36" x14ac:dyDescent="0.25">
      <c r="A20">
        <v>5</v>
      </c>
      <c r="B20" s="23">
        <v>0.46268656716417911</v>
      </c>
      <c r="C20" s="23">
        <v>0.43939393939393939</v>
      </c>
      <c r="D20" s="23">
        <v>0.40298507462686567</v>
      </c>
      <c r="E20" s="23">
        <v>0.29850746268656714</v>
      </c>
      <c r="F20" s="23">
        <v>0.44776119402985076</v>
      </c>
      <c r="G20" s="23">
        <v>0.61194029850746268</v>
      </c>
      <c r="H20" s="4"/>
      <c r="I20" s="4"/>
      <c r="J20" s="21">
        <v>5</v>
      </c>
      <c r="K20" s="23">
        <v>0.46268656716417911</v>
      </c>
      <c r="L20" s="4">
        <v>31</v>
      </c>
      <c r="N20" s="21">
        <v>5</v>
      </c>
      <c r="O20" s="23">
        <v>0.43939393939393939</v>
      </c>
      <c r="P20" s="4">
        <v>29</v>
      </c>
      <c r="R20" s="21">
        <v>5</v>
      </c>
      <c r="S20" s="23">
        <v>0.40298507462686567</v>
      </c>
      <c r="T20" s="4">
        <v>27</v>
      </c>
      <c r="V20" s="21">
        <v>5</v>
      </c>
      <c r="W20" s="23">
        <v>0.29850746268656714</v>
      </c>
      <c r="X20" s="4">
        <v>20</v>
      </c>
      <c r="Z20" s="21">
        <v>5</v>
      </c>
      <c r="AA20" s="23">
        <v>0.44776119402985076</v>
      </c>
      <c r="AB20" s="4">
        <v>30</v>
      </c>
      <c r="AD20" s="21">
        <v>5</v>
      </c>
      <c r="AE20" s="23">
        <v>0.61194029850746268</v>
      </c>
      <c r="AF20" s="4">
        <v>41</v>
      </c>
    </row>
    <row r="21" spans="1:36" x14ac:dyDescent="0.25">
      <c r="B21" s="32">
        <v>1</v>
      </c>
      <c r="C21" s="32">
        <v>1</v>
      </c>
      <c r="D21" s="23">
        <v>1</v>
      </c>
      <c r="E21" s="23">
        <v>1</v>
      </c>
      <c r="F21" s="23">
        <v>1</v>
      </c>
      <c r="G21" s="23">
        <v>1</v>
      </c>
      <c r="J21" s="21" t="s">
        <v>1361</v>
      </c>
      <c r="K21" s="23">
        <v>1</v>
      </c>
      <c r="L21" s="4">
        <v>67</v>
      </c>
      <c r="N21" s="21" t="s">
        <v>1361</v>
      </c>
      <c r="O21" s="23">
        <v>1</v>
      </c>
      <c r="P21" s="4">
        <v>66</v>
      </c>
      <c r="R21" s="21" t="s">
        <v>1361</v>
      </c>
      <c r="S21" s="23">
        <v>1</v>
      </c>
      <c r="T21" s="4">
        <v>67</v>
      </c>
      <c r="V21" s="21" t="s">
        <v>1361</v>
      </c>
      <c r="W21" s="23">
        <v>1</v>
      </c>
      <c r="X21" s="4">
        <v>67</v>
      </c>
      <c r="Z21" s="21" t="s">
        <v>1361</v>
      </c>
      <c r="AA21" s="23">
        <v>1</v>
      </c>
      <c r="AB21" s="4">
        <v>67</v>
      </c>
      <c r="AD21" s="21" t="s">
        <v>1361</v>
      </c>
      <c r="AE21" s="23">
        <v>1</v>
      </c>
      <c r="AF21" s="4">
        <v>67</v>
      </c>
    </row>
    <row r="23" spans="1:36" x14ac:dyDescent="0.25">
      <c r="A23" t="s">
        <v>1422</v>
      </c>
    </row>
    <row r="25" spans="1:36" x14ac:dyDescent="0.25">
      <c r="B25" t="s">
        <v>1344</v>
      </c>
      <c r="C25" t="s">
        <v>1348</v>
      </c>
      <c r="D25" t="s">
        <v>1347</v>
      </c>
      <c r="E25" t="s">
        <v>1346</v>
      </c>
      <c r="F25" t="s">
        <v>1345</v>
      </c>
      <c r="G25" t="s">
        <v>1349</v>
      </c>
      <c r="H25" t="s">
        <v>1423</v>
      </c>
      <c r="J25" s="22" t="s">
        <v>1360</v>
      </c>
      <c r="K25" t="s">
        <v>1398</v>
      </c>
      <c r="L25" t="s">
        <v>1408</v>
      </c>
      <c r="N25" s="22" t="s">
        <v>1360</v>
      </c>
      <c r="O25" t="s">
        <v>1410</v>
      </c>
      <c r="P25" t="s">
        <v>1401</v>
      </c>
      <c r="R25" s="22" t="s">
        <v>1360</v>
      </c>
      <c r="S25" t="s">
        <v>1411</v>
      </c>
      <c r="T25" t="s">
        <v>1412</v>
      </c>
      <c r="V25" s="22" t="s">
        <v>1360</v>
      </c>
      <c r="W25" t="s">
        <v>1413</v>
      </c>
      <c r="X25" t="s">
        <v>1414</v>
      </c>
      <c r="Z25" s="22" t="s">
        <v>1360</v>
      </c>
      <c r="AA25" t="s">
        <v>1415</v>
      </c>
      <c r="AB25" t="s">
        <v>1416</v>
      </c>
      <c r="AD25" s="22" t="s">
        <v>1360</v>
      </c>
      <c r="AE25" t="s">
        <v>1417</v>
      </c>
      <c r="AF25" t="s">
        <v>1418</v>
      </c>
      <c r="AH25" s="22" t="s">
        <v>1360</v>
      </c>
      <c r="AI25" t="s">
        <v>1419</v>
      </c>
      <c r="AJ25" t="s">
        <v>1420</v>
      </c>
    </row>
    <row r="26" spans="1:36" x14ac:dyDescent="0.25">
      <c r="A26">
        <v>0</v>
      </c>
      <c r="C26" s="23">
        <v>1.4925373134328358E-2</v>
      </c>
      <c r="E26" s="23">
        <v>1.5151515151515152E-2</v>
      </c>
      <c r="G26" s="23"/>
      <c r="J26" s="21">
        <v>2</v>
      </c>
      <c r="K26" s="23">
        <v>7.4626865671641784E-2</v>
      </c>
      <c r="L26" s="4">
        <v>5</v>
      </c>
      <c r="N26" s="21">
        <v>0</v>
      </c>
      <c r="O26" s="23">
        <v>1.4925373134328358E-2</v>
      </c>
      <c r="P26" s="4">
        <v>1</v>
      </c>
      <c r="R26" s="21">
        <v>3</v>
      </c>
      <c r="S26" s="23">
        <v>0.1044776119402985</v>
      </c>
      <c r="T26" s="4">
        <v>7</v>
      </c>
      <c r="V26" s="21">
        <v>0</v>
      </c>
      <c r="W26" s="23">
        <v>1.5151515151515152E-2</v>
      </c>
      <c r="X26" s="4">
        <v>1</v>
      </c>
      <c r="Z26" s="21">
        <v>1</v>
      </c>
      <c r="AA26" s="23">
        <v>1.5151515151515152E-2</v>
      </c>
      <c r="AB26" s="4">
        <v>1</v>
      </c>
      <c r="AD26" s="21">
        <v>3</v>
      </c>
      <c r="AE26" s="23">
        <v>1.5151515151515152E-2</v>
      </c>
      <c r="AF26" s="4">
        <v>1</v>
      </c>
      <c r="AH26" s="21">
        <v>1</v>
      </c>
      <c r="AI26" s="23">
        <v>0.12121212121212122</v>
      </c>
      <c r="AJ26" s="4">
        <v>8</v>
      </c>
    </row>
    <row r="27" spans="1:36" x14ac:dyDescent="0.25">
      <c r="A27" s="1">
        <v>1</v>
      </c>
      <c r="C27" s="23">
        <v>2.9850746268656716E-2</v>
      </c>
      <c r="E27" s="23">
        <v>6.0606060606060608E-2</v>
      </c>
      <c r="F27" s="23">
        <v>1.5151515151515152E-2</v>
      </c>
      <c r="G27" s="23"/>
      <c r="H27" s="23">
        <v>0.12121212121212122</v>
      </c>
      <c r="J27" s="21">
        <v>3</v>
      </c>
      <c r="K27" s="23">
        <v>0.1044776119402985</v>
      </c>
      <c r="L27" s="4">
        <v>7</v>
      </c>
      <c r="N27" s="21">
        <v>1</v>
      </c>
      <c r="O27" s="23">
        <v>2.9850746268656716E-2</v>
      </c>
      <c r="P27" s="4">
        <v>2</v>
      </c>
      <c r="R27" s="21">
        <v>4</v>
      </c>
      <c r="S27" s="23">
        <v>0.22388059701492538</v>
      </c>
      <c r="T27" s="4">
        <v>15</v>
      </c>
      <c r="V27" s="21">
        <v>1</v>
      </c>
      <c r="W27" s="23">
        <v>6.0606060606060608E-2</v>
      </c>
      <c r="X27" s="4">
        <v>4</v>
      </c>
      <c r="Z27" s="21">
        <v>2</v>
      </c>
      <c r="AA27" s="23">
        <v>0.13636363636363635</v>
      </c>
      <c r="AB27" s="4">
        <v>9</v>
      </c>
      <c r="AD27" s="21">
        <v>4</v>
      </c>
      <c r="AE27" s="23">
        <v>0.15151515151515152</v>
      </c>
      <c r="AF27" s="4">
        <v>10</v>
      </c>
      <c r="AH27" s="21">
        <v>2</v>
      </c>
      <c r="AI27" s="23">
        <v>0.19696969696969696</v>
      </c>
      <c r="AJ27" s="4">
        <v>13</v>
      </c>
    </row>
    <row r="28" spans="1:36" x14ac:dyDescent="0.25">
      <c r="A28">
        <v>2</v>
      </c>
      <c r="B28" s="23">
        <v>7.4626865671641784E-2</v>
      </c>
      <c r="C28" s="23">
        <v>5.9701492537313432E-2</v>
      </c>
      <c r="E28" s="23">
        <v>0.18181818181818182</v>
      </c>
      <c r="F28" s="23">
        <v>0.13636363636363635</v>
      </c>
      <c r="G28" s="23"/>
      <c r="H28" s="23">
        <v>0.19696969696969696</v>
      </c>
      <c r="J28" s="21">
        <v>4</v>
      </c>
      <c r="K28" s="23">
        <v>0.34328358208955223</v>
      </c>
      <c r="L28" s="4">
        <v>23</v>
      </c>
      <c r="N28" s="21">
        <v>2</v>
      </c>
      <c r="O28" s="23">
        <v>5.9701492537313432E-2</v>
      </c>
      <c r="P28" s="4">
        <v>4</v>
      </c>
      <c r="R28" s="21">
        <v>5</v>
      </c>
      <c r="S28" s="23">
        <v>0.67164179104477617</v>
      </c>
      <c r="T28" s="4">
        <v>45</v>
      </c>
      <c r="V28" s="21">
        <v>2</v>
      </c>
      <c r="W28" s="23">
        <v>0.18181818181818182</v>
      </c>
      <c r="X28" s="4">
        <v>12</v>
      </c>
      <c r="Z28" s="21">
        <v>3</v>
      </c>
      <c r="AA28" s="23">
        <v>0.22727272727272727</v>
      </c>
      <c r="AB28" s="4">
        <v>15</v>
      </c>
      <c r="AD28" s="21">
        <v>5</v>
      </c>
      <c r="AE28" s="23">
        <v>0.83333333333333337</v>
      </c>
      <c r="AF28" s="4">
        <v>55</v>
      </c>
      <c r="AH28" s="21">
        <v>3</v>
      </c>
      <c r="AI28" s="23">
        <v>0.33333333333333331</v>
      </c>
      <c r="AJ28" s="4">
        <v>22</v>
      </c>
    </row>
    <row r="29" spans="1:36" x14ac:dyDescent="0.25">
      <c r="A29">
        <v>3</v>
      </c>
      <c r="B29" s="23">
        <v>0.1044776119402985</v>
      </c>
      <c r="C29" s="23">
        <v>0.13432835820895522</v>
      </c>
      <c r="D29" s="23">
        <v>0.1044776119402985</v>
      </c>
      <c r="E29" s="23">
        <v>0.21212121212121213</v>
      </c>
      <c r="F29" s="23">
        <v>0.22727272727272727</v>
      </c>
      <c r="G29" s="23">
        <v>1.5151515151515152E-2</v>
      </c>
      <c r="H29" s="23">
        <v>0.33333333333333331</v>
      </c>
      <c r="J29" s="21">
        <v>5</v>
      </c>
      <c r="K29" s="23">
        <v>0.47761194029850745</v>
      </c>
      <c r="L29" s="4">
        <v>32</v>
      </c>
      <c r="N29" s="21">
        <v>3</v>
      </c>
      <c r="O29" s="23">
        <v>0.13432835820895522</v>
      </c>
      <c r="P29" s="4">
        <v>9</v>
      </c>
      <c r="R29" s="21" t="s">
        <v>1361</v>
      </c>
      <c r="S29" s="23">
        <v>1</v>
      </c>
      <c r="T29" s="4">
        <v>67</v>
      </c>
      <c r="V29" s="21">
        <v>3</v>
      </c>
      <c r="W29" s="23">
        <v>0.21212121212121213</v>
      </c>
      <c r="X29" s="4">
        <v>14</v>
      </c>
      <c r="Z29" s="21">
        <v>4</v>
      </c>
      <c r="AA29" s="23">
        <v>0.2878787878787879</v>
      </c>
      <c r="AB29" s="4">
        <v>19</v>
      </c>
      <c r="AD29" s="21" t="s">
        <v>1361</v>
      </c>
      <c r="AE29" s="23">
        <v>1</v>
      </c>
      <c r="AF29" s="4">
        <v>66</v>
      </c>
      <c r="AH29" s="21">
        <v>4</v>
      </c>
      <c r="AI29" s="23">
        <v>0.15151515151515152</v>
      </c>
      <c r="AJ29" s="4">
        <v>10</v>
      </c>
    </row>
    <row r="30" spans="1:36" x14ac:dyDescent="0.25">
      <c r="A30">
        <v>4</v>
      </c>
      <c r="B30" s="23">
        <v>0.34328358208955223</v>
      </c>
      <c r="C30" s="23">
        <v>0.37313432835820898</v>
      </c>
      <c r="D30" s="23">
        <v>0.22388059701492538</v>
      </c>
      <c r="E30" s="23">
        <v>0.19696969696969696</v>
      </c>
      <c r="F30" s="23">
        <v>0.2878787878787879</v>
      </c>
      <c r="G30" s="23">
        <v>0.15151515151515152</v>
      </c>
      <c r="H30" s="23">
        <v>0.15151515151515152</v>
      </c>
      <c r="J30" s="21" t="s">
        <v>1361</v>
      </c>
      <c r="K30" s="23">
        <v>1</v>
      </c>
      <c r="L30" s="4">
        <v>67</v>
      </c>
      <c r="N30" s="21">
        <v>4</v>
      </c>
      <c r="O30" s="23">
        <v>0.37313432835820898</v>
      </c>
      <c r="P30" s="4">
        <v>25</v>
      </c>
      <c r="V30" s="21">
        <v>4</v>
      </c>
      <c r="W30" s="23">
        <v>0.19696969696969696</v>
      </c>
      <c r="X30" s="4">
        <v>13</v>
      </c>
      <c r="Z30" s="21">
        <v>5</v>
      </c>
      <c r="AA30" s="23">
        <v>0.33333333333333331</v>
      </c>
      <c r="AB30" s="4">
        <v>22</v>
      </c>
      <c r="AH30" s="21">
        <v>5</v>
      </c>
      <c r="AI30" s="23">
        <v>0.19696969696969696</v>
      </c>
      <c r="AJ30" s="4">
        <v>13</v>
      </c>
    </row>
    <row r="31" spans="1:36" x14ac:dyDescent="0.25">
      <c r="A31">
        <v>5</v>
      </c>
      <c r="B31" s="23">
        <v>0.47761194029850745</v>
      </c>
      <c r="C31" s="23">
        <v>0.38805970149253732</v>
      </c>
      <c r="D31" s="23">
        <v>0.67164179104477617</v>
      </c>
      <c r="E31" s="23">
        <v>0.33333333333333331</v>
      </c>
      <c r="F31" s="23">
        <v>0.33333333333333331</v>
      </c>
      <c r="G31" s="23">
        <v>0.83333333333333337</v>
      </c>
      <c r="H31" s="23">
        <v>0.19696969696969696</v>
      </c>
      <c r="N31" s="21">
        <v>5</v>
      </c>
      <c r="O31" s="23">
        <v>0.38805970149253732</v>
      </c>
      <c r="P31" s="4">
        <v>26</v>
      </c>
      <c r="V31" s="21">
        <v>5</v>
      </c>
      <c r="W31" s="23">
        <v>0.33333333333333331</v>
      </c>
      <c r="X31" s="4">
        <v>22</v>
      </c>
      <c r="Z31" s="21" t="s">
        <v>1361</v>
      </c>
      <c r="AA31" s="23">
        <v>1</v>
      </c>
      <c r="AB31" s="4">
        <v>66</v>
      </c>
      <c r="AH31" s="21" t="s">
        <v>1361</v>
      </c>
      <c r="AI31" s="23">
        <v>1</v>
      </c>
      <c r="AJ31" s="4">
        <v>66</v>
      </c>
    </row>
    <row r="32" spans="1:36" x14ac:dyDescent="0.25">
      <c r="C32" s="32"/>
      <c r="N32" s="21" t="s">
        <v>1361</v>
      </c>
      <c r="O32" s="23">
        <v>1</v>
      </c>
      <c r="P32" s="4">
        <v>67</v>
      </c>
      <c r="V32" s="21" t="s">
        <v>1361</v>
      </c>
      <c r="W32" s="23">
        <v>1</v>
      </c>
      <c r="X32" s="4">
        <v>66</v>
      </c>
    </row>
    <row r="33" spans="10:10" x14ac:dyDescent="0.25">
      <c r="J33" t="s">
        <v>1409</v>
      </c>
    </row>
  </sheetData>
  <pageMargins left="0.7" right="0.7" top="0.75" bottom="0.75" header="0.3" footer="0.3"/>
  <drawing r:id="rId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7192E-0591-EA44-8423-305D9089A5CD}">
  <dimension ref="A1:Y21"/>
  <sheetViews>
    <sheetView topLeftCell="A2" zoomScale="70" zoomScaleNormal="70" workbookViewId="0">
      <selection activeCell="Y5" sqref="Y5"/>
    </sheetView>
  </sheetViews>
  <sheetFormatPr defaultColWidth="10.625" defaultRowHeight="15.75" x14ac:dyDescent="0.25"/>
  <cols>
    <col min="1" max="1" width="29.125" customWidth="1"/>
    <col min="2" max="2" width="11.5" customWidth="1"/>
    <col min="3" max="3" width="11.375" style="16" customWidth="1"/>
    <col min="4" max="4" width="10.375" customWidth="1"/>
    <col min="5" max="5" width="8.875" customWidth="1"/>
    <col min="6" max="6" width="15.5" customWidth="1"/>
    <col min="8" max="8" width="22.875" customWidth="1"/>
    <col min="11" max="11" width="16.625" customWidth="1"/>
    <col min="12" max="12" width="12.125" customWidth="1"/>
    <col min="13" max="13" width="8.75" customWidth="1"/>
    <col min="14" max="14" width="8" customWidth="1"/>
    <col min="15" max="15" width="8.5" customWidth="1"/>
    <col min="16" max="16" width="15.625" customWidth="1"/>
    <col min="18" max="18" width="17.375" customWidth="1"/>
  </cols>
  <sheetData>
    <row r="1" spans="1:25" s="1" customFormat="1" ht="63.75" thickBot="1" x14ac:dyDescent="0.3">
      <c r="A1" s="1" t="s">
        <v>1317</v>
      </c>
      <c r="B1" s="1" t="s">
        <v>1318</v>
      </c>
      <c r="C1" s="26" t="s">
        <v>1319</v>
      </c>
      <c r="D1" s="1" t="s">
        <v>1320</v>
      </c>
      <c r="E1" s="1" t="s">
        <v>1321</v>
      </c>
      <c r="F1" s="1" t="s">
        <v>1343</v>
      </c>
      <c r="H1" s="28" t="s">
        <v>1392</v>
      </c>
      <c r="K1" s="1" t="s">
        <v>1396</v>
      </c>
      <c r="L1" s="1" t="s">
        <v>1351</v>
      </c>
      <c r="M1" s="1" t="s">
        <v>1352</v>
      </c>
      <c r="N1" s="1" t="s">
        <v>1353</v>
      </c>
      <c r="O1" s="1" t="s">
        <v>1321</v>
      </c>
      <c r="P1" s="1" t="s">
        <v>1427</v>
      </c>
      <c r="R1" s="1" t="s">
        <v>1428</v>
      </c>
    </row>
    <row r="2" spans="1:25" ht="64.5" thickTop="1" thickBot="1" x14ac:dyDescent="0.3">
      <c r="A2" s="19" t="s">
        <v>931</v>
      </c>
      <c r="B2" s="13">
        <v>4.1122448979591839</v>
      </c>
      <c r="C2" s="16">
        <v>4.5223880597014929</v>
      </c>
      <c r="D2" s="5">
        <f t="shared" ref="D2:D7" si="0">C2-B2</f>
        <v>0.41014316174230903</v>
      </c>
      <c r="E2" s="7">
        <f t="shared" ref="E2:E7" si="1">D2/B2</f>
        <v>9.9737046776045363E-2</v>
      </c>
      <c r="H2" s="29" t="s">
        <v>1393</v>
      </c>
      <c r="K2" s="11" t="s">
        <v>1344</v>
      </c>
      <c r="L2" s="14">
        <v>3.7755102040816326</v>
      </c>
      <c r="M2" s="16">
        <v>4.2238805970149258</v>
      </c>
      <c r="N2" s="5">
        <f t="shared" ref="N2:N8" si="2">M2-L2</f>
        <v>0.44837039293329317</v>
      </c>
      <c r="O2" s="7">
        <f t="shared" ref="O2:O8" si="3">N2/L2</f>
        <v>0.11875756353368305</v>
      </c>
      <c r="P2" s="6">
        <f>N2/(5-L2)</f>
        <v>0.3661691542288561</v>
      </c>
    </row>
    <row r="3" spans="1:25" ht="80.25" thickTop="1" thickBot="1" x14ac:dyDescent="0.3">
      <c r="A3" s="12" t="s">
        <v>1397</v>
      </c>
      <c r="B3" s="33">
        <v>0.31632653061224492</v>
      </c>
      <c r="C3" s="34">
        <v>0.61194029850746268</v>
      </c>
      <c r="D3" s="5">
        <f>C3-B3</f>
        <v>0.29561376789521776</v>
      </c>
      <c r="E3" s="7">
        <f t="shared" si="1"/>
        <v>0.93452094366875282</v>
      </c>
      <c r="F3" s="1" t="s">
        <v>1322</v>
      </c>
      <c r="K3" s="11" t="s">
        <v>1348</v>
      </c>
      <c r="L3" s="14">
        <v>3.9183673469387754</v>
      </c>
      <c r="M3" s="16">
        <v>3.9850746268656718</v>
      </c>
      <c r="N3" s="5">
        <f t="shared" si="2"/>
        <v>6.6707279926896401E-2</v>
      </c>
      <c r="O3" s="7">
        <f t="shared" si="3"/>
        <v>1.7024253731343354E-2</v>
      </c>
      <c r="P3" s="6">
        <f t="shared" ref="P3:P8" si="4">N3/(5-L3)</f>
        <v>6.1672768234300443E-2</v>
      </c>
      <c r="Y3" t="s">
        <v>1429</v>
      </c>
    </row>
    <row r="4" spans="1:25" ht="64.5" thickTop="1" thickBot="1" x14ac:dyDescent="0.3">
      <c r="A4" s="11" t="s">
        <v>1395</v>
      </c>
      <c r="B4" s="33">
        <v>0.18367346938775511</v>
      </c>
      <c r="C4" s="34">
        <v>0.68656716417910446</v>
      </c>
      <c r="D4" s="5">
        <f t="shared" si="0"/>
        <v>0.50289369479134938</v>
      </c>
      <c r="E4" s="7">
        <f t="shared" si="1"/>
        <v>2.7379767827529022</v>
      </c>
      <c r="K4" s="11" t="s">
        <v>1347</v>
      </c>
      <c r="L4" s="14">
        <v>4.3979591836734695</v>
      </c>
      <c r="M4" s="16">
        <v>4.5671641791044779</v>
      </c>
      <c r="N4" s="5">
        <f t="shared" si="2"/>
        <v>0.16920499543100842</v>
      </c>
      <c r="O4" s="7">
        <f t="shared" si="3"/>
        <v>3.8473525643245535E-2</v>
      </c>
      <c r="P4" s="6">
        <f t="shared" si="4"/>
        <v>0.28105236529218353</v>
      </c>
      <c r="Y4" t="s">
        <v>1430</v>
      </c>
    </row>
    <row r="5" spans="1:25" ht="64.5" thickTop="1" thickBot="1" x14ac:dyDescent="0.3">
      <c r="A5" s="11" t="s">
        <v>940</v>
      </c>
      <c r="B5" s="33">
        <v>0.2857142857142857</v>
      </c>
      <c r="C5" s="34">
        <v>0.56716417910447758</v>
      </c>
      <c r="D5" s="5">
        <f t="shared" si="0"/>
        <v>0.28144989339019189</v>
      </c>
      <c r="E5" s="7">
        <f t="shared" si="1"/>
        <v>0.9850746268656716</v>
      </c>
      <c r="H5" s="1" t="s">
        <v>1324</v>
      </c>
      <c r="K5" s="11" t="s">
        <v>1346</v>
      </c>
      <c r="L5" s="14">
        <v>3.0412371134020617</v>
      </c>
      <c r="M5" s="16">
        <v>3.5151515151515151</v>
      </c>
      <c r="N5" s="5">
        <f t="shared" si="2"/>
        <v>0.47391440174945343</v>
      </c>
      <c r="O5" s="7">
        <f t="shared" si="3"/>
        <v>0.15582948125321011</v>
      </c>
      <c r="P5" s="6">
        <f t="shared" si="4"/>
        <v>0.24194577352472094</v>
      </c>
    </row>
    <row r="6" spans="1:25" ht="48.75" thickTop="1" thickBot="1" x14ac:dyDescent="0.3">
      <c r="A6" s="11" t="s">
        <v>941</v>
      </c>
      <c r="B6" s="14">
        <v>2.1122448979591835</v>
      </c>
      <c r="C6" s="16">
        <v>2.5223880597014925</v>
      </c>
      <c r="D6" s="5">
        <f t="shared" si="0"/>
        <v>0.41014316174230903</v>
      </c>
      <c r="E6" s="7">
        <f t="shared" si="1"/>
        <v>0.19417405724998207</v>
      </c>
      <c r="H6" s="1" t="s">
        <v>1323</v>
      </c>
      <c r="K6" s="11" t="s">
        <v>1345</v>
      </c>
      <c r="L6" s="14">
        <v>3.5625</v>
      </c>
      <c r="M6" s="16">
        <v>3.7878787878787881</v>
      </c>
      <c r="N6" s="5">
        <f t="shared" si="2"/>
        <v>0.22537878787878807</v>
      </c>
      <c r="O6" s="7">
        <f t="shared" si="3"/>
        <v>6.3264221158958051E-2</v>
      </c>
      <c r="P6" s="6">
        <f t="shared" si="4"/>
        <v>0.15678524374176561</v>
      </c>
    </row>
    <row r="7" spans="1:25" ht="111.75" thickTop="1" thickBot="1" x14ac:dyDescent="0.3">
      <c r="A7" s="18" t="s">
        <v>948</v>
      </c>
      <c r="B7" s="14">
        <v>7.3061224489795915</v>
      </c>
      <c r="C7" s="16">
        <v>8.8484848484848477</v>
      </c>
      <c r="D7" s="5">
        <f t="shared" si="0"/>
        <v>1.5423623995052562</v>
      </c>
      <c r="E7" s="7">
        <f t="shared" si="1"/>
        <v>0.21110546808870825</v>
      </c>
      <c r="F7" s="6">
        <f>D7/(10-B7)</f>
        <v>0.57254361799816322</v>
      </c>
      <c r="G7" t="s">
        <v>1394</v>
      </c>
      <c r="H7" s="1"/>
      <c r="K7" s="11" t="s">
        <v>1349</v>
      </c>
      <c r="L7" s="14">
        <v>4.6020408163265305</v>
      </c>
      <c r="M7" s="16">
        <v>4.8181818181818183</v>
      </c>
      <c r="N7" s="5">
        <f t="shared" si="2"/>
        <v>0.21614100185528784</v>
      </c>
      <c r="O7" s="7">
        <f t="shared" si="3"/>
        <v>4.6966337431969422E-2</v>
      </c>
      <c r="P7" s="6">
        <f t="shared" si="4"/>
        <v>0.54312354312354361</v>
      </c>
    </row>
    <row r="8" spans="1:25" ht="80.099999999999994" customHeight="1" thickTop="1" x14ac:dyDescent="0.25">
      <c r="A8" s="27"/>
      <c r="B8" s="15"/>
      <c r="D8" s="5"/>
      <c r="E8" s="7"/>
      <c r="K8" s="11" t="s">
        <v>1350</v>
      </c>
      <c r="L8" s="14">
        <v>2.795698924731183</v>
      </c>
      <c r="M8" s="16">
        <v>3.106060606060606</v>
      </c>
      <c r="N8" s="5">
        <f t="shared" si="2"/>
        <v>0.31036168132942299</v>
      </c>
      <c r="O8" s="7">
        <f t="shared" si="3"/>
        <v>0.1110139860139859</v>
      </c>
      <c r="P8" s="6">
        <f t="shared" si="4"/>
        <v>0.14079822616407972</v>
      </c>
    </row>
    <row r="9" spans="1:25" ht="80.099999999999994" customHeight="1" thickBot="1" x14ac:dyDescent="0.3">
      <c r="A9" t="s">
        <v>1317</v>
      </c>
      <c r="B9" t="s">
        <v>1318</v>
      </c>
      <c r="C9" s="16" t="s">
        <v>1319</v>
      </c>
      <c r="D9" t="s">
        <v>1320</v>
      </c>
      <c r="E9" t="s">
        <v>1321</v>
      </c>
      <c r="F9" t="s">
        <v>1343</v>
      </c>
      <c r="H9" s="1"/>
    </row>
    <row r="10" spans="1:25" ht="17.25" thickTop="1" thickBot="1" x14ac:dyDescent="0.3">
      <c r="A10" s="11" t="s">
        <v>1354</v>
      </c>
      <c r="B10" s="14">
        <v>3.2371134020618557</v>
      </c>
      <c r="C10" s="16">
        <v>4.0149253731343286</v>
      </c>
      <c r="D10" s="5">
        <f t="shared" ref="D10:D15" si="5">C10-B10</f>
        <v>0.77781197107247291</v>
      </c>
      <c r="E10" s="7">
        <f t="shared" ref="E10:E15" si="6">D10/B10</f>
        <v>0.24027949424850278</v>
      </c>
      <c r="F10" s="6">
        <f t="shared" ref="F10:F15" si="7">D10/(5-B10)</f>
        <v>0.44121497774286478</v>
      </c>
    </row>
    <row r="11" spans="1:25" ht="17.25" thickTop="1" thickBot="1" x14ac:dyDescent="0.3">
      <c r="A11" s="11" t="s">
        <v>1355</v>
      </c>
      <c r="B11" s="14">
        <v>2.6736842105263157</v>
      </c>
      <c r="C11" s="16">
        <v>3.8636363636363638</v>
      </c>
      <c r="D11" s="5">
        <f t="shared" si="5"/>
        <v>1.1899521531100481</v>
      </c>
      <c r="E11" s="7">
        <f t="shared" si="6"/>
        <v>0.44506084466714402</v>
      </c>
      <c r="F11" s="6">
        <f t="shared" si="7"/>
        <v>0.51151789387083513</v>
      </c>
    </row>
    <row r="12" spans="1:25" ht="17.25" thickTop="1" thickBot="1" x14ac:dyDescent="0.3">
      <c r="A12" s="11" t="s">
        <v>1356</v>
      </c>
      <c r="B12" s="14">
        <v>3.1894736842105265</v>
      </c>
      <c r="C12" s="16">
        <v>3.91044776119403</v>
      </c>
      <c r="D12" s="5">
        <f t="shared" si="5"/>
        <v>0.72097407698350358</v>
      </c>
      <c r="E12" s="7">
        <f t="shared" si="6"/>
        <v>0.22604797793212159</v>
      </c>
      <c r="F12" s="6">
        <f t="shared" si="7"/>
        <v>0.39821242624088865</v>
      </c>
    </row>
    <row r="13" spans="1:25" ht="17.25" thickTop="1" thickBot="1" x14ac:dyDescent="0.3">
      <c r="A13" s="11" t="s">
        <v>1357</v>
      </c>
      <c r="B13" s="14">
        <v>2.7311827956989245</v>
      </c>
      <c r="C13" s="16">
        <v>3.4477611940298507</v>
      </c>
      <c r="D13" s="5">
        <f t="shared" si="5"/>
        <v>0.71657839833092618</v>
      </c>
      <c r="E13" s="7">
        <f t="shared" si="6"/>
        <v>0.26236925608179584</v>
      </c>
      <c r="F13" s="6">
        <f t="shared" si="7"/>
        <v>0.31583787225012383</v>
      </c>
    </row>
    <row r="14" spans="1:25" ht="17.25" thickTop="1" thickBot="1" x14ac:dyDescent="0.3">
      <c r="A14" s="11" t="s">
        <v>1358</v>
      </c>
      <c r="B14" s="14">
        <v>3.59375</v>
      </c>
      <c r="C14" s="16">
        <v>4.0746268656716422</v>
      </c>
      <c r="D14" s="5">
        <f t="shared" si="5"/>
        <v>0.48087686567164223</v>
      </c>
      <c r="E14" s="7">
        <f t="shared" si="6"/>
        <v>0.13380921479558741</v>
      </c>
      <c r="F14" s="6">
        <f t="shared" si="7"/>
        <v>0.34195688225539</v>
      </c>
    </row>
    <row r="15" spans="1:25" ht="16.5" thickTop="1" x14ac:dyDescent="0.25">
      <c r="A15" s="11" t="s">
        <v>1359</v>
      </c>
      <c r="B15" s="14">
        <v>3.6631578947368419</v>
      </c>
      <c r="C15" s="16">
        <v>4.3731343283582094</v>
      </c>
      <c r="D15" s="5">
        <f t="shared" si="5"/>
        <v>0.70997643362136742</v>
      </c>
      <c r="E15" s="7">
        <f t="shared" si="6"/>
        <v>0.193815405729971</v>
      </c>
      <c r="F15" s="6">
        <f t="shared" si="7"/>
        <v>0.53108473381125898</v>
      </c>
    </row>
    <row r="16" spans="1:25" ht="80.099999999999994" customHeight="1" x14ac:dyDescent="0.25"/>
    <row r="17" ht="80.099999999999994" customHeight="1" x14ac:dyDescent="0.25"/>
    <row r="18" ht="80.099999999999994" customHeight="1" x14ac:dyDescent="0.25"/>
    <row r="19" ht="80.099999999999994" customHeight="1" x14ac:dyDescent="0.25"/>
    <row r="20" ht="80.099999999999994" customHeight="1" x14ac:dyDescent="0.25"/>
    <row r="21" ht="80.099999999999994" customHeight="1" x14ac:dyDescent="0.25"/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E3224-53D3-3346-AEDC-5C14E9F48835}">
  <dimension ref="A1:AR69"/>
  <sheetViews>
    <sheetView topLeftCell="E56" workbookViewId="0">
      <selection activeCell="S66" sqref="S66"/>
    </sheetView>
  </sheetViews>
  <sheetFormatPr defaultColWidth="10.625" defaultRowHeight="15.75" x14ac:dyDescent="0.25"/>
  <cols>
    <col min="1" max="1" width="50.375" hidden="1" customWidth="1"/>
    <col min="2" max="2" width="49.5" hidden="1" customWidth="1"/>
    <col min="3" max="3" width="18.5" hidden="1" customWidth="1"/>
    <col min="4" max="4" width="21.625" hidden="1" customWidth="1"/>
    <col min="5" max="5" width="20.5" bestFit="1" customWidth="1"/>
    <col min="6" max="6" width="20.5" customWidth="1"/>
    <col min="7" max="7" width="22.5" hidden="1" customWidth="1"/>
    <col min="8" max="8" width="20" hidden="1" customWidth="1"/>
    <col min="9" max="9" width="53.875" hidden="1" customWidth="1"/>
    <col min="10" max="10" width="22" hidden="1" customWidth="1"/>
    <col min="11" max="11" width="29.375" hidden="1" customWidth="1"/>
    <col min="12" max="12" width="29.625" hidden="1" customWidth="1"/>
    <col min="13" max="13" width="25.5" hidden="1" customWidth="1"/>
    <col min="14" max="14" width="32.875" hidden="1" customWidth="1"/>
    <col min="15" max="15" width="27" hidden="1" customWidth="1"/>
    <col min="16" max="16" width="28.375" hidden="1" customWidth="1"/>
    <col min="17" max="17" width="29.625" hidden="1" customWidth="1"/>
    <col min="18" max="18" width="25" hidden="1" customWidth="1"/>
    <col min="19" max="19" width="12.625" bestFit="1" customWidth="1"/>
    <col min="20" max="20" width="14.625" customWidth="1"/>
    <col min="21" max="21" width="5.125" style="6" bestFit="1" customWidth="1"/>
    <col min="22" max="28" width="7.125" bestFit="1" customWidth="1"/>
    <col min="29" max="29" width="7.125" style="2" bestFit="1" customWidth="1"/>
    <col min="30" max="30" width="10.625" style="2" customWidth="1"/>
    <col min="31" max="31" width="11.875" bestFit="1" customWidth="1"/>
    <col min="32" max="32" width="10.5" customWidth="1"/>
    <col min="33" max="33" width="23.375" customWidth="1"/>
    <col min="34" max="34" width="11.75" bestFit="1" customWidth="1"/>
    <col min="35" max="35" width="12.875" customWidth="1"/>
    <col min="36" max="36" width="20.125" customWidth="1"/>
    <col min="37" max="43" width="7.125" bestFit="1" customWidth="1"/>
    <col min="44" max="44" width="24.125" customWidth="1"/>
  </cols>
  <sheetData>
    <row r="1" spans="1:44" s="1" customFormat="1" ht="47.25" x14ac:dyDescent="0.25">
      <c r="A1" s="1" t="s">
        <v>913</v>
      </c>
      <c r="B1" s="1" t="s">
        <v>914</v>
      </c>
      <c r="C1" s="1" t="s">
        <v>915</v>
      </c>
      <c r="D1" s="1" t="s">
        <v>916</v>
      </c>
      <c r="E1" s="1" t="s">
        <v>917</v>
      </c>
      <c r="F1" s="1" t="s">
        <v>918</v>
      </c>
      <c r="G1" s="1" t="s">
        <v>1313</v>
      </c>
      <c r="H1" s="1" t="s">
        <v>919</v>
      </c>
      <c r="I1" s="1" t="s">
        <v>920</v>
      </c>
      <c r="J1" s="1" t="s">
        <v>921</v>
      </c>
      <c r="K1" s="1" t="s">
        <v>922</v>
      </c>
      <c r="L1" s="1" t="s">
        <v>923</v>
      </c>
      <c r="M1" s="1" t="s">
        <v>924</v>
      </c>
      <c r="N1" s="1" t="s">
        <v>925</v>
      </c>
      <c r="O1" s="1" t="s">
        <v>926</v>
      </c>
      <c r="P1" s="1" t="s">
        <v>927</v>
      </c>
      <c r="Q1" s="1" t="s">
        <v>928</v>
      </c>
      <c r="R1" s="1" t="s">
        <v>929</v>
      </c>
      <c r="S1" s="1" t="s">
        <v>1379</v>
      </c>
      <c r="T1" s="1" t="s">
        <v>1376</v>
      </c>
      <c r="U1" s="1" t="s">
        <v>1364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1391</v>
      </c>
      <c r="AE1" s="1" t="s">
        <v>1366</v>
      </c>
      <c r="AF1" s="1" t="s">
        <v>1373</v>
      </c>
      <c r="AG1" s="1" t="s">
        <v>29</v>
      </c>
      <c r="AH1" s="1" t="s">
        <v>1374</v>
      </c>
      <c r="AI1" s="1" t="s">
        <v>1368</v>
      </c>
      <c r="AJ1" s="1" t="s">
        <v>1380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1371</v>
      </c>
    </row>
    <row r="2" spans="1:44" ht="5.45" customHeight="1" x14ac:dyDescent="0.25">
      <c r="A2" t="s">
        <v>475</v>
      </c>
      <c r="B2" t="s">
        <v>476</v>
      </c>
      <c r="C2" t="s">
        <v>42</v>
      </c>
      <c r="D2" t="s">
        <v>389</v>
      </c>
      <c r="E2" t="s">
        <v>112</v>
      </c>
      <c r="F2">
        <f>_xlfn.NUMBERVALUE(Table_EH_Pre_Survey_May_20__2023_08_224[[#This Row],[Duration (in seconds) - Duration (in seconds)2]])</f>
        <v>207</v>
      </c>
      <c r="G2" t="s">
        <v>477</v>
      </c>
      <c r="H2" t="s">
        <v>114</v>
      </c>
      <c r="I2" t="s">
        <v>478</v>
      </c>
      <c r="J2" t="s">
        <v>479</v>
      </c>
      <c r="K2" t="s">
        <v>111</v>
      </c>
      <c r="L2" t="s">
        <v>111</v>
      </c>
      <c r="M2" t="s">
        <v>111</v>
      </c>
      <c r="N2" t="s">
        <v>111</v>
      </c>
      <c r="O2" t="s">
        <v>392</v>
      </c>
      <c r="P2" t="s">
        <v>393</v>
      </c>
      <c r="Q2" t="s">
        <v>127</v>
      </c>
      <c r="R2" t="s">
        <v>117</v>
      </c>
      <c r="S2" s="17" t="s">
        <v>480</v>
      </c>
      <c r="T2" s="17" t="str">
        <f>VLOOKUP(Table_EH_Pre_Survey_May_20__2023_08_224[[#This Row],[Q1 - NetID Post-Survey]], 'Post-Survey Matched Set (36)'!S:S, 1,FALSE)</f>
        <v>aac195</v>
      </c>
      <c r="U2" s="8">
        <v>4</v>
      </c>
      <c r="V2" s="4">
        <v>1</v>
      </c>
      <c r="W2" s="4">
        <v>3</v>
      </c>
      <c r="X2" s="4">
        <v>5</v>
      </c>
      <c r="Y2" s="4">
        <v>1</v>
      </c>
      <c r="Z2" s="4">
        <v>3</v>
      </c>
      <c r="AA2" s="4">
        <v>4</v>
      </c>
      <c r="AB2" s="4">
        <v>1</v>
      </c>
      <c r="AC2" s="2">
        <v>4.5</v>
      </c>
      <c r="AD2" s="2">
        <f>IF(Table_EH_Pre_Survey_May_20__2023_08_224[[#This Row],[Q4_1]] = 3, 1, IF(Table_EH_Pre_Survey_May_20__2023_08_224[[#This Row],[Q4_1]] = 2.5, 0.5, IF(Table_EH_Pre_Survey_May_20__2023_08_224[[#This Row],[Q4_1]] = 3.5, 0.5, 0)))</f>
        <v>0</v>
      </c>
      <c r="AE2" t="s">
        <v>185</v>
      </c>
      <c r="AF2">
        <f>IF(Table_EH_Pre_Survey_May_20__2023_08_224[[#This Row],[Q5 ]]="PM &lt; 2.5 μm", 1, 0)</f>
        <v>0</v>
      </c>
      <c r="AG2" t="s">
        <v>175</v>
      </c>
      <c r="AH2">
        <f>IF(Table_EH_Pre_Survey_May_20__2023_08_224[[#This Row],[Q6]]="Particles of this size are generally absorbed in the respiratory tract and safely excreted in mucus.", 1, 0)</f>
        <v>1</v>
      </c>
      <c r="AI2" t="s">
        <v>232</v>
      </c>
      <c r="AJ2">
        <f>IF(ISNUMBER(SEARCH("Trucks", Table_EH_Pre_Survey_May_20__2023_08_224[[#This Row],[Q7 ]])) = TRUE, 1, 0) + IF(ISNUMBER(SEARCH("Cars", Table_EH_Pre_Survey_May_20__2023_08_224[[#This Row],[Q7 ]])) = TRUE, 1, 0) + IF(ISNUMBER(SEARCH("Fireplaces", Table_EH_Pre_Survey_May_20__2023_08_224[[#This Row],[Q7 ]])) = TRUE, 1, 0) + IF(ISNUMBER(SEARCH("Dirt Roads",Table_EH_Pre_Survey_May_20__2023_08_224[[#This Row],[Q7 ]])) = TRUE, 1, 0) - IF(ISNUMBER(SEARCH("Electric Vehicles",Table_EH_Pre_Survey_May_20__2023_08_224[[#This Row],[Q7 ]])) = TRUE, 1, 0) - IF(ISNUMBER(SEARCH("Pollen", Table_EH_Pre_Survey_May_20__2023_08_224[[#This Row],[Q7 ]])) = TRUE, 1, 0)</f>
        <v>1</v>
      </c>
      <c r="AK2">
        <v>3</v>
      </c>
      <c r="AL2">
        <v>2</v>
      </c>
      <c r="AM2">
        <v>4</v>
      </c>
      <c r="AN2">
        <v>4</v>
      </c>
      <c r="AO2">
        <v>5</v>
      </c>
      <c r="AP2">
        <v>2</v>
      </c>
      <c r="AQ2">
        <v>5</v>
      </c>
      <c r="AR2" t="s">
        <v>481</v>
      </c>
    </row>
    <row r="3" spans="1:44" x14ac:dyDescent="0.25">
      <c r="A3" t="s">
        <v>305</v>
      </c>
      <c r="B3" t="s">
        <v>306</v>
      </c>
      <c r="C3" t="s">
        <v>42</v>
      </c>
      <c r="D3" t="s">
        <v>307</v>
      </c>
      <c r="E3" t="s">
        <v>112</v>
      </c>
      <c r="F3">
        <f>_xlfn.NUMBERVALUE(Table_EH_Pre_Survey_May_20__2023_08_224[[#This Row],[Duration (in seconds) - Duration (in seconds)2]])</f>
        <v>107</v>
      </c>
      <c r="G3" t="s">
        <v>308</v>
      </c>
      <c r="H3" t="s">
        <v>114</v>
      </c>
      <c r="I3" t="s">
        <v>309</v>
      </c>
      <c r="J3" t="s">
        <v>310</v>
      </c>
      <c r="K3" t="s">
        <v>111</v>
      </c>
      <c r="L3" t="s">
        <v>111</v>
      </c>
      <c r="M3" t="s">
        <v>111</v>
      </c>
      <c r="N3" t="s">
        <v>111</v>
      </c>
      <c r="O3" t="s">
        <v>311</v>
      </c>
      <c r="P3" t="s">
        <v>312</v>
      </c>
      <c r="Q3" t="s">
        <v>127</v>
      </c>
      <c r="R3" t="s">
        <v>117</v>
      </c>
      <c r="S3" s="17" t="s">
        <v>313</v>
      </c>
      <c r="T3" s="17" t="str">
        <f>VLOOKUP(Table_EH_Pre_Survey_May_20__2023_08_224[[#This Row],[Q1 - NetID Post-Survey]], 'Post-Survey Matched Set (36)'!S:S, 1,FALSE)</f>
        <v>aar258</v>
      </c>
      <c r="U3" s="8">
        <v>4</v>
      </c>
      <c r="V3" s="4">
        <v>4</v>
      </c>
      <c r="W3" s="4">
        <v>4</v>
      </c>
      <c r="X3" s="4">
        <v>4</v>
      </c>
      <c r="Y3" s="4">
        <v>4</v>
      </c>
      <c r="Z3" s="4">
        <v>4</v>
      </c>
      <c r="AA3" s="4">
        <v>4</v>
      </c>
      <c r="AB3" s="4">
        <v>3</v>
      </c>
      <c r="AC3" s="2">
        <v>3</v>
      </c>
      <c r="AD3" s="2">
        <f>IF(Table_EH_Pre_Survey_May_20__2023_08_224[[#This Row],[Q4_1]] = 3, 1, IF(Table_EH_Pre_Survey_May_20__2023_08_224[[#This Row],[Q4_1]] = 2.5, 0.5, IF(Table_EH_Pre_Survey_May_20__2023_08_224[[#This Row],[Q4_1]] = 3.5, 0.5, 0)))</f>
        <v>1</v>
      </c>
      <c r="AE3" t="s">
        <v>130</v>
      </c>
      <c r="AF3">
        <f>IF(Table_EH_Pre_Survey_May_20__2023_08_224[[#This Row],[Q5 ]]="PM &lt; 2.5 μm", 1, 0)</f>
        <v>0</v>
      </c>
      <c r="AG3" t="s">
        <v>141</v>
      </c>
      <c r="AH3">
        <f>IF(Table_EH_Pre_Survey_May_20__2023_08_224[[#This Row],[Q6]]="Particles of this size are generally absorbed in the respiratory tract and safely excreted in mucus.", 1, 0)</f>
        <v>0</v>
      </c>
      <c r="AI3" t="s">
        <v>167</v>
      </c>
      <c r="AJ3">
        <f>IF(ISNUMBER(SEARCH("Trucks", Table_EH_Pre_Survey_May_20__2023_08_224[[#This Row],[Q7 ]])) = TRUE, 1, 0) + IF(ISNUMBER(SEARCH("Cars", Table_EH_Pre_Survey_May_20__2023_08_224[[#This Row],[Q7 ]])) = TRUE, 1, 0) + IF(ISNUMBER(SEARCH("Fireplaces", Table_EH_Pre_Survey_May_20__2023_08_224[[#This Row],[Q7 ]])) = TRUE, 1, 0) + IF(ISNUMBER(SEARCH("Dirt Roads",Table_EH_Pre_Survey_May_20__2023_08_224[[#This Row],[Q7 ]])) = TRUE, 1, 0) - IF(ISNUMBER(SEARCH("Electric Vehicles",Table_EH_Pre_Survey_May_20__2023_08_224[[#This Row],[Q7 ]])) = TRUE, 1, 0) - IF(ISNUMBER(SEARCH("Pollen", Table_EH_Pre_Survey_May_20__2023_08_224[[#This Row],[Q7 ]])) = TRUE, 1, 0)</f>
        <v>3</v>
      </c>
      <c r="AK3">
        <v>2</v>
      </c>
      <c r="AL3">
        <v>1</v>
      </c>
      <c r="AM3">
        <v>3</v>
      </c>
      <c r="AN3">
        <v>1</v>
      </c>
      <c r="AO3">
        <v>3</v>
      </c>
      <c r="AP3">
        <v>3</v>
      </c>
      <c r="AQ3">
        <v>8</v>
      </c>
      <c r="AR3" t="s">
        <v>314</v>
      </c>
    </row>
    <row r="4" spans="1:44" x14ac:dyDescent="0.25">
      <c r="A4" t="s">
        <v>412</v>
      </c>
      <c r="B4" t="s">
        <v>413</v>
      </c>
      <c r="C4" t="s">
        <v>42</v>
      </c>
      <c r="D4" t="s">
        <v>307</v>
      </c>
      <c r="E4" t="s">
        <v>112</v>
      </c>
      <c r="F4">
        <f>_xlfn.NUMBERVALUE(Table_EH_Pre_Survey_May_20__2023_08_224[[#This Row],[Duration (in seconds) - Duration (in seconds)2]])</f>
        <v>56</v>
      </c>
      <c r="G4" t="s">
        <v>414</v>
      </c>
      <c r="H4" t="s">
        <v>114</v>
      </c>
      <c r="I4" t="s">
        <v>413</v>
      </c>
      <c r="J4" t="s">
        <v>415</v>
      </c>
      <c r="K4" t="s">
        <v>111</v>
      </c>
      <c r="L4" t="s">
        <v>111</v>
      </c>
      <c r="M4" t="s">
        <v>111</v>
      </c>
      <c r="N4" t="s">
        <v>111</v>
      </c>
      <c r="O4" t="s">
        <v>311</v>
      </c>
      <c r="P4" t="s">
        <v>312</v>
      </c>
      <c r="Q4" t="s">
        <v>127</v>
      </c>
      <c r="R4" t="s">
        <v>117</v>
      </c>
      <c r="S4" s="17" t="s">
        <v>416</v>
      </c>
      <c r="T4" s="17" t="str">
        <f>VLOOKUP(Table_EH_Pre_Survey_May_20__2023_08_224[[#This Row],[Q1 - NetID Post-Survey]], 'Post-Survey Matched Set (36)'!S:S, 1,FALSE)</f>
        <v>agg108</v>
      </c>
      <c r="U4" s="8">
        <v>4</v>
      </c>
      <c r="V4" s="4">
        <v>4</v>
      </c>
      <c r="W4" s="4">
        <v>5</v>
      </c>
      <c r="X4" s="4">
        <v>5</v>
      </c>
      <c r="Y4" s="4"/>
      <c r="Z4" s="4"/>
      <c r="AA4" s="4">
        <v>5</v>
      </c>
      <c r="AB4" s="4"/>
      <c r="AC4" s="2">
        <v>2.5</v>
      </c>
      <c r="AD4" s="2">
        <f>IF(Table_EH_Pre_Survey_May_20__2023_08_224[[#This Row],[Q4_1]] = 3, 1, IF(Table_EH_Pre_Survey_May_20__2023_08_224[[#This Row],[Q4_1]] = 2.5, 0.5, IF(Table_EH_Pre_Survey_May_20__2023_08_224[[#This Row],[Q4_1]] = 3.5, 0.5, 0)))</f>
        <v>0.5</v>
      </c>
      <c r="AE4" t="s">
        <v>130</v>
      </c>
      <c r="AF4">
        <f>IF(Table_EH_Pre_Survey_May_20__2023_08_224[[#This Row],[Q5 ]]="PM &lt; 2.5 μm", 1, 0)</f>
        <v>0</v>
      </c>
      <c r="AG4" t="s">
        <v>175</v>
      </c>
      <c r="AH4">
        <f>IF(Table_EH_Pre_Survey_May_20__2023_08_224[[#This Row],[Q6]]="Particles of this size are generally absorbed in the respiratory tract and safely excreted in mucus.", 1, 0)</f>
        <v>1</v>
      </c>
      <c r="AI4" t="s">
        <v>142</v>
      </c>
      <c r="AJ4">
        <f>IF(ISNUMBER(SEARCH("Trucks", Table_EH_Pre_Survey_May_20__2023_08_224[[#This Row],[Q7 ]])) = TRUE, 1, 0) + IF(ISNUMBER(SEARCH("Cars", Table_EH_Pre_Survey_May_20__2023_08_224[[#This Row],[Q7 ]])) = TRUE, 1, 0) + IF(ISNUMBER(SEARCH("Fireplaces", Table_EH_Pre_Survey_May_20__2023_08_224[[#This Row],[Q7 ]])) = TRUE, 1, 0) + IF(ISNUMBER(SEARCH("Dirt Roads",Table_EH_Pre_Survey_May_20__2023_08_224[[#This Row],[Q7 ]])) = TRUE, 1, 0) - IF(ISNUMBER(SEARCH("Electric Vehicles",Table_EH_Pre_Survey_May_20__2023_08_224[[#This Row],[Q7 ]])) = TRUE, 1, 0) - IF(ISNUMBER(SEARCH("Pollen", Table_EH_Pre_Survey_May_20__2023_08_224[[#This Row],[Q7 ]])) = TRUE, 1, 0)</f>
        <v>2</v>
      </c>
      <c r="AK4">
        <v>4</v>
      </c>
      <c r="AL4">
        <v>5</v>
      </c>
      <c r="AM4">
        <v>4</v>
      </c>
      <c r="AN4">
        <v>3</v>
      </c>
      <c r="AO4">
        <v>5</v>
      </c>
      <c r="AP4">
        <v>5</v>
      </c>
      <c r="AQ4">
        <v>4</v>
      </c>
      <c r="AR4" t="s">
        <v>111</v>
      </c>
    </row>
    <row r="5" spans="1:44" x14ac:dyDescent="0.25">
      <c r="A5" t="s">
        <v>488</v>
      </c>
      <c r="B5" t="s">
        <v>666</v>
      </c>
      <c r="C5" t="s">
        <v>42</v>
      </c>
      <c r="D5" t="s">
        <v>667</v>
      </c>
      <c r="E5" t="s">
        <v>112</v>
      </c>
      <c r="F5">
        <f>_xlfn.NUMBERVALUE(Table_EH_Pre_Survey_May_20__2023_08_224[[#This Row],[Duration (in seconds) - Duration (in seconds)2]])</f>
        <v>329</v>
      </c>
      <c r="G5" t="s">
        <v>668</v>
      </c>
      <c r="H5" t="s">
        <v>114</v>
      </c>
      <c r="I5" t="s">
        <v>666</v>
      </c>
      <c r="J5" t="s">
        <v>669</v>
      </c>
      <c r="K5" t="s">
        <v>111</v>
      </c>
      <c r="L5" t="s">
        <v>111</v>
      </c>
      <c r="M5" t="s">
        <v>111</v>
      </c>
      <c r="N5" t="s">
        <v>111</v>
      </c>
      <c r="O5" t="s">
        <v>115</v>
      </c>
      <c r="P5" t="s">
        <v>116</v>
      </c>
      <c r="Q5" t="s">
        <v>127</v>
      </c>
      <c r="R5" t="s">
        <v>117</v>
      </c>
      <c r="S5" s="17" t="s">
        <v>670</v>
      </c>
      <c r="T5" s="17" t="str">
        <f>VLOOKUP(Table_EH_Pre_Survey_May_20__2023_08_224[[#This Row],[Q1 - NetID Post-Survey]], 'Post-Survey Matched Set (36)'!S:S, 1,FALSE)</f>
        <v>Amc754</v>
      </c>
      <c r="U5" s="8">
        <v>5</v>
      </c>
      <c r="V5" s="4">
        <v>4</v>
      </c>
      <c r="W5" s="4">
        <v>5</v>
      </c>
      <c r="X5" s="4">
        <v>5</v>
      </c>
      <c r="Y5" s="4">
        <v>4</v>
      </c>
      <c r="Z5" s="4">
        <v>5</v>
      </c>
      <c r="AA5" s="4">
        <v>5</v>
      </c>
      <c r="AB5" s="4">
        <v>4</v>
      </c>
      <c r="AC5" s="2">
        <v>2.5</v>
      </c>
      <c r="AD5" s="2">
        <f>IF(Table_EH_Pre_Survey_May_20__2023_08_224[[#This Row],[Q4_1]] = 3, 1, IF(Table_EH_Pre_Survey_May_20__2023_08_224[[#This Row],[Q4_1]] = 2.5, 0.5, IF(Table_EH_Pre_Survey_May_20__2023_08_224[[#This Row],[Q4_1]] = 3.5, 0.5, 0)))</f>
        <v>0.5</v>
      </c>
      <c r="AE5" t="s">
        <v>154</v>
      </c>
      <c r="AF5">
        <f>IF(Table_EH_Pre_Survey_May_20__2023_08_224[[#This Row],[Q5 ]]="PM &lt; 2.5 μm", 1, 0)</f>
        <v>0</v>
      </c>
      <c r="AG5" t="s">
        <v>175</v>
      </c>
      <c r="AH5">
        <f>IF(Table_EH_Pre_Survey_May_20__2023_08_224[[#This Row],[Q6]]="Particles of this size are generally absorbed in the respiratory tract and safely excreted in mucus.", 1, 0)</f>
        <v>1</v>
      </c>
      <c r="AI5" t="s">
        <v>142</v>
      </c>
      <c r="AJ5">
        <f>IF(ISNUMBER(SEARCH("Trucks", Table_EH_Pre_Survey_May_20__2023_08_224[[#This Row],[Q7 ]])) = TRUE, 1, 0) + IF(ISNUMBER(SEARCH("Cars", Table_EH_Pre_Survey_May_20__2023_08_224[[#This Row],[Q7 ]])) = TRUE, 1, 0) + IF(ISNUMBER(SEARCH("Fireplaces", Table_EH_Pre_Survey_May_20__2023_08_224[[#This Row],[Q7 ]])) = TRUE, 1, 0) + IF(ISNUMBER(SEARCH("Dirt Roads",Table_EH_Pre_Survey_May_20__2023_08_224[[#This Row],[Q7 ]])) = TRUE, 1, 0) - IF(ISNUMBER(SEARCH("Electric Vehicles",Table_EH_Pre_Survey_May_20__2023_08_224[[#This Row],[Q7 ]])) = TRUE, 1, 0) - IF(ISNUMBER(SEARCH("Pollen", Table_EH_Pre_Survey_May_20__2023_08_224[[#This Row],[Q7 ]])) = TRUE, 1, 0)</f>
        <v>2</v>
      </c>
      <c r="AK5">
        <v>2</v>
      </c>
      <c r="AL5">
        <v>3</v>
      </c>
      <c r="AM5">
        <v>3</v>
      </c>
      <c r="AN5">
        <v>2</v>
      </c>
      <c r="AO5">
        <v>3</v>
      </c>
      <c r="AP5">
        <v>4</v>
      </c>
      <c r="AQ5">
        <v>10</v>
      </c>
      <c r="AR5" t="s">
        <v>671</v>
      </c>
    </row>
    <row r="6" spans="1:44" x14ac:dyDescent="0.25">
      <c r="A6" t="s">
        <v>396</v>
      </c>
      <c r="B6" t="s">
        <v>397</v>
      </c>
      <c r="C6" t="s">
        <v>42</v>
      </c>
      <c r="D6" t="s">
        <v>398</v>
      </c>
      <c r="E6" t="s">
        <v>112</v>
      </c>
      <c r="F6">
        <f>_xlfn.NUMBERVALUE(Table_EH_Pre_Survey_May_20__2023_08_224[[#This Row],[Duration (in seconds) - Duration (in seconds)2]])</f>
        <v>123</v>
      </c>
      <c r="G6" t="s">
        <v>399</v>
      </c>
      <c r="H6" t="s">
        <v>114</v>
      </c>
      <c r="I6" t="s">
        <v>397</v>
      </c>
      <c r="J6" t="s">
        <v>400</v>
      </c>
      <c r="K6" t="s">
        <v>111</v>
      </c>
      <c r="L6" t="s">
        <v>111</v>
      </c>
      <c r="M6" t="s">
        <v>111</v>
      </c>
      <c r="N6" t="s">
        <v>111</v>
      </c>
      <c r="O6" t="s">
        <v>351</v>
      </c>
      <c r="P6" t="s">
        <v>352</v>
      </c>
      <c r="Q6" t="s">
        <v>127</v>
      </c>
      <c r="R6" t="s">
        <v>117</v>
      </c>
      <c r="S6" s="17" t="s">
        <v>401</v>
      </c>
      <c r="T6" s="17" t="str">
        <f>VLOOKUP(Table_EH_Pre_Survey_May_20__2023_08_224[[#This Row],[Q1 - NetID Post-Survey]], 'Post-Survey Matched Set (36)'!S:S, 1,FALSE)</f>
        <v>ar1522</v>
      </c>
      <c r="U6" s="8">
        <v>5</v>
      </c>
      <c r="V6" s="4">
        <v>3</v>
      </c>
      <c r="W6" s="4">
        <v>5</v>
      </c>
      <c r="X6" s="4">
        <v>5</v>
      </c>
      <c r="Y6" s="4">
        <v>3</v>
      </c>
      <c r="Z6" s="4">
        <v>5</v>
      </c>
      <c r="AA6" s="4">
        <v>5</v>
      </c>
      <c r="AB6" s="4">
        <v>3</v>
      </c>
      <c r="AC6" s="2">
        <v>4</v>
      </c>
      <c r="AD6" s="2">
        <f>IF(Table_EH_Pre_Survey_May_20__2023_08_224[[#This Row],[Q4_1]] = 3, 1, IF(Table_EH_Pre_Survey_May_20__2023_08_224[[#This Row],[Q4_1]] = 2.5, 0.5, IF(Table_EH_Pre_Survey_May_20__2023_08_224[[#This Row],[Q4_1]] = 3.5, 0.5, 0)))</f>
        <v>0</v>
      </c>
      <c r="AE6" t="s">
        <v>130</v>
      </c>
      <c r="AF6">
        <f>IF(Table_EH_Pre_Survey_May_20__2023_08_224[[#This Row],[Q5 ]]="PM &lt; 2.5 μm", 1, 0)</f>
        <v>0</v>
      </c>
      <c r="AG6" t="s">
        <v>141</v>
      </c>
      <c r="AH6">
        <f>IF(Table_EH_Pre_Survey_May_20__2023_08_224[[#This Row],[Q6]]="Particles of this size are generally absorbed in the respiratory tract and safely excreted in mucus.", 1, 0)</f>
        <v>0</v>
      </c>
      <c r="AI6" t="s">
        <v>402</v>
      </c>
      <c r="AJ6">
        <f>IF(ISNUMBER(SEARCH("Trucks", Table_EH_Pre_Survey_May_20__2023_08_224[[#This Row],[Q7 ]])) = TRUE, 1, 0) + IF(ISNUMBER(SEARCH("Cars", Table_EH_Pre_Survey_May_20__2023_08_224[[#This Row],[Q7 ]])) = TRUE, 1, 0) + IF(ISNUMBER(SEARCH("Fireplaces", Table_EH_Pre_Survey_May_20__2023_08_224[[#This Row],[Q7 ]])) = TRUE, 1, 0) + IF(ISNUMBER(SEARCH("Dirt Roads",Table_EH_Pre_Survey_May_20__2023_08_224[[#This Row],[Q7 ]])) = TRUE, 1, 0) - IF(ISNUMBER(SEARCH("Electric Vehicles",Table_EH_Pre_Survey_May_20__2023_08_224[[#This Row],[Q7 ]])) = TRUE, 1, 0) - IF(ISNUMBER(SEARCH("Pollen", Table_EH_Pre_Survey_May_20__2023_08_224[[#This Row],[Q7 ]])) = TRUE, 1, 0)</f>
        <v>1</v>
      </c>
      <c r="AK6">
        <v>5</v>
      </c>
      <c r="AL6">
        <v>3</v>
      </c>
      <c r="AM6">
        <v>5</v>
      </c>
      <c r="AN6">
        <v>3</v>
      </c>
      <c r="AO6">
        <v>5</v>
      </c>
      <c r="AP6">
        <v>5</v>
      </c>
      <c r="AQ6">
        <v>8</v>
      </c>
      <c r="AR6" t="s">
        <v>403</v>
      </c>
    </row>
    <row r="7" spans="1:44" x14ac:dyDescent="0.25">
      <c r="A7" t="s">
        <v>177</v>
      </c>
      <c r="B7" t="s">
        <v>178</v>
      </c>
      <c r="C7" t="s">
        <v>42</v>
      </c>
      <c r="D7" t="s">
        <v>179</v>
      </c>
      <c r="E7" t="s">
        <v>112</v>
      </c>
      <c r="F7">
        <f>_xlfn.NUMBERVALUE(Table_EH_Pre_Survey_May_20__2023_08_224[[#This Row],[Duration (in seconds) - Duration (in seconds)2]])</f>
        <v>291</v>
      </c>
      <c r="G7" t="s">
        <v>180</v>
      </c>
      <c r="H7" t="s">
        <v>114</v>
      </c>
      <c r="I7" t="s">
        <v>178</v>
      </c>
      <c r="J7" t="s">
        <v>181</v>
      </c>
      <c r="K7" t="s">
        <v>111</v>
      </c>
      <c r="L7" t="s">
        <v>111</v>
      </c>
      <c r="M7" t="s">
        <v>111</v>
      </c>
      <c r="N7" t="s">
        <v>111</v>
      </c>
      <c r="O7" t="s">
        <v>182</v>
      </c>
      <c r="P7" t="s">
        <v>183</v>
      </c>
      <c r="Q7" t="s">
        <v>127</v>
      </c>
      <c r="R7" t="s">
        <v>117</v>
      </c>
      <c r="S7" s="17" t="s">
        <v>184</v>
      </c>
      <c r="T7" s="17" t="str">
        <f>VLOOKUP(Table_EH_Pre_Survey_May_20__2023_08_224[[#This Row],[Q1 - NetID Post-Survey]], 'Post-Survey Matched Set (36)'!S:S, 1,FALSE)</f>
        <v>Crk117</v>
      </c>
      <c r="U7" s="8">
        <v>5</v>
      </c>
      <c r="V7" s="4">
        <v>4</v>
      </c>
      <c r="W7" s="4">
        <v>5</v>
      </c>
      <c r="X7" s="4">
        <v>5</v>
      </c>
      <c r="Y7" s="4">
        <v>5</v>
      </c>
      <c r="Z7" s="4">
        <v>5</v>
      </c>
      <c r="AA7" s="4">
        <v>5</v>
      </c>
      <c r="AB7" s="4">
        <v>4</v>
      </c>
      <c r="AC7" s="2">
        <v>4.5</v>
      </c>
      <c r="AD7" s="2">
        <f>IF(Table_EH_Pre_Survey_May_20__2023_08_224[[#This Row],[Q4_1]] = 3, 1, IF(Table_EH_Pre_Survey_May_20__2023_08_224[[#This Row],[Q4_1]] = 2.5, 0.5, IF(Table_EH_Pre_Survey_May_20__2023_08_224[[#This Row],[Q4_1]] = 3.5, 0.5, 0)))</f>
        <v>0</v>
      </c>
      <c r="AE7" t="s">
        <v>185</v>
      </c>
      <c r="AF7">
        <f>IF(Table_EH_Pre_Survey_May_20__2023_08_224[[#This Row],[Q5 ]]="PM &lt; 2.5 μm", 1, 0)</f>
        <v>0</v>
      </c>
      <c r="AG7" t="s">
        <v>141</v>
      </c>
      <c r="AH7">
        <f>IF(Table_EH_Pre_Survey_May_20__2023_08_224[[#This Row],[Q6]]="Particles of this size are generally absorbed in the respiratory tract and safely excreted in mucus.", 1, 0)</f>
        <v>0</v>
      </c>
      <c r="AI7" t="s">
        <v>186</v>
      </c>
      <c r="AJ7">
        <f>IF(ISNUMBER(SEARCH("Trucks", Table_EH_Pre_Survey_May_20__2023_08_224[[#This Row],[Q7 ]])) = TRUE, 1, 0) + IF(ISNUMBER(SEARCH("Cars", Table_EH_Pre_Survey_May_20__2023_08_224[[#This Row],[Q7 ]])) = TRUE, 1, 0) + IF(ISNUMBER(SEARCH("Fireplaces", Table_EH_Pre_Survey_May_20__2023_08_224[[#This Row],[Q7 ]])) = TRUE, 1, 0) + IF(ISNUMBER(SEARCH("Dirt Roads",Table_EH_Pre_Survey_May_20__2023_08_224[[#This Row],[Q7 ]])) = TRUE, 1, 0) - IF(ISNUMBER(SEARCH("Electric Vehicles",Table_EH_Pre_Survey_May_20__2023_08_224[[#This Row],[Q7 ]])) = TRUE, 1, 0) - IF(ISNUMBER(SEARCH("Pollen", Table_EH_Pre_Survey_May_20__2023_08_224[[#This Row],[Q7 ]])) = TRUE, 1, 0)</f>
        <v>3</v>
      </c>
      <c r="AK7">
        <v>1</v>
      </c>
      <c r="AL7">
        <v>1</v>
      </c>
      <c r="AM7">
        <v>2</v>
      </c>
      <c r="AN7">
        <v>1</v>
      </c>
      <c r="AO7">
        <v>2</v>
      </c>
      <c r="AP7">
        <v>4</v>
      </c>
      <c r="AQ7">
        <v>7</v>
      </c>
      <c r="AR7" t="s">
        <v>187</v>
      </c>
    </row>
    <row r="8" spans="1:44" x14ac:dyDescent="0.25">
      <c r="A8" t="s">
        <v>443</v>
      </c>
      <c r="B8" t="s">
        <v>444</v>
      </c>
      <c r="C8" t="s">
        <v>42</v>
      </c>
      <c r="D8" t="s">
        <v>445</v>
      </c>
      <c r="E8" t="s">
        <v>112</v>
      </c>
      <c r="F8">
        <f>_xlfn.NUMBERVALUE(Table_EH_Pre_Survey_May_20__2023_08_224[[#This Row],[Duration (in seconds) - Duration (in seconds)2]])</f>
        <v>77</v>
      </c>
      <c r="G8" t="s">
        <v>446</v>
      </c>
      <c r="H8" t="s">
        <v>114</v>
      </c>
      <c r="I8" t="s">
        <v>447</v>
      </c>
      <c r="J8" t="s">
        <v>448</v>
      </c>
      <c r="K8" t="s">
        <v>111</v>
      </c>
      <c r="L8" t="s">
        <v>111</v>
      </c>
      <c r="M8" t="s">
        <v>111</v>
      </c>
      <c r="N8" t="s">
        <v>111</v>
      </c>
      <c r="O8" t="s">
        <v>351</v>
      </c>
      <c r="P8" t="s">
        <v>352</v>
      </c>
      <c r="Q8" t="s">
        <v>127</v>
      </c>
      <c r="R8" t="s">
        <v>117</v>
      </c>
      <c r="S8" s="17" t="s">
        <v>449</v>
      </c>
      <c r="T8" s="17" t="str">
        <f>VLOOKUP(Table_EH_Pre_Survey_May_20__2023_08_224[[#This Row],[Q1 - NetID Post-Survey]], 'Post-Survey Matched Set (36)'!S:S, 1,FALSE)</f>
        <v>djs481</v>
      </c>
      <c r="U8" s="8">
        <v>5</v>
      </c>
      <c r="V8" s="4">
        <v>5</v>
      </c>
      <c r="W8" s="4">
        <v>5</v>
      </c>
      <c r="X8" s="4">
        <v>5</v>
      </c>
      <c r="Y8" s="4">
        <v>3</v>
      </c>
      <c r="Z8" s="4">
        <v>3</v>
      </c>
      <c r="AA8" s="4">
        <v>5</v>
      </c>
      <c r="AB8" s="4">
        <v>2</v>
      </c>
      <c r="AC8" s="2">
        <v>2.5</v>
      </c>
      <c r="AD8" s="2">
        <f>IF(Table_EH_Pre_Survey_May_20__2023_08_224[[#This Row],[Q4_1]] = 3, 1, IF(Table_EH_Pre_Survey_May_20__2023_08_224[[#This Row],[Q4_1]] = 2.5, 0.5, IF(Table_EH_Pre_Survey_May_20__2023_08_224[[#This Row],[Q4_1]] = 3.5, 0.5, 0)))</f>
        <v>0.5</v>
      </c>
      <c r="AE8" t="s">
        <v>154</v>
      </c>
      <c r="AF8">
        <f>IF(Table_EH_Pre_Survey_May_20__2023_08_224[[#This Row],[Q5 ]]="PM &lt; 2.5 μm", 1, 0)</f>
        <v>0</v>
      </c>
      <c r="AG8" t="s">
        <v>141</v>
      </c>
      <c r="AH8">
        <f>IF(Table_EH_Pre_Survey_May_20__2023_08_224[[#This Row],[Q6]]="Particles of this size are generally absorbed in the respiratory tract and safely excreted in mucus.", 1, 0)</f>
        <v>0</v>
      </c>
      <c r="AI8" t="s">
        <v>450</v>
      </c>
      <c r="AJ8">
        <f>IF(ISNUMBER(SEARCH("Trucks", Table_EH_Pre_Survey_May_20__2023_08_224[[#This Row],[Q7 ]])) = TRUE, 1, 0) + IF(ISNUMBER(SEARCH("Cars", Table_EH_Pre_Survey_May_20__2023_08_224[[#This Row],[Q7 ]])) = TRUE, 1, 0) + IF(ISNUMBER(SEARCH("Fireplaces", Table_EH_Pre_Survey_May_20__2023_08_224[[#This Row],[Q7 ]])) = TRUE, 1, 0) + IF(ISNUMBER(SEARCH("Dirt Roads",Table_EH_Pre_Survey_May_20__2023_08_224[[#This Row],[Q7 ]])) = TRUE, 1, 0) - IF(ISNUMBER(SEARCH("Electric Vehicles",Table_EH_Pre_Survey_May_20__2023_08_224[[#This Row],[Q7 ]])) = TRUE, 1, 0) - IF(ISNUMBER(SEARCH("Pollen", Table_EH_Pre_Survey_May_20__2023_08_224[[#This Row],[Q7 ]])) = TRUE, 1, 0)</f>
        <v>2</v>
      </c>
      <c r="AK8">
        <v>3</v>
      </c>
      <c r="AL8">
        <v>4</v>
      </c>
      <c r="AN8">
        <v>4</v>
      </c>
      <c r="AO8">
        <v>4</v>
      </c>
      <c r="AP8">
        <v>4</v>
      </c>
      <c r="AQ8">
        <v>8</v>
      </c>
      <c r="AR8" t="s">
        <v>111</v>
      </c>
    </row>
    <row r="9" spans="1:44" x14ac:dyDescent="0.25">
      <c r="A9" t="s">
        <v>727</v>
      </c>
      <c r="B9" t="s">
        <v>728</v>
      </c>
      <c r="C9" t="s">
        <v>42</v>
      </c>
      <c r="D9" t="s">
        <v>389</v>
      </c>
      <c r="E9" t="s">
        <v>112</v>
      </c>
      <c r="F9">
        <f>_xlfn.NUMBERVALUE(Table_EH_Pre_Survey_May_20__2023_08_224[[#This Row],[Duration (in seconds) - Duration (in seconds)2]])</f>
        <v>81</v>
      </c>
      <c r="G9" t="s">
        <v>729</v>
      </c>
      <c r="H9" t="s">
        <v>114</v>
      </c>
      <c r="I9" t="s">
        <v>728</v>
      </c>
      <c r="J9" t="s">
        <v>730</v>
      </c>
      <c r="K9" t="s">
        <v>111</v>
      </c>
      <c r="L9" t="s">
        <v>111</v>
      </c>
      <c r="M9" t="s">
        <v>111</v>
      </c>
      <c r="N9" t="s">
        <v>111</v>
      </c>
      <c r="O9" t="s">
        <v>392</v>
      </c>
      <c r="P9" t="s">
        <v>393</v>
      </c>
      <c r="Q9" t="s">
        <v>127</v>
      </c>
      <c r="R9" t="s">
        <v>117</v>
      </c>
      <c r="S9" s="17" t="s">
        <v>731</v>
      </c>
      <c r="T9" s="17" t="str">
        <f>VLOOKUP(Table_EH_Pre_Survey_May_20__2023_08_224[[#This Row],[Q1 - NetID Post-Survey]], 'Post-Survey Matched Set (36)'!S:S, 1,FALSE)</f>
        <v>ebm87</v>
      </c>
      <c r="U9" s="8">
        <v>4</v>
      </c>
      <c r="V9" s="4">
        <v>5</v>
      </c>
      <c r="W9" s="4">
        <v>4</v>
      </c>
      <c r="X9" s="4">
        <v>5</v>
      </c>
      <c r="Y9" s="4">
        <v>4</v>
      </c>
      <c r="Z9" s="4">
        <v>3</v>
      </c>
      <c r="AA9" s="4">
        <v>5</v>
      </c>
      <c r="AB9" s="4">
        <v>4</v>
      </c>
      <c r="AC9" s="2">
        <v>4</v>
      </c>
      <c r="AD9" s="2">
        <f>IF(Table_EH_Pre_Survey_May_20__2023_08_224[[#This Row],[Q4_1]] = 3, 1, IF(Table_EH_Pre_Survey_May_20__2023_08_224[[#This Row],[Q4_1]] = 2.5, 0.5, IF(Table_EH_Pre_Survey_May_20__2023_08_224[[#This Row],[Q4_1]] = 3.5, 0.5, 0)))</f>
        <v>0</v>
      </c>
      <c r="AE9" t="s">
        <v>154</v>
      </c>
      <c r="AF9">
        <f>IF(Table_EH_Pre_Survey_May_20__2023_08_224[[#This Row],[Q5 ]]="PM &lt; 2.5 μm", 1, 0)</f>
        <v>0</v>
      </c>
      <c r="AG9" t="s">
        <v>141</v>
      </c>
      <c r="AH9">
        <f>IF(Table_EH_Pre_Survey_May_20__2023_08_224[[#This Row],[Q6]]="Particles of this size are generally absorbed in the respiratory tract and safely excreted in mucus.", 1, 0)</f>
        <v>0</v>
      </c>
      <c r="AI9" t="s">
        <v>280</v>
      </c>
      <c r="AJ9">
        <f>IF(ISNUMBER(SEARCH("Trucks", Table_EH_Pre_Survey_May_20__2023_08_224[[#This Row],[Q7 ]])) = TRUE, 1, 0) + IF(ISNUMBER(SEARCH("Cars", Table_EH_Pre_Survey_May_20__2023_08_224[[#This Row],[Q7 ]])) = TRUE, 1, 0) + IF(ISNUMBER(SEARCH("Fireplaces", Table_EH_Pre_Survey_May_20__2023_08_224[[#This Row],[Q7 ]])) = TRUE, 1, 0) + IF(ISNUMBER(SEARCH("Dirt Roads",Table_EH_Pre_Survey_May_20__2023_08_224[[#This Row],[Q7 ]])) = TRUE, 1, 0) - IF(ISNUMBER(SEARCH("Electric Vehicles",Table_EH_Pre_Survey_May_20__2023_08_224[[#This Row],[Q7 ]])) = TRUE, 1, 0) - IF(ISNUMBER(SEARCH("Pollen", Table_EH_Pre_Survey_May_20__2023_08_224[[#This Row],[Q7 ]])) = TRUE, 1, 0)</f>
        <v>2</v>
      </c>
      <c r="AK9">
        <v>5</v>
      </c>
      <c r="AL9">
        <v>3</v>
      </c>
      <c r="AM9">
        <v>5</v>
      </c>
      <c r="AN9">
        <v>5</v>
      </c>
      <c r="AO9">
        <v>5</v>
      </c>
      <c r="AP9">
        <v>4</v>
      </c>
      <c r="AQ9">
        <v>9</v>
      </c>
      <c r="AR9" t="s">
        <v>111</v>
      </c>
    </row>
    <row r="10" spans="1:44" x14ac:dyDescent="0.25">
      <c r="A10" t="s">
        <v>756</v>
      </c>
      <c r="B10" t="s">
        <v>757</v>
      </c>
      <c r="C10" t="s">
        <v>42</v>
      </c>
      <c r="D10" t="s">
        <v>758</v>
      </c>
      <c r="E10" t="s">
        <v>112</v>
      </c>
      <c r="F10">
        <f>_xlfn.NUMBERVALUE(Table_EH_Pre_Survey_May_20__2023_08_224[[#This Row],[Duration (in seconds) - Duration (in seconds)2]])</f>
        <v>198</v>
      </c>
      <c r="G10" t="s">
        <v>759</v>
      </c>
      <c r="H10" t="s">
        <v>114</v>
      </c>
      <c r="I10" t="s">
        <v>757</v>
      </c>
      <c r="J10" t="s">
        <v>760</v>
      </c>
      <c r="K10" t="s">
        <v>111</v>
      </c>
      <c r="L10" t="s">
        <v>111</v>
      </c>
      <c r="M10" t="s">
        <v>111</v>
      </c>
      <c r="N10" t="s">
        <v>111</v>
      </c>
      <c r="O10" t="s">
        <v>761</v>
      </c>
      <c r="P10" t="s">
        <v>762</v>
      </c>
      <c r="Q10" t="s">
        <v>127</v>
      </c>
      <c r="R10" t="s">
        <v>117</v>
      </c>
      <c r="S10" s="17" t="s">
        <v>763</v>
      </c>
      <c r="T10" s="17" t="str">
        <f>VLOOKUP(Table_EH_Pre_Survey_May_20__2023_08_224[[#This Row],[Q1 - NetID Post-Survey]], 'Post-Survey Matched Set (36)'!S:S, 1,FALSE)</f>
        <v>eia16</v>
      </c>
      <c r="U10" s="8">
        <v>5</v>
      </c>
      <c r="V10" s="4">
        <v>5</v>
      </c>
      <c r="W10" s="4">
        <v>3</v>
      </c>
      <c r="X10" s="4">
        <v>5</v>
      </c>
      <c r="Y10" s="4">
        <v>4</v>
      </c>
      <c r="Z10" s="4">
        <v>5</v>
      </c>
      <c r="AA10" s="4">
        <v>5</v>
      </c>
      <c r="AB10" s="4">
        <v>3</v>
      </c>
      <c r="AC10" s="2">
        <v>4</v>
      </c>
      <c r="AD10" s="2">
        <f>IF(Table_EH_Pre_Survey_May_20__2023_08_224[[#This Row],[Q4_1]] = 3, 1, IF(Table_EH_Pre_Survey_May_20__2023_08_224[[#This Row],[Q4_1]] = 2.5, 0.5, IF(Table_EH_Pre_Survey_May_20__2023_08_224[[#This Row],[Q4_1]] = 3.5, 0.5, 0)))</f>
        <v>0</v>
      </c>
      <c r="AE10" t="s">
        <v>185</v>
      </c>
      <c r="AF10">
        <f>IF(Table_EH_Pre_Survey_May_20__2023_08_224[[#This Row],[Q5 ]]="PM &lt; 2.5 μm", 1, 0)</f>
        <v>0</v>
      </c>
      <c r="AG10" t="s">
        <v>131</v>
      </c>
      <c r="AH10">
        <f>IF(Table_EH_Pre_Survey_May_20__2023_08_224[[#This Row],[Q6]]="Particles of this size are generally absorbed in the respiratory tract and safely excreted in mucus.", 1, 0)</f>
        <v>0</v>
      </c>
      <c r="AI10" t="s">
        <v>186</v>
      </c>
      <c r="AJ10">
        <f>IF(ISNUMBER(SEARCH("Trucks", Table_EH_Pre_Survey_May_20__2023_08_224[[#This Row],[Q7 ]])) = TRUE, 1, 0) + IF(ISNUMBER(SEARCH("Cars", Table_EH_Pre_Survey_May_20__2023_08_224[[#This Row],[Q7 ]])) = TRUE, 1, 0) + IF(ISNUMBER(SEARCH("Fireplaces", Table_EH_Pre_Survey_May_20__2023_08_224[[#This Row],[Q7 ]])) = TRUE, 1, 0) + IF(ISNUMBER(SEARCH("Dirt Roads",Table_EH_Pre_Survey_May_20__2023_08_224[[#This Row],[Q7 ]])) = TRUE, 1, 0) - IF(ISNUMBER(SEARCH("Electric Vehicles",Table_EH_Pre_Survey_May_20__2023_08_224[[#This Row],[Q7 ]])) = TRUE, 1, 0) - IF(ISNUMBER(SEARCH("Pollen", Table_EH_Pre_Survey_May_20__2023_08_224[[#This Row],[Q7 ]])) = TRUE, 1, 0)</f>
        <v>3</v>
      </c>
      <c r="AK10">
        <v>4</v>
      </c>
      <c r="AL10">
        <v>2</v>
      </c>
      <c r="AM10">
        <v>4</v>
      </c>
      <c r="AN10">
        <v>5</v>
      </c>
      <c r="AO10">
        <v>5</v>
      </c>
      <c r="AP10">
        <v>4</v>
      </c>
      <c r="AQ10">
        <v>10</v>
      </c>
      <c r="AR10" t="s">
        <v>764</v>
      </c>
    </row>
    <row r="11" spans="1:44" x14ac:dyDescent="0.25">
      <c r="A11" t="s">
        <v>282</v>
      </c>
      <c r="B11" t="s">
        <v>283</v>
      </c>
      <c r="C11" t="s">
        <v>42</v>
      </c>
      <c r="D11" t="s">
        <v>284</v>
      </c>
      <c r="E11" t="s">
        <v>112</v>
      </c>
      <c r="F11">
        <f>_xlfn.NUMBERVALUE(Table_EH_Pre_Survey_May_20__2023_08_224[[#This Row],[Duration (in seconds) - Duration (in seconds)2]])</f>
        <v>216</v>
      </c>
      <c r="G11" t="s">
        <v>285</v>
      </c>
      <c r="H11" t="s">
        <v>114</v>
      </c>
      <c r="I11" t="s">
        <v>286</v>
      </c>
      <c r="J11" t="s">
        <v>287</v>
      </c>
      <c r="K11" t="s">
        <v>111</v>
      </c>
      <c r="L11" t="s">
        <v>111</v>
      </c>
      <c r="M11" t="s">
        <v>111</v>
      </c>
      <c r="N11" t="s">
        <v>111</v>
      </c>
      <c r="O11" t="s">
        <v>288</v>
      </c>
      <c r="P11" t="s">
        <v>289</v>
      </c>
      <c r="Q11" t="s">
        <v>127</v>
      </c>
      <c r="R11" t="s">
        <v>117</v>
      </c>
      <c r="S11" s="17" t="s">
        <v>290</v>
      </c>
      <c r="T11" s="17" t="str">
        <f>VLOOKUP(Table_EH_Pre_Survey_May_20__2023_08_224[[#This Row],[Q1 - NetID Post-Survey]], 'Post-Survey Matched Set (36)'!S:S, 1,FALSE)</f>
        <v>Ep692</v>
      </c>
      <c r="U11" s="8">
        <v>3</v>
      </c>
      <c r="V11" s="4">
        <v>2</v>
      </c>
      <c r="W11" s="4">
        <v>3</v>
      </c>
      <c r="X11" s="4">
        <v>5</v>
      </c>
      <c r="Y11" s="4">
        <v>3</v>
      </c>
      <c r="Z11" s="4">
        <v>3</v>
      </c>
      <c r="AA11" s="4">
        <v>5</v>
      </c>
      <c r="AB11" s="4">
        <v>1</v>
      </c>
      <c r="AC11" s="2">
        <v>3</v>
      </c>
      <c r="AD11" s="2">
        <f>IF(Table_EH_Pre_Survey_May_20__2023_08_224[[#This Row],[Q4_1]] = 3, 1, IF(Table_EH_Pre_Survey_May_20__2023_08_224[[#This Row],[Q4_1]] = 2.5, 0.5, IF(Table_EH_Pre_Survey_May_20__2023_08_224[[#This Row],[Q4_1]] = 3.5, 0.5, 0)))</f>
        <v>1</v>
      </c>
      <c r="AE11" t="s">
        <v>166</v>
      </c>
      <c r="AF11">
        <f>IF(Table_EH_Pre_Survey_May_20__2023_08_224[[#This Row],[Q5 ]]="PM &lt; 2.5 μm", 1, 0)</f>
        <v>0</v>
      </c>
      <c r="AG11" t="s">
        <v>131</v>
      </c>
      <c r="AH11">
        <f>IF(Table_EH_Pre_Survey_May_20__2023_08_224[[#This Row],[Q6]]="Particles of this size are generally absorbed in the respiratory tract and safely excreted in mucus.", 1, 0)</f>
        <v>0</v>
      </c>
      <c r="AI11" t="s">
        <v>224</v>
      </c>
      <c r="AJ11">
        <f>IF(ISNUMBER(SEARCH("Trucks", Table_EH_Pre_Survey_May_20__2023_08_224[[#This Row],[Q7 ]])) = TRUE, 1, 0) + IF(ISNUMBER(SEARCH("Cars", Table_EH_Pre_Survey_May_20__2023_08_224[[#This Row],[Q7 ]])) = TRUE, 1, 0) + IF(ISNUMBER(SEARCH("Fireplaces", Table_EH_Pre_Survey_May_20__2023_08_224[[#This Row],[Q7 ]])) = TRUE, 1, 0) + IF(ISNUMBER(SEARCH("Dirt Roads",Table_EH_Pre_Survey_May_20__2023_08_224[[#This Row],[Q7 ]])) = TRUE, 1, 0) - IF(ISNUMBER(SEARCH("Electric Vehicles",Table_EH_Pre_Survey_May_20__2023_08_224[[#This Row],[Q7 ]])) = TRUE, 1, 0) - IF(ISNUMBER(SEARCH("Pollen", Table_EH_Pre_Survey_May_20__2023_08_224[[#This Row],[Q7 ]])) = TRUE, 1, 0)</f>
        <v>1</v>
      </c>
      <c r="AK11">
        <v>1</v>
      </c>
      <c r="AL11">
        <v>1</v>
      </c>
      <c r="AM11">
        <v>3</v>
      </c>
      <c r="AN11">
        <v>1</v>
      </c>
      <c r="AO11">
        <v>3</v>
      </c>
      <c r="AP11">
        <v>2</v>
      </c>
      <c r="AQ11">
        <v>7</v>
      </c>
      <c r="AR11" t="s">
        <v>291</v>
      </c>
    </row>
    <row r="12" spans="1:44" x14ac:dyDescent="0.25">
      <c r="A12" t="s">
        <v>794</v>
      </c>
      <c r="B12" t="s">
        <v>795</v>
      </c>
      <c r="C12" t="s">
        <v>42</v>
      </c>
      <c r="D12" t="s">
        <v>389</v>
      </c>
      <c r="E12" t="s">
        <v>112</v>
      </c>
      <c r="F12">
        <f>_xlfn.NUMBERVALUE(Table_EH_Pre_Survey_May_20__2023_08_224[[#This Row],[Duration (in seconds) - Duration (in seconds)2]])</f>
        <v>5259</v>
      </c>
      <c r="G12" t="s">
        <v>796</v>
      </c>
      <c r="H12" t="s">
        <v>114</v>
      </c>
      <c r="I12" t="s">
        <v>797</v>
      </c>
      <c r="J12" t="s">
        <v>798</v>
      </c>
      <c r="K12" t="s">
        <v>111</v>
      </c>
      <c r="L12" t="s">
        <v>111</v>
      </c>
      <c r="M12" t="s">
        <v>111</v>
      </c>
      <c r="N12" t="s">
        <v>111</v>
      </c>
      <c r="O12" t="s">
        <v>392</v>
      </c>
      <c r="P12" t="s">
        <v>393</v>
      </c>
      <c r="Q12" t="s">
        <v>487</v>
      </c>
      <c r="R12" t="s">
        <v>117</v>
      </c>
      <c r="S12" s="17" t="s">
        <v>799</v>
      </c>
      <c r="T12" s="17" t="str">
        <f>VLOOKUP(Table_EH_Pre_Survey_May_20__2023_08_224[[#This Row],[Q1 - NetID Post-Survey]], 'Post-Survey Matched Set (36)'!S:S, 1,FALSE)</f>
        <v>gmh100</v>
      </c>
      <c r="U12" s="8">
        <v>4</v>
      </c>
      <c r="V12" s="4">
        <v>4</v>
      </c>
      <c r="W12" s="4">
        <v>4</v>
      </c>
      <c r="X12" s="4">
        <v>5</v>
      </c>
      <c r="Y12" s="4">
        <v>4</v>
      </c>
      <c r="Z12" s="4">
        <v>3</v>
      </c>
      <c r="AA12" s="4">
        <v>5</v>
      </c>
      <c r="AB12" s="4">
        <v>5</v>
      </c>
      <c r="AC12" s="2">
        <v>3</v>
      </c>
      <c r="AD12" s="2">
        <f>IF(Table_EH_Pre_Survey_May_20__2023_08_224[[#This Row],[Q4_1]] = 3, 1, IF(Table_EH_Pre_Survey_May_20__2023_08_224[[#This Row],[Q4_1]] = 2.5, 0.5, IF(Table_EH_Pre_Survey_May_20__2023_08_224[[#This Row],[Q4_1]] = 3.5, 0.5, 0)))</f>
        <v>1</v>
      </c>
      <c r="AE12" t="s">
        <v>154</v>
      </c>
      <c r="AF12">
        <f>IF(Table_EH_Pre_Survey_May_20__2023_08_224[[#This Row],[Q5 ]]="PM &lt; 2.5 μm", 1, 0)</f>
        <v>0</v>
      </c>
      <c r="AG12" t="s">
        <v>175</v>
      </c>
      <c r="AH12">
        <f>IF(Table_EH_Pre_Survey_May_20__2023_08_224[[#This Row],[Q6]]="Particles of this size are generally absorbed in the respiratory tract and safely excreted in mucus.", 1, 0)</f>
        <v>1</v>
      </c>
      <c r="AI12" t="s">
        <v>526</v>
      </c>
      <c r="AJ12">
        <f>IF(ISNUMBER(SEARCH("Trucks", Table_EH_Pre_Survey_May_20__2023_08_224[[#This Row],[Q7 ]])) = TRUE, 1, 0) + IF(ISNUMBER(SEARCH("Cars", Table_EH_Pre_Survey_May_20__2023_08_224[[#This Row],[Q7 ]])) = TRUE, 1, 0) + IF(ISNUMBER(SEARCH("Fireplaces", Table_EH_Pre_Survey_May_20__2023_08_224[[#This Row],[Q7 ]])) = TRUE, 1, 0) + IF(ISNUMBER(SEARCH("Dirt Roads",Table_EH_Pre_Survey_May_20__2023_08_224[[#This Row],[Q7 ]])) = TRUE, 1, 0) - IF(ISNUMBER(SEARCH("Electric Vehicles",Table_EH_Pre_Survey_May_20__2023_08_224[[#This Row],[Q7 ]])) = TRUE, 1, 0) - IF(ISNUMBER(SEARCH("Pollen", Table_EH_Pre_Survey_May_20__2023_08_224[[#This Row],[Q7 ]])) = TRUE, 1, 0)</f>
        <v>-1</v>
      </c>
      <c r="AQ12">
        <v>5</v>
      </c>
      <c r="AR12" t="s">
        <v>314</v>
      </c>
    </row>
    <row r="13" spans="1:44" x14ac:dyDescent="0.25">
      <c r="A13" t="s">
        <v>429</v>
      </c>
      <c r="B13" t="s">
        <v>430</v>
      </c>
      <c r="C13" t="s">
        <v>42</v>
      </c>
      <c r="D13" t="s">
        <v>431</v>
      </c>
      <c r="E13" t="s">
        <v>112</v>
      </c>
      <c r="F13">
        <f>_xlfn.NUMBERVALUE(Table_EH_Pre_Survey_May_20__2023_08_224[[#This Row],[Duration (in seconds) - Duration (in seconds)2]])</f>
        <v>164</v>
      </c>
      <c r="G13" t="s">
        <v>432</v>
      </c>
      <c r="H13" t="s">
        <v>114</v>
      </c>
      <c r="I13" t="s">
        <v>433</v>
      </c>
      <c r="J13" t="s">
        <v>434</v>
      </c>
      <c r="K13" t="s">
        <v>111</v>
      </c>
      <c r="L13" t="s">
        <v>111</v>
      </c>
      <c r="M13" t="s">
        <v>111</v>
      </c>
      <c r="N13" t="s">
        <v>111</v>
      </c>
      <c r="O13" t="s">
        <v>435</v>
      </c>
      <c r="P13" t="s">
        <v>436</v>
      </c>
      <c r="Q13" t="s">
        <v>127</v>
      </c>
      <c r="R13" t="s">
        <v>117</v>
      </c>
      <c r="S13" s="17" t="s">
        <v>437</v>
      </c>
      <c r="T13" s="17" t="str">
        <f>VLOOKUP(Table_EH_Pre_Survey_May_20__2023_08_224[[#This Row],[Q1 - NetID Post-Survey]], 'Post-Survey Matched Set (36)'!S:S, 1,FALSE)</f>
        <v>hg295</v>
      </c>
      <c r="U13" s="8">
        <v>4</v>
      </c>
      <c r="V13" s="4">
        <v>4</v>
      </c>
      <c r="W13" s="4">
        <v>4</v>
      </c>
      <c r="X13" s="4">
        <v>4</v>
      </c>
      <c r="Y13" s="4">
        <v>4</v>
      </c>
      <c r="Z13" s="4">
        <v>5</v>
      </c>
      <c r="AA13" s="4">
        <v>5</v>
      </c>
      <c r="AB13" s="4">
        <v>4</v>
      </c>
      <c r="AC13" s="2">
        <v>3</v>
      </c>
      <c r="AD13" s="2">
        <f>IF(Table_EH_Pre_Survey_May_20__2023_08_224[[#This Row],[Q4_1]] = 3, 1, IF(Table_EH_Pre_Survey_May_20__2023_08_224[[#This Row],[Q4_1]] = 2.5, 0.5, IF(Table_EH_Pre_Survey_May_20__2023_08_224[[#This Row],[Q4_1]] = 3.5, 0.5, 0)))</f>
        <v>1</v>
      </c>
      <c r="AE13" t="s">
        <v>154</v>
      </c>
      <c r="AF13">
        <f>IF(Table_EH_Pre_Survey_May_20__2023_08_224[[#This Row],[Q5 ]]="PM &lt; 2.5 μm", 1, 0)</f>
        <v>0</v>
      </c>
      <c r="AG13" t="s">
        <v>175</v>
      </c>
      <c r="AH13">
        <f>IF(Table_EH_Pre_Survey_May_20__2023_08_224[[#This Row],[Q6]]="Particles of this size are generally absorbed in the respiratory tract and safely excreted in mucus.", 1, 0)</f>
        <v>1</v>
      </c>
      <c r="AI13" t="s">
        <v>142</v>
      </c>
      <c r="AJ13">
        <f>IF(ISNUMBER(SEARCH("Trucks", Table_EH_Pre_Survey_May_20__2023_08_224[[#This Row],[Q7 ]])) = TRUE, 1, 0) + IF(ISNUMBER(SEARCH("Cars", Table_EH_Pre_Survey_May_20__2023_08_224[[#This Row],[Q7 ]])) = TRUE, 1, 0) + IF(ISNUMBER(SEARCH("Fireplaces", Table_EH_Pre_Survey_May_20__2023_08_224[[#This Row],[Q7 ]])) = TRUE, 1, 0) + IF(ISNUMBER(SEARCH("Dirt Roads",Table_EH_Pre_Survey_May_20__2023_08_224[[#This Row],[Q7 ]])) = TRUE, 1, 0) - IF(ISNUMBER(SEARCH("Electric Vehicles",Table_EH_Pre_Survey_May_20__2023_08_224[[#This Row],[Q7 ]])) = TRUE, 1, 0) - IF(ISNUMBER(SEARCH("Pollen", Table_EH_Pre_Survey_May_20__2023_08_224[[#This Row],[Q7 ]])) = TRUE, 1, 0)</f>
        <v>2</v>
      </c>
      <c r="AK13">
        <v>5</v>
      </c>
      <c r="AL13">
        <v>2</v>
      </c>
      <c r="AM13">
        <v>4</v>
      </c>
      <c r="AN13">
        <v>4</v>
      </c>
      <c r="AO13">
        <v>4</v>
      </c>
      <c r="AP13">
        <v>2</v>
      </c>
      <c r="AQ13">
        <v>7</v>
      </c>
      <c r="AR13" t="s">
        <v>111</v>
      </c>
    </row>
    <row r="14" spans="1:44" x14ac:dyDescent="0.25">
      <c r="A14" t="s">
        <v>469</v>
      </c>
      <c r="B14" t="s">
        <v>470</v>
      </c>
      <c r="C14" t="s">
        <v>42</v>
      </c>
      <c r="D14" t="s">
        <v>389</v>
      </c>
      <c r="E14" t="s">
        <v>112</v>
      </c>
      <c r="F14">
        <f>_xlfn.NUMBERVALUE(Table_EH_Pre_Survey_May_20__2023_08_224[[#This Row],[Duration (in seconds) - Duration (in seconds)2]])</f>
        <v>164</v>
      </c>
      <c r="G14" t="s">
        <v>432</v>
      </c>
      <c r="H14" t="s">
        <v>114</v>
      </c>
      <c r="I14" t="s">
        <v>471</v>
      </c>
      <c r="J14" t="s">
        <v>472</v>
      </c>
      <c r="K14" t="s">
        <v>111</v>
      </c>
      <c r="L14" t="s">
        <v>111</v>
      </c>
      <c r="M14" t="s">
        <v>111</v>
      </c>
      <c r="N14" t="s">
        <v>111</v>
      </c>
      <c r="O14" t="s">
        <v>392</v>
      </c>
      <c r="P14" t="s">
        <v>393</v>
      </c>
      <c r="Q14" t="s">
        <v>127</v>
      </c>
      <c r="R14" t="s">
        <v>117</v>
      </c>
      <c r="S14" s="17" t="s">
        <v>473</v>
      </c>
      <c r="T14" s="17" t="str">
        <f>VLOOKUP(Table_EH_Pre_Survey_May_20__2023_08_224[[#This Row],[Q1 - NetID Post-Survey]], 'Post-Survey Matched Set (36)'!S:S, 1,FALSE)</f>
        <v>ht372</v>
      </c>
      <c r="U14" s="8">
        <v>4</v>
      </c>
      <c r="V14" s="4">
        <v>4</v>
      </c>
      <c r="W14" s="4">
        <v>5</v>
      </c>
      <c r="X14" s="4">
        <v>3</v>
      </c>
      <c r="Y14" s="4">
        <v>2</v>
      </c>
      <c r="Z14" s="4">
        <v>3</v>
      </c>
      <c r="AA14" s="4">
        <v>5</v>
      </c>
      <c r="AB14" s="4">
        <v>2</v>
      </c>
      <c r="AC14" s="2">
        <v>2</v>
      </c>
      <c r="AD14" s="2">
        <f>IF(Table_EH_Pre_Survey_May_20__2023_08_224[[#This Row],[Q4_1]] = 3, 1, IF(Table_EH_Pre_Survey_May_20__2023_08_224[[#This Row],[Q4_1]] = 2.5, 0.5, IF(Table_EH_Pre_Survey_May_20__2023_08_224[[#This Row],[Q4_1]] = 3.5, 0.5, 0)))</f>
        <v>0</v>
      </c>
      <c r="AE14" t="s">
        <v>140</v>
      </c>
      <c r="AF14">
        <f>IF(Table_EH_Pre_Survey_May_20__2023_08_224[[#This Row],[Q5 ]]="PM &lt; 2.5 μm", 1, 0)</f>
        <v>1</v>
      </c>
      <c r="AG14" t="s">
        <v>141</v>
      </c>
      <c r="AH14">
        <f>IF(Table_EH_Pre_Survey_May_20__2023_08_224[[#This Row],[Q6]]="Particles of this size are generally absorbed in the respiratory tract and safely excreted in mucus.", 1, 0)</f>
        <v>0</v>
      </c>
      <c r="AI14" t="s">
        <v>156</v>
      </c>
      <c r="AJ14">
        <f>IF(ISNUMBER(SEARCH("Trucks", Table_EH_Pre_Survey_May_20__2023_08_224[[#This Row],[Q7 ]])) = TRUE, 1, 0) + IF(ISNUMBER(SEARCH("Cars", Table_EH_Pre_Survey_May_20__2023_08_224[[#This Row],[Q7 ]])) = TRUE, 1, 0) + IF(ISNUMBER(SEARCH("Fireplaces", Table_EH_Pre_Survey_May_20__2023_08_224[[#This Row],[Q7 ]])) = TRUE, 1, 0) + IF(ISNUMBER(SEARCH("Dirt Roads",Table_EH_Pre_Survey_May_20__2023_08_224[[#This Row],[Q7 ]])) = TRUE, 1, 0) - IF(ISNUMBER(SEARCH("Electric Vehicles",Table_EH_Pre_Survey_May_20__2023_08_224[[#This Row],[Q7 ]])) = TRUE, 1, 0) - IF(ISNUMBER(SEARCH("Pollen", Table_EH_Pre_Survey_May_20__2023_08_224[[#This Row],[Q7 ]])) = TRUE, 1, 0)</f>
        <v>4</v>
      </c>
      <c r="AK14">
        <v>4</v>
      </c>
      <c r="AL14">
        <v>1</v>
      </c>
      <c r="AM14">
        <v>2</v>
      </c>
      <c r="AN14">
        <v>1</v>
      </c>
      <c r="AO14">
        <v>4</v>
      </c>
      <c r="AP14">
        <v>4</v>
      </c>
      <c r="AQ14">
        <v>8</v>
      </c>
      <c r="AR14" t="s">
        <v>474</v>
      </c>
    </row>
    <row r="15" spans="1:44" x14ac:dyDescent="0.25">
      <c r="A15" t="s">
        <v>267</v>
      </c>
      <c r="B15" t="s">
        <v>268</v>
      </c>
      <c r="C15" t="s">
        <v>42</v>
      </c>
      <c r="D15" t="s">
        <v>269</v>
      </c>
      <c r="E15" t="s">
        <v>112</v>
      </c>
      <c r="F15">
        <f>_xlfn.NUMBERVALUE(Table_EH_Pre_Survey_May_20__2023_08_224[[#This Row],[Duration (in seconds) - Duration (in seconds)2]])</f>
        <v>301</v>
      </c>
      <c r="G15" t="s">
        <v>270</v>
      </c>
      <c r="H15" t="s">
        <v>114</v>
      </c>
      <c r="I15" t="s">
        <v>268</v>
      </c>
      <c r="J15" t="s">
        <v>271</v>
      </c>
      <c r="K15" t="s">
        <v>111</v>
      </c>
      <c r="L15" t="s">
        <v>111</v>
      </c>
      <c r="M15" t="s">
        <v>111</v>
      </c>
      <c r="N15" t="s">
        <v>111</v>
      </c>
      <c r="O15" t="s">
        <v>164</v>
      </c>
      <c r="P15" t="s">
        <v>165</v>
      </c>
      <c r="Q15" t="s">
        <v>127</v>
      </c>
      <c r="R15" t="s">
        <v>117</v>
      </c>
      <c r="S15" s="17" t="s">
        <v>272</v>
      </c>
      <c r="T15" s="17" t="str">
        <f>VLOOKUP(Table_EH_Pre_Survey_May_20__2023_08_224[[#This Row],[Q1 - NetID Post-Survey]], 'Post-Survey Matched Set (36)'!S:S, 1,FALSE)</f>
        <v>Ige8</v>
      </c>
      <c r="U15" s="8">
        <v>5</v>
      </c>
      <c r="V15" s="4">
        <v>5</v>
      </c>
      <c r="W15" s="4">
        <v>4</v>
      </c>
      <c r="X15" s="4">
        <v>5</v>
      </c>
      <c r="Y15" s="4">
        <v>1</v>
      </c>
      <c r="Z15" s="4">
        <v>2</v>
      </c>
      <c r="AA15" s="4">
        <v>5</v>
      </c>
      <c r="AB15" s="4">
        <v>2</v>
      </c>
      <c r="AC15" s="2">
        <v>3</v>
      </c>
      <c r="AD15" s="2">
        <f>IF(Table_EH_Pre_Survey_May_20__2023_08_224[[#This Row],[Q4_1]] = 3, 1, IF(Table_EH_Pre_Survey_May_20__2023_08_224[[#This Row],[Q4_1]] = 2.5, 0.5, IF(Table_EH_Pre_Survey_May_20__2023_08_224[[#This Row],[Q4_1]] = 3.5, 0.5, 0)))</f>
        <v>1</v>
      </c>
      <c r="AE15" t="s">
        <v>166</v>
      </c>
      <c r="AF15">
        <f>IF(Table_EH_Pre_Survey_May_20__2023_08_224[[#This Row],[Q5 ]]="PM &lt; 2.5 μm", 1, 0)</f>
        <v>0</v>
      </c>
      <c r="AG15" t="s">
        <v>131</v>
      </c>
      <c r="AH15">
        <f>IF(Table_EH_Pre_Survey_May_20__2023_08_224[[#This Row],[Q6]]="Particles of this size are generally absorbed in the respiratory tract and safely excreted in mucus.", 1, 0)</f>
        <v>0</v>
      </c>
      <c r="AI15" t="s">
        <v>167</v>
      </c>
      <c r="AJ15">
        <f>IF(ISNUMBER(SEARCH("Trucks", Table_EH_Pre_Survey_May_20__2023_08_224[[#This Row],[Q7 ]])) = TRUE, 1, 0) + IF(ISNUMBER(SEARCH("Cars", Table_EH_Pre_Survey_May_20__2023_08_224[[#This Row],[Q7 ]])) = TRUE, 1, 0) + IF(ISNUMBER(SEARCH("Fireplaces", Table_EH_Pre_Survey_May_20__2023_08_224[[#This Row],[Q7 ]])) = TRUE, 1, 0) + IF(ISNUMBER(SEARCH("Dirt Roads",Table_EH_Pre_Survey_May_20__2023_08_224[[#This Row],[Q7 ]])) = TRUE, 1, 0) - IF(ISNUMBER(SEARCH("Electric Vehicles",Table_EH_Pre_Survey_May_20__2023_08_224[[#This Row],[Q7 ]])) = TRUE, 1, 0) - IF(ISNUMBER(SEARCH("Pollen", Table_EH_Pre_Survey_May_20__2023_08_224[[#This Row],[Q7 ]])) = TRUE, 1, 0)</f>
        <v>3</v>
      </c>
      <c r="AK15">
        <v>5</v>
      </c>
      <c r="AL15">
        <v>3</v>
      </c>
      <c r="AM15">
        <v>5</v>
      </c>
      <c r="AN15">
        <v>5</v>
      </c>
      <c r="AO15">
        <v>5</v>
      </c>
      <c r="AP15">
        <v>5</v>
      </c>
      <c r="AQ15">
        <v>10</v>
      </c>
      <c r="AR15" t="s">
        <v>273</v>
      </c>
    </row>
    <row r="16" spans="1:44" x14ac:dyDescent="0.25">
      <c r="A16" t="s">
        <v>119</v>
      </c>
      <c r="B16" t="s">
        <v>120</v>
      </c>
      <c r="C16" t="s">
        <v>42</v>
      </c>
      <c r="D16" t="s">
        <v>121</v>
      </c>
      <c r="E16" t="s">
        <v>112</v>
      </c>
      <c r="F16">
        <f>_xlfn.NUMBERVALUE(Table_EH_Pre_Survey_May_20__2023_08_224[[#This Row],[Duration (in seconds) - Duration (in seconds)2]])</f>
        <v>140</v>
      </c>
      <c r="G16" t="s">
        <v>122</v>
      </c>
      <c r="H16" t="s">
        <v>114</v>
      </c>
      <c r="I16" t="s">
        <v>123</v>
      </c>
      <c r="J16" t="s">
        <v>124</v>
      </c>
      <c r="K16" t="s">
        <v>111</v>
      </c>
      <c r="L16" t="s">
        <v>111</v>
      </c>
      <c r="M16" t="s">
        <v>111</v>
      </c>
      <c r="N16" t="s">
        <v>111</v>
      </c>
      <c r="O16" t="s">
        <v>125</v>
      </c>
      <c r="P16" t="s">
        <v>126</v>
      </c>
      <c r="Q16" t="s">
        <v>127</v>
      </c>
      <c r="R16" t="s">
        <v>117</v>
      </c>
      <c r="S16" s="17" t="s">
        <v>128</v>
      </c>
      <c r="T16" s="17" t="str">
        <f>VLOOKUP(Table_EH_Pre_Survey_May_20__2023_08_224[[#This Row],[Q1 - NetID Post-Survey]], 'Post-Survey Matched Set (36)'!S:S, 1,FALSE)</f>
        <v>Jm2722</v>
      </c>
      <c r="U16" s="8">
        <v>3</v>
      </c>
      <c r="V16" s="4">
        <v>3</v>
      </c>
      <c r="W16" s="4">
        <v>2</v>
      </c>
      <c r="X16" s="4">
        <v>4</v>
      </c>
      <c r="Y16" s="4">
        <v>3</v>
      </c>
      <c r="Z16" s="4">
        <v>3</v>
      </c>
      <c r="AA16" s="4">
        <v>5</v>
      </c>
      <c r="AB16" s="4">
        <v>1</v>
      </c>
      <c r="AC16" s="2">
        <v>4</v>
      </c>
      <c r="AD16" s="2">
        <f>IF(Table_EH_Pre_Survey_May_20__2023_08_224[[#This Row],[Q4_1]] = 3, 1, IF(Table_EH_Pre_Survey_May_20__2023_08_224[[#This Row],[Q4_1]] = 2.5, 0.5, IF(Table_EH_Pre_Survey_May_20__2023_08_224[[#This Row],[Q4_1]] = 3.5, 0.5, 0)))</f>
        <v>0</v>
      </c>
      <c r="AE16" t="s">
        <v>130</v>
      </c>
      <c r="AF16">
        <f>IF(Table_EH_Pre_Survey_May_20__2023_08_224[[#This Row],[Q5 ]]="PM &lt; 2.5 μm", 1, 0)</f>
        <v>0</v>
      </c>
      <c r="AG16" t="s">
        <v>131</v>
      </c>
      <c r="AH16">
        <f>IF(Table_EH_Pre_Survey_May_20__2023_08_224[[#This Row],[Q6]]="Particles of this size are generally absorbed in the respiratory tract and safely excreted in mucus.", 1, 0)</f>
        <v>0</v>
      </c>
      <c r="AI16" t="s">
        <v>132</v>
      </c>
      <c r="AJ16">
        <f>IF(ISNUMBER(SEARCH("Trucks", Table_EH_Pre_Survey_May_20__2023_08_224[[#This Row],[Q7 ]])) = TRUE, 1, 0) + IF(ISNUMBER(SEARCH("Cars", Table_EH_Pre_Survey_May_20__2023_08_224[[#This Row],[Q7 ]])) = TRUE, 1, 0) + IF(ISNUMBER(SEARCH("Fireplaces", Table_EH_Pre_Survey_May_20__2023_08_224[[#This Row],[Q7 ]])) = TRUE, 1, 0) + IF(ISNUMBER(SEARCH("Dirt Roads",Table_EH_Pre_Survey_May_20__2023_08_224[[#This Row],[Q7 ]])) = TRUE, 1, 0) - IF(ISNUMBER(SEARCH("Electric Vehicles",Table_EH_Pre_Survey_May_20__2023_08_224[[#This Row],[Q7 ]])) = TRUE, 1, 0) - IF(ISNUMBER(SEARCH("Pollen", Table_EH_Pre_Survey_May_20__2023_08_224[[#This Row],[Q7 ]])) = TRUE, 1, 0)</f>
        <v>2</v>
      </c>
      <c r="AK16">
        <v>1</v>
      </c>
      <c r="AL16">
        <v>1</v>
      </c>
      <c r="AM16">
        <v>2</v>
      </c>
      <c r="AN16">
        <v>2</v>
      </c>
      <c r="AO16">
        <v>4</v>
      </c>
      <c r="AP16">
        <v>5</v>
      </c>
      <c r="AQ16">
        <v>6</v>
      </c>
      <c r="AR16" t="s">
        <v>111</v>
      </c>
    </row>
    <row r="17" spans="1:44" x14ac:dyDescent="0.25">
      <c r="A17" t="s">
        <v>605</v>
      </c>
      <c r="B17" t="s">
        <v>612</v>
      </c>
      <c r="C17" t="s">
        <v>42</v>
      </c>
      <c r="D17" t="s">
        <v>389</v>
      </c>
      <c r="E17" t="s">
        <v>112</v>
      </c>
      <c r="F17">
        <f>_xlfn.NUMBERVALUE(Table_EH_Pre_Survey_May_20__2023_08_224[[#This Row],[Duration (in seconds) - Duration (in seconds)2]])</f>
        <v>220</v>
      </c>
      <c r="G17" t="s">
        <v>613</v>
      </c>
      <c r="H17" t="s">
        <v>114</v>
      </c>
      <c r="I17" t="s">
        <v>614</v>
      </c>
      <c r="J17" t="s">
        <v>615</v>
      </c>
      <c r="K17" t="s">
        <v>111</v>
      </c>
      <c r="L17" t="s">
        <v>111</v>
      </c>
      <c r="M17" t="s">
        <v>111</v>
      </c>
      <c r="N17" t="s">
        <v>111</v>
      </c>
      <c r="O17" t="s">
        <v>392</v>
      </c>
      <c r="P17" t="s">
        <v>393</v>
      </c>
      <c r="Q17" t="s">
        <v>487</v>
      </c>
      <c r="R17" t="s">
        <v>117</v>
      </c>
      <c r="S17" s="17" t="s">
        <v>616</v>
      </c>
      <c r="T17" s="17" t="str">
        <f>VLOOKUP(Table_EH_Pre_Survey_May_20__2023_08_224[[#This Row],[Q1 - NetID Post-Survey]], 'Post-Survey Matched Set (36)'!S:S, 1,FALSE)</f>
        <v>kf511</v>
      </c>
      <c r="U17" s="8">
        <v>3</v>
      </c>
      <c r="V17" s="4">
        <v>2</v>
      </c>
      <c r="W17" s="4">
        <v>4</v>
      </c>
      <c r="X17" s="4">
        <v>4</v>
      </c>
      <c r="Y17" s="4">
        <v>2</v>
      </c>
      <c r="Z17" s="4">
        <v>4</v>
      </c>
      <c r="AA17" s="4">
        <v>5</v>
      </c>
      <c r="AB17" s="4">
        <v>3</v>
      </c>
      <c r="AC17" s="2">
        <v>3.5</v>
      </c>
      <c r="AD17" s="2">
        <f>IF(Table_EH_Pre_Survey_May_20__2023_08_224[[#This Row],[Q4_1]] = 3, 1, IF(Table_EH_Pre_Survey_May_20__2023_08_224[[#This Row],[Q4_1]] = 2.5, 0.5, IF(Table_EH_Pre_Survey_May_20__2023_08_224[[#This Row],[Q4_1]] = 3.5, 0.5, 0)))</f>
        <v>0.5</v>
      </c>
      <c r="AE17" t="s">
        <v>130</v>
      </c>
      <c r="AF17">
        <f>IF(Table_EH_Pre_Survey_May_20__2023_08_224[[#This Row],[Q5 ]]="PM &lt; 2.5 μm", 1, 0)</f>
        <v>0</v>
      </c>
      <c r="AG17" t="s">
        <v>175</v>
      </c>
      <c r="AH17">
        <f>IF(Table_EH_Pre_Survey_May_20__2023_08_224[[#This Row],[Q6]]="Particles of this size are generally absorbed in the respiratory tract and safely excreted in mucus.", 1, 0)</f>
        <v>1</v>
      </c>
      <c r="AI17" t="s">
        <v>167</v>
      </c>
      <c r="AJ17">
        <f>IF(ISNUMBER(SEARCH("Trucks", Table_EH_Pre_Survey_May_20__2023_08_224[[#This Row],[Q7 ]])) = TRUE, 1, 0) + IF(ISNUMBER(SEARCH("Cars", Table_EH_Pre_Survey_May_20__2023_08_224[[#This Row],[Q7 ]])) = TRUE, 1, 0) + IF(ISNUMBER(SEARCH("Fireplaces", Table_EH_Pre_Survey_May_20__2023_08_224[[#This Row],[Q7 ]])) = TRUE, 1, 0) + IF(ISNUMBER(SEARCH("Dirt Roads",Table_EH_Pre_Survey_May_20__2023_08_224[[#This Row],[Q7 ]])) = TRUE, 1, 0) - IF(ISNUMBER(SEARCH("Electric Vehicles",Table_EH_Pre_Survey_May_20__2023_08_224[[#This Row],[Q7 ]])) = TRUE, 1, 0) - IF(ISNUMBER(SEARCH("Pollen", Table_EH_Pre_Survey_May_20__2023_08_224[[#This Row],[Q7 ]])) = TRUE, 1, 0)</f>
        <v>3</v>
      </c>
      <c r="AK17">
        <v>4</v>
      </c>
      <c r="AM17">
        <v>1</v>
      </c>
      <c r="AN17">
        <v>1</v>
      </c>
      <c r="AO17">
        <v>3</v>
      </c>
      <c r="AP17">
        <v>5</v>
      </c>
      <c r="AQ17">
        <v>6</v>
      </c>
      <c r="AR17" t="s">
        <v>617</v>
      </c>
    </row>
    <row r="18" spans="1:44" x14ac:dyDescent="0.25">
      <c r="A18" t="s">
        <v>599</v>
      </c>
      <c r="B18" t="s">
        <v>600</v>
      </c>
      <c r="C18" t="s">
        <v>42</v>
      </c>
      <c r="D18" t="s">
        <v>601</v>
      </c>
      <c r="E18" t="s">
        <v>112</v>
      </c>
      <c r="F18">
        <f>_xlfn.NUMBERVALUE(Table_EH_Pre_Survey_May_20__2023_08_224[[#This Row],[Duration (in seconds) - Duration (in seconds)2]])</f>
        <v>176</v>
      </c>
      <c r="G18" t="s">
        <v>602</v>
      </c>
      <c r="H18" t="s">
        <v>114</v>
      </c>
      <c r="I18" t="s">
        <v>600</v>
      </c>
      <c r="J18" t="s">
        <v>603</v>
      </c>
      <c r="K18" t="s">
        <v>111</v>
      </c>
      <c r="L18" t="s">
        <v>111</v>
      </c>
      <c r="M18" t="s">
        <v>111</v>
      </c>
      <c r="N18" t="s">
        <v>111</v>
      </c>
      <c r="O18" t="s">
        <v>351</v>
      </c>
      <c r="P18" t="s">
        <v>352</v>
      </c>
      <c r="Q18" t="s">
        <v>487</v>
      </c>
      <c r="R18" t="s">
        <v>117</v>
      </c>
      <c r="S18" s="17" t="s">
        <v>604</v>
      </c>
      <c r="T18" s="17" t="str">
        <f>VLOOKUP(Table_EH_Pre_Survey_May_20__2023_08_224[[#This Row],[Q1 - NetID Post-Survey]], 'Post-Survey Matched Set (36)'!S:S, 1,FALSE)</f>
        <v>Krb195</v>
      </c>
      <c r="U18" s="8">
        <v>5</v>
      </c>
      <c r="V18" s="4">
        <v>4</v>
      </c>
      <c r="W18" s="4">
        <v>5</v>
      </c>
      <c r="X18" s="4">
        <v>4</v>
      </c>
      <c r="Y18" s="4">
        <v>1</v>
      </c>
      <c r="Z18" s="4">
        <v>2</v>
      </c>
      <c r="AA18" s="4">
        <v>5</v>
      </c>
      <c r="AB18" s="4">
        <v>1</v>
      </c>
      <c r="AC18" s="2">
        <v>5</v>
      </c>
      <c r="AD18" s="2">
        <f>IF(Table_EH_Pre_Survey_May_20__2023_08_224[[#This Row],[Q4_1]] = 3, 1, IF(Table_EH_Pre_Survey_May_20__2023_08_224[[#This Row],[Q4_1]] = 2.5, 0.5, IF(Table_EH_Pre_Survey_May_20__2023_08_224[[#This Row],[Q4_1]] = 3.5, 0.5, 0)))</f>
        <v>0</v>
      </c>
      <c r="AE18" t="s">
        <v>130</v>
      </c>
      <c r="AF18">
        <f>IF(Table_EH_Pre_Survey_May_20__2023_08_224[[#This Row],[Q5 ]]="PM &lt; 2.5 μm", 1, 0)</f>
        <v>0</v>
      </c>
      <c r="AG18" t="s">
        <v>131</v>
      </c>
      <c r="AH18">
        <f>IF(Table_EH_Pre_Survey_May_20__2023_08_224[[#This Row],[Q6]]="Particles of this size are generally absorbed in the respiratory tract and safely excreted in mucus.", 1, 0)</f>
        <v>0</v>
      </c>
      <c r="AI18" t="s">
        <v>167</v>
      </c>
      <c r="AJ18">
        <f>IF(ISNUMBER(SEARCH("Trucks", Table_EH_Pre_Survey_May_20__2023_08_224[[#This Row],[Q7 ]])) = TRUE, 1, 0) + IF(ISNUMBER(SEARCH("Cars", Table_EH_Pre_Survey_May_20__2023_08_224[[#This Row],[Q7 ]])) = TRUE, 1, 0) + IF(ISNUMBER(SEARCH("Fireplaces", Table_EH_Pre_Survey_May_20__2023_08_224[[#This Row],[Q7 ]])) = TRUE, 1, 0) + IF(ISNUMBER(SEARCH("Dirt Roads",Table_EH_Pre_Survey_May_20__2023_08_224[[#This Row],[Q7 ]])) = TRUE, 1, 0) - IF(ISNUMBER(SEARCH("Electric Vehicles",Table_EH_Pre_Survey_May_20__2023_08_224[[#This Row],[Q7 ]])) = TRUE, 1, 0) - IF(ISNUMBER(SEARCH("Pollen", Table_EH_Pre_Survey_May_20__2023_08_224[[#This Row],[Q7 ]])) = TRUE, 1, 0)</f>
        <v>3</v>
      </c>
      <c r="AK18">
        <v>4</v>
      </c>
      <c r="AL18">
        <v>5</v>
      </c>
      <c r="AM18">
        <v>2</v>
      </c>
      <c r="AN18">
        <v>2</v>
      </c>
      <c r="AO18">
        <v>3</v>
      </c>
      <c r="AP18">
        <v>5</v>
      </c>
      <c r="AQ18">
        <v>8</v>
      </c>
      <c r="AR18" t="s">
        <v>111</v>
      </c>
    </row>
    <row r="19" spans="1:44" x14ac:dyDescent="0.25">
      <c r="A19" t="s">
        <v>315</v>
      </c>
      <c r="B19" t="s">
        <v>316</v>
      </c>
      <c r="C19" t="s">
        <v>42</v>
      </c>
      <c r="D19" t="s">
        <v>317</v>
      </c>
      <c r="E19" t="s">
        <v>112</v>
      </c>
      <c r="F19">
        <f>_xlfn.NUMBERVALUE(Table_EH_Pre_Survey_May_20__2023_08_224[[#This Row],[Duration (in seconds) - Duration (in seconds)2]])</f>
        <v>117</v>
      </c>
      <c r="G19" t="s">
        <v>301</v>
      </c>
      <c r="H19" t="s">
        <v>114</v>
      </c>
      <c r="I19" t="s">
        <v>316</v>
      </c>
      <c r="J19" t="s">
        <v>318</v>
      </c>
      <c r="K19" t="s">
        <v>111</v>
      </c>
      <c r="L19" t="s">
        <v>111</v>
      </c>
      <c r="M19" t="s">
        <v>111</v>
      </c>
      <c r="N19" t="s">
        <v>111</v>
      </c>
      <c r="O19" t="s">
        <v>229</v>
      </c>
      <c r="P19" t="s">
        <v>230</v>
      </c>
      <c r="Q19" t="s">
        <v>127</v>
      </c>
      <c r="R19" t="s">
        <v>117</v>
      </c>
      <c r="S19" s="17" t="s">
        <v>319</v>
      </c>
      <c r="T19" s="17" t="str">
        <f>VLOOKUP(Table_EH_Pre_Survey_May_20__2023_08_224[[#This Row],[Q1 - NetID Post-Survey]], 'Post-Survey Matched Set (36)'!S:S, 1,FALSE)</f>
        <v>ks1403</v>
      </c>
      <c r="U19" s="8">
        <v>4</v>
      </c>
      <c r="V19" s="4">
        <v>5</v>
      </c>
      <c r="W19" s="4">
        <v>3</v>
      </c>
      <c r="X19" s="4">
        <v>4</v>
      </c>
      <c r="Y19" s="4">
        <v>5</v>
      </c>
      <c r="Z19" s="4">
        <v>4</v>
      </c>
      <c r="AA19" s="4">
        <v>5</v>
      </c>
      <c r="AB19" s="4">
        <v>3</v>
      </c>
      <c r="AC19" s="2">
        <v>3</v>
      </c>
      <c r="AD19" s="2">
        <f>IF(Table_EH_Pre_Survey_May_20__2023_08_224[[#This Row],[Q4_1]] = 3, 1, IF(Table_EH_Pre_Survey_May_20__2023_08_224[[#This Row],[Q4_1]] = 2.5, 0.5, IF(Table_EH_Pre_Survey_May_20__2023_08_224[[#This Row],[Q4_1]] = 3.5, 0.5, 0)))</f>
        <v>1</v>
      </c>
      <c r="AE19" t="s">
        <v>130</v>
      </c>
      <c r="AF19">
        <f>IF(Table_EH_Pre_Survey_May_20__2023_08_224[[#This Row],[Q5 ]]="PM &lt; 2.5 μm", 1, 0)</f>
        <v>0</v>
      </c>
      <c r="AG19" t="s">
        <v>175</v>
      </c>
      <c r="AH19">
        <f>IF(Table_EH_Pre_Survey_May_20__2023_08_224[[#This Row],[Q6]]="Particles of this size are generally absorbed in the respiratory tract and safely excreted in mucus.", 1, 0)</f>
        <v>1</v>
      </c>
      <c r="AI19" t="s">
        <v>167</v>
      </c>
      <c r="AJ19">
        <f>IF(ISNUMBER(SEARCH("Trucks", Table_EH_Pre_Survey_May_20__2023_08_224[[#This Row],[Q7 ]])) = TRUE, 1, 0) + IF(ISNUMBER(SEARCH("Cars", Table_EH_Pre_Survey_May_20__2023_08_224[[#This Row],[Q7 ]])) = TRUE, 1, 0) + IF(ISNUMBER(SEARCH("Fireplaces", Table_EH_Pre_Survey_May_20__2023_08_224[[#This Row],[Q7 ]])) = TRUE, 1, 0) + IF(ISNUMBER(SEARCH("Dirt Roads",Table_EH_Pre_Survey_May_20__2023_08_224[[#This Row],[Q7 ]])) = TRUE, 1, 0) - IF(ISNUMBER(SEARCH("Electric Vehicles",Table_EH_Pre_Survey_May_20__2023_08_224[[#This Row],[Q7 ]])) = TRUE, 1, 0) - IF(ISNUMBER(SEARCH("Pollen", Table_EH_Pre_Survey_May_20__2023_08_224[[#This Row],[Q7 ]])) = TRUE, 1, 0)</f>
        <v>3</v>
      </c>
      <c r="AK19">
        <v>1</v>
      </c>
      <c r="AL19">
        <v>2</v>
      </c>
      <c r="AM19">
        <v>1</v>
      </c>
      <c r="AN19">
        <v>1</v>
      </c>
      <c r="AO19">
        <v>2</v>
      </c>
      <c r="AP19">
        <v>3</v>
      </c>
      <c r="AQ19">
        <v>7</v>
      </c>
      <c r="AR19" t="s">
        <v>320</v>
      </c>
    </row>
    <row r="20" spans="1:44" x14ac:dyDescent="0.25">
      <c r="A20" t="s">
        <v>743</v>
      </c>
      <c r="B20" t="s">
        <v>744</v>
      </c>
      <c r="C20" t="s">
        <v>42</v>
      </c>
      <c r="D20" t="s">
        <v>389</v>
      </c>
      <c r="E20" t="s">
        <v>112</v>
      </c>
      <c r="F20">
        <f>_xlfn.NUMBERVALUE(Table_EH_Pre_Survey_May_20__2023_08_224[[#This Row],[Duration (in seconds) - Duration (in seconds)2]])</f>
        <v>383</v>
      </c>
      <c r="G20" t="s">
        <v>745</v>
      </c>
      <c r="H20" t="s">
        <v>114</v>
      </c>
      <c r="I20" t="s">
        <v>746</v>
      </c>
      <c r="J20" t="s">
        <v>747</v>
      </c>
      <c r="K20" t="s">
        <v>111</v>
      </c>
      <c r="L20" t="s">
        <v>111</v>
      </c>
      <c r="M20" t="s">
        <v>111</v>
      </c>
      <c r="N20" t="s">
        <v>111</v>
      </c>
      <c r="O20" t="s">
        <v>392</v>
      </c>
      <c r="P20" t="s">
        <v>393</v>
      </c>
      <c r="Q20" t="s">
        <v>127</v>
      </c>
      <c r="R20" t="s">
        <v>117</v>
      </c>
      <c r="S20" s="17" t="s">
        <v>748</v>
      </c>
      <c r="T20" s="17" t="str">
        <f>VLOOKUP(Table_EH_Pre_Survey_May_20__2023_08_224[[#This Row],[Q1 - NetID Post-Survey]], 'Post-Survey Matched Set (36)'!S:S, 1,FALSE)</f>
        <v>Lma216</v>
      </c>
      <c r="U20" s="8">
        <v>5</v>
      </c>
      <c r="V20" s="4">
        <v>4</v>
      </c>
      <c r="W20" s="4">
        <v>4</v>
      </c>
      <c r="X20" s="4">
        <v>5</v>
      </c>
      <c r="Y20" s="4">
        <v>4</v>
      </c>
      <c r="Z20" s="4">
        <v>3</v>
      </c>
      <c r="AA20" s="4">
        <v>5</v>
      </c>
      <c r="AB20" s="4">
        <v>4</v>
      </c>
      <c r="AC20" s="2">
        <v>4</v>
      </c>
      <c r="AD20" s="2">
        <f>IF(Table_EH_Pre_Survey_May_20__2023_08_224[[#This Row],[Q4_1]] = 3, 1, IF(Table_EH_Pre_Survey_May_20__2023_08_224[[#This Row],[Q4_1]] = 2.5, 0.5, IF(Table_EH_Pre_Survey_May_20__2023_08_224[[#This Row],[Q4_1]] = 3.5, 0.5, 0)))</f>
        <v>0</v>
      </c>
      <c r="AE20" t="s">
        <v>140</v>
      </c>
      <c r="AF20">
        <f>IF(Table_EH_Pre_Survey_May_20__2023_08_224[[#This Row],[Q5 ]]="PM &lt; 2.5 μm", 1, 0)</f>
        <v>1</v>
      </c>
      <c r="AG20" t="s">
        <v>141</v>
      </c>
      <c r="AH20">
        <f>IF(Table_EH_Pre_Survey_May_20__2023_08_224[[#This Row],[Q6]]="Particles of this size are generally absorbed in the respiratory tract and safely excreted in mucus.", 1, 0)</f>
        <v>0</v>
      </c>
      <c r="AI20" t="s">
        <v>167</v>
      </c>
      <c r="AJ20">
        <f>IF(ISNUMBER(SEARCH("Trucks", Table_EH_Pre_Survey_May_20__2023_08_224[[#This Row],[Q7 ]])) = TRUE, 1, 0) + IF(ISNUMBER(SEARCH("Cars", Table_EH_Pre_Survey_May_20__2023_08_224[[#This Row],[Q7 ]])) = TRUE, 1, 0) + IF(ISNUMBER(SEARCH("Fireplaces", Table_EH_Pre_Survey_May_20__2023_08_224[[#This Row],[Q7 ]])) = TRUE, 1, 0) + IF(ISNUMBER(SEARCH("Dirt Roads",Table_EH_Pre_Survey_May_20__2023_08_224[[#This Row],[Q7 ]])) = TRUE, 1, 0) - IF(ISNUMBER(SEARCH("Electric Vehicles",Table_EH_Pre_Survey_May_20__2023_08_224[[#This Row],[Q7 ]])) = TRUE, 1, 0) - IF(ISNUMBER(SEARCH("Pollen", Table_EH_Pre_Survey_May_20__2023_08_224[[#This Row],[Q7 ]])) = TRUE, 1, 0)</f>
        <v>3</v>
      </c>
      <c r="AK20">
        <v>4</v>
      </c>
      <c r="AL20">
        <v>5</v>
      </c>
      <c r="AM20">
        <v>4</v>
      </c>
      <c r="AN20">
        <v>4</v>
      </c>
      <c r="AO20">
        <v>2</v>
      </c>
      <c r="AP20">
        <v>3</v>
      </c>
      <c r="AQ20">
        <v>10</v>
      </c>
      <c r="AR20" t="s">
        <v>749</v>
      </c>
    </row>
    <row r="21" spans="1:44" x14ac:dyDescent="0.25">
      <c r="A21" t="s">
        <v>292</v>
      </c>
      <c r="B21" t="s">
        <v>293</v>
      </c>
      <c r="C21" t="s">
        <v>42</v>
      </c>
      <c r="D21" t="s">
        <v>190</v>
      </c>
      <c r="E21" t="s">
        <v>112</v>
      </c>
      <c r="F21">
        <f>_xlfn.NUMBERVALUE(Table_EH_Pre_Survey_May_20__2023_08_224[[#This Row],[Duration (in seconds) - Duration (in seconds)2]])</f>
        <v>263</v>
      </c>
      <c r="G21" t="s">
        <v>294</v>
      </c>
      <c r="H21" t="s">
        <v>114</v>
      </c>
      <c r="I21" t="s">
        <v>295</v>
      </c>
      <c r="J21" t="s">
        <v>296</v>
      </c>
      <c r="K21" t="s">
        <v>111</v>
      </c>
      <c r="L21" t="s">
        <v>111</v>
      </c>
      <c r="M21" t="s">
        <v>111</v>
      </c>
      <c r="N21" t="s">
        <v>111</v>
      </c>
      <c r="O21" t="s">
        <v>193</v>
      </c>
      <c r="P21" t="s">
        <v>194</v>
      </c>
      <c r="Q21" t="s">
        <v>127</v>
      </c>
      <c r="R21" t="s">
        <v>117</v>
      </c>
      <c r="S21" s="17" t="s">
        <v>297</v>
      </c>
      <c r="T21" s="17" t="str">
        <f>VLOOKUP(Table_EH_Pre_Survey_May_20__2023_08_224[[#This Row],[Q1 - NetID Post-Survey]], 'Post-Survey Matched Set (36)'!S:S, 1,FALSE)</f>
        <v>mmm564</v>
      </c>
      <c r="U21" s="8">
        <v>4</v>
      </c>
      <c r="V21" s="4">
        <v>4</v>
      </c>
      <c r="W21" s="4">
        <v>4</v>
      </c>
      <c r="X21" s="4">
        <v>4</v>
      </c>
      <c r="Y21" s="4">
        <v>2</v>
      </c>
      <c r="Z21" s="4">
        <v>3</v>
      </c>
      <c r="AA21" s="4">
        <v>4</v>
      </c>
      <c r="AB21" s="4">
        <v>2</v>
      </c>
      <c r="AC21" s="2">
        <v>4</v>
      </c>
      <c r="AD21" s="2">
        <f>IF(Table_EH_Pre_Survey_May_20__2023_08_224[[#This Row],[Q4_1]] = 3, 1, IF(Table_EH_Pre_Survey_May_20__2023_08_224[[#This Row],[Q4_1]] = 2.5, 0.5, IF(Table_EH_Pre_Survey_May_20__2023_08_224[[#This Row],[Q4_1]] = 3.5, 0.5, 0)))</f>
        <v>0</v>
      </c>
      <c r="AE21" t="s">
        <v>130</v>
      </c>
      <c r="AF21">
        <f>IF(Table_EH_Pre_Survey_May_20__2023_08_224[[#This Row],[Q5 ]]="PM &lt; 2.5 μm", 1, 0)</f>
        <v>0</v>
      </c>
      <c r="AG21" t="s">
        <v>131</v>
      </c>
      <c r="AH21">
        <f>IF(Table_EH_Pre_Survey_May_20__2023_08_224[[#This Row],[Q6]]="Particles of this size are generally absorbed in the respiratory tract and safely excreted in mucus.", 1, 0)</f>
        <v>0</v>
      </c>
      <c r="AI21" t="s">
        <v>186</v>
      </c>
      <c r="AJ21">
        <f>IF(ISNUMBER(SEARCH("Trucks", Table_EH_Pre_Survey_May_20__2023_08_224[[#This Row],[Q7 ]])) = TRUE, 1, 0) + IF(ISNUMBER(SEARCH("Cars", Table_EH_Pre_Survey_May_20__2023_08_224[[#This Row],[Q7 ]])) = TRUE, 1, 0) + IF(ISNUMBER(SEARCH("Fireplaces", Table_EH_Pre_Survey_May_20__2023_08_224[[#This Row],[Q7 ]])) = TRUE, 1, 0) + IF(ISNUMBER(SEARCH("Dirt Roads",Table_EH_Pre_Survey_May_20__2023_08_224[[#This Row],[Q7 ]])) = TRUE, 1, 0) - IF(ISNUMBER(SEARCH("Electric Vehicles",Table_EH_Pre_Survey_May_20__2023_08_224[[#This Row],[Q7 ]])) = TRUE, 1, 0) - IF(ISNUMBER(SEARCH("Pollen", Table_EH_Pre_Survey_May_20__2023_08_224[[#This Row],[Q7 ]])) = TRUE, 1, 0)</f>
        <v>3</v>
      </c>
      <c r="AK21">
        <v>2</v>
      </c>
      <c r="AL21">
        <v>2</v>
      </c>
      <c r="AM21">
        <v>2</v>
      </c>
      <c r="AN21">
        <v>2</v>
      </c>
      <c r="AO21">
        <v>2</v>
      </c>
      <c r="AP21">
        <v>4</v>
      </c>
      <c r="AQ21">
        <v>7</v>
      </c>
      <c r="AR21" t="s">
        <v>111</v>
      </c>
    </row>
    <row r="22" spans="1:44" x14ac:dyDescent="0.25">
      <c r="A22" t="s">
        <v>133</v>
      </c>
      <c r="B22" t="s">
        <v>134</v>
      </c>
      <c r="C22" t="s">
        <v>42</v>
      </c>
      <c r="D22" t="s">
        <v>135</v>
      </c>
      <c r="E22" t="s">
        <v>112</v>
      </c>
      <c r="F22">
        <f>_xlfn.NUMBERVALUE(Table_EH_Pre_Survey_May_20__2023_08_224[[#This Row],[Duration (in seconds) - Duration (in seconds)2]])</f>
        <v>195</v>
      </c>
      <c r="G22" t="s">
        <v>136</v>
      </c>
      <c r="H22" t="s">
        <v>114</v>
      </c>
      <c r="I22" t="s">
        <v>137</v>
      </c>
      <c r="J22" t="s">
        <v>138</v>
      </c>
      <c r="K22" t="s">
        <v>111</v>
      </c>
      <c r="L22" t="s">
        <v>111</v>
      </c>
      <c r="M22" t="s">
        <v>111</v>
      </c>
      <c r="N22" t="s">
        <v>111</v>
      </c>
      <c r="O22" t="s">
        <v>115</v>
      </c>
      <c r="P22" t="s">
        <v>116</v>
      </c>
      <c r="Q22" t="s">
        <v>127</v>
      </c>
      <c r="R22" t="s">
        <v>117</v>
      </c>
      <c r="S22" s="17" t="s">
        <v>139</v>
      </c>
      <c r="T22" s="17" t="str">
        <f>VLOOKUP(Table_EH_Pre_Survey_May_20__2023_08_224[[#This Row],[Q1 - NetID Post-Survey]], 'Post-Survey Matched Set (36)'!S:S, 1,FALSE)</f>
        <v>Nsa86</v>
      </c>
      <c r="U22" s="8">
        <v>4</v>
      </c>
      <c r="V22" s="4">
        <v>5</v>
      </c>
      <c r="W22" s="4">
        <v>5</v>
      </c>
      <c r="X22" s="4">
        <v>5</v>
      </c>
      <c r="Y22" s="4">
        <v>3</v>
      </c>
      <c r="Z22" s="4">
        <v>4</v>
      </c>
      <c r="AA22" s="4">
        <v>5</v>
      </c>
      <c r="AB22" s="4">
        <v>3</v>
      </c>
      <c r="AC22" s="2">
        <v>4</v>
      </c>
      <c r="AD22" s="2">
        <f>IF(Table_EH_Pre_Survey_May_20__2023_08_224[[#This Row],[Q4_1]] = 3, 1, IF(Table_EH_Pre_Survey_May_20__2023_08_224[[#This Row],[Q4_1]] = 2.5, 0.5, IF(Table_EH_Pre_Survey_May_20__2023_08_224[[#This Row],[Q4_1]] = 3.5, 0.5, 0)))</f>
        <v>0</v>
      </c>
      <c r="AE22" t="s">
        <v>140</v>
      </c>
      <c r="AF22">
        <f>IF(Table_EH_Pre_Survey_May_20__2023_08_224[[#This Row],[Q5 ]]="PM &lt; 2.5 μm", 1, 0)</f>
        <v>1</v>
      </c>
      <c r="AG22" t="s">
        <v>141</v>
      </c>
      <c r="AH22">
        <f>IF(Table_EH_Pre_Survey_May_20__2023_08_224[[#This Row],[Q6]]="Particles of this size are generally absorbed in the respiratory tract and safely excreted in mucus.", 1, 0)</f>
        <v>0</v>
      </c>
      <c r="AI22" t="s">
        <v>142</v>
      </c>
      <c r="AJ22">
        <f>IF(ISNUMBER(SEARCH("Trucks", Table_EH_Pre_Survey_May_20__2023_08_224[[#This Row],[Q7 ]])) = TRUE, 1, 0) + IF(ISNUMBER(SEARCH("Cars", Table_EH_Pre_Survey_May_20__2023_08_224[[#This Row],[Q7 ]])) = TRUE, 1, 0) + IF(ISNUMBER(SEARCH("Fireplaces", Table_EH_Pre_Survey_May_20__2023_08_224[[#This Row],[Q7 ]])) = TRUE, 1, 0) + IF(ISNUMBER(SEARCH("Dirt Roads",Table_EH_Pre_Survey_May_20__2023_08_224[[#This Row],[Q7 ]])) = TRUE, 1, 0) - IF(ISNUMBER(SEARCH("Electric Vehicles",Table_EH_Pre_Survey_May_20__2023_08_224[[#This Row],[Q7 ]])) = TRUE, 1, 0) - IF(ISNUMBER(SEARCH("Pollen", Table_EH_Pre_Survey_May_20__2023_08_224[[#This Row],[Q7 ]])) = TRUE, 1, 0)</f>
        <v>2</v>
      </c>
      <c r="AK22">
        <v>3</v>
      </c>
      <c r="AL22">
        <v>1</v>
      </c>
      <c r="AM22">
        <v>2</v>
      </c>
      <c r="AN22">
        <v>1</v>
      </c>
      <c r="AO22">
        <v>3</v>
      </c>
      <c r="AP22">
        <v>4</v>
      </c>
      <c r="AQ22">
        <v>8</v>
      </c>
      <c r="AR22" t="s">
        <v>144</v>
      </c>
    </row>
    <row r="23" spans="1:44" x14ac:dyDescent="0.25">
      <c r="A23" t="s">
        <v>404</v>
      </c>
      <c r="B23" t="s">
        <v>405</v>
      </c>
      <c r="C23" t="s">
        <v>42</v>
      </c>
      <c r="D23" t="s">
        <v>406</v>
      </c>
      <c r="E23" t="s">
        <v>112</v>
      </c>
      <c r="F23">
        <f>_xlfn.NUMBERVALUE(Table_EH_Pre_Survey_May_20__2023_08_224[[#This Row],[Duration (in seconds) - Duration (in seconds)2]])</f>
        <v>199</v>
      </c>
      <c r="G23" t="s">
        <v>407</v>
      </c>
      <c r="H23" t="s">
        <v>114</v>
      </c>
      <c r="I23" t="s">
        <v>408</v>
      </c>
      <c r="J23" t="s">
        <v>409</v>
      </c>
      <c r="K23" t="s">
        <v>111</v>
      </c>
      <c r="L23" t="s">
        <v>111</v>
      </c>
      <c r="M23" t="s">
        <v>111</v>
      </c>
      <c r="N23" t="s">
        <v>111</v>
      </c>
      <c r="O23" t="s">
        <v>351</v>
      </c>
      <c r="P23" t="s">
        <v>352</v>
      </c>
      <c r="Q23" t="s">
        <v>127</v>
      </c>
      <c r="R23" t="s">
        <v>117</v>
      </c>
      <c r="S23" s="17" t="s">
        <v>410</v>
      </c>
      <c r="T23" s="17" t="str">
        <f>VLOOKUP(Table_EH_Pre_Survey_May_20__2023_08_224[[#This Row],[Q1 - NetID Post-Survey]], 'Post-Survey Matched Set (36)'!S:S, 1,FALSE)</f>
        <v>oam38</v>
      </c>
      <c r="U23" s="8">
        <v>3</v>
      </c>
      <c r="V23" s="4">
        <v>4</v>
      </c>
      <c r="W23" s="4">
        <v>4</v>
      </c>
      <c r="X23" s="4">
        <v>4</v>
      </c>
      <c r="Y23" s="4">
        <v>3</v>
      </c>
      <c r="Z23" s="4">
        <v>4</v>
      </c>
      <c r="AA23" s="4">
        <v>5</v>
      </c>
      <c r="AB23" s="4">
        <v>4</v>
      </c>
      <c r="AC23" s="2">
        <v>4</v>
      </c>
      <c r="AD23" s="2">
        <f>IF(Table_EH_Pre_Survey_May_20__2023_08_224[[#This Row],[Q4_1]] = 3, 1, IF(Table_EH_Pre_Survey_May_20__2023_08_224[[#This Row],[Q4_1]] = 2.5, 0.5, IF(Table_EH_Pre_Survey_May_20__2023_08_224[[#This Row],[Q4_1]] = 3.5, 0.5, 0)))</f>
        <v>0</v>
      </c>
      <c r="AE23" t="s">
        <v>130</v>
      </c>
      <c r="AF23">
        <f>IF(Table_EH_Pre_Survey_May_20__2023_08_224[[#This Row],[Q5 ]]="PM &lt; 2.5 μm", 1, 0)</f>
        <v>0</v>
      </c>
      <c r="AG23" t="s">
        <v>131</v>
      </c>
      <c r="AH23">
        <f>IF(Table_EH_Pre_Survey_May_20__2023_08_224[[#This Row],[Q6]]="Particles of this size are generally absorbed in the respiratory tract and safely excreted in mucus.", 1, 0)</f>
        <v>0</v>
      </c>
      <c r="AI23" t="s">
        <v>353</v>
      </c>
      <c r="AJ23">
        <f>IF(ISNUMBER(SEARCH("Trucks", Table_EH_Pre_Survey_May_20__2023_08_224[[#This Row],[Q7 ]])) = TRUE, 1, 0) + IF(ISNUMBER(SEARCH("Cars", Table_EH_Pre_Survey_May_20__2023_08_224[[#This Row],[Q7 ]])) = TRUE, 1, 0) + IF(ISNUMBER(SEARCH("Fireplaces", Table_EH_Pre_Survey_May_20__2023_08_224[[#This Row],[Q7 ]])) = TRUE, 1, 0) + IF(ISNUMBER(SEARCH("Dirt Roads",Table_EH_Pre_Survey_May_20__2023_08_224[[#This Row],[Q7 ]])) = TRUE, 1, 0) - IF(ISNUMBER(SEARCH("Electric Vehicles",Table_EH_Pre_Survey_May_20__2023_08_224[[#This Row],[Q7 ]])) = TRUE, 1, 0) - IF(ISNUMBER(SEARCH("Pollen", Table_EH_Pre_Survey_May_20__2023_08_224[[#This Row],[Q7 ]])) = TRUE, 1, 0)</f>
        <v>3</v>
      </c>
      <c r="AK23">
        <v>3</v>
      </c>
      <c r="AL23">
        <v>3</v>
      </c>
      <c r="AM23">
        <v>4</v>
      </c>
      <c r="AN23">
        <v>4</v>
      </c>
      <c r="AO23">
        <v>4</v>
      </c>
      <c r="AP23">
        <v>4</v>
      </c>
      <c r="AQ23">
        <v>6</v>
      </c>
      <c r="AR23" t="s">
        <v>411</v>
      </c>
    </row>
    <row r="24" spans="1:44" x14ac:dyDescent="0.25">
      <c r="A24" t="s">
        <v>209</v>
      </c>
      <c r="B24" t="s">
        <v>210</v>
      </c>
      <c r="C24" t="s">
        <v>42</v>
      </c>
      <c r="D24" t="s">
        <v>211</v>
      </c>
      <c r="E24" t="s">
        <v>112</v>
      </c>
      <c r="F24">
        <f>_xlfn.NUMBERVALUE(Table_EH_Pre_Survey_May_20__2023_08_224[[#This Row],[Duration (in seconds) - Duration (in seconds)2]])</f>
        <v>96</v>
      </c>
      <c r="G24" t="s">
        <v>212</v>
      </c>
      <c r="H24" t="s">
        <v>114</v>
      </c>
      <c r="I24" t="s">
        <v>210</v>
      </c>
      <c r="J24" t="s">
        <v>213</v>
      </c>
      <c r="K24" t="s">
        <v>111</v>
      </c>
      <c r="L24" t="s">
        <v>111</v>
      </c>
      <c r="M24" t="s">
        <v>111</v>
      </c>
      <c r="N24" t="s">
        <v>111</v>
      </c>
      <c r="O24" t="s">
        <v>214</v>
      </c>
      <c r="P24" t="s">
        <v>215</v>
      </c>
      <c r="Q24" t="s">
        <v>127</v>
      </c>
      <c r="R24" t="s">
        <v>117</v>
      </c>
      <c r="S24" s="17" t="s">
        <v>216</v>
      </c>
      <c r="T24" s="17" t="str">
        <f>VLOOKUP(Table_EH_Pre_Survey_May_20__2023_08_224[[#This Row],[Q1 - NetID Post-Survey]], 'Post-Survey Matched Set (36)'!S:S, 1,FALSE)</f>
        <v>Pb658</v>
      </c>
      <c r="U24" s="8">
        <v>1</v>
      </c>
      <c r="V24" s="4">
        <v>2</v>
      </c>
      <c r="W24" s="4">
        <v>5</v>
      </c>
      <c r="X24" s="4">
        <v>2</v>
      </c>
      <c r="Y24" s="4">
        <v>0</v>
      </c>
      <c r="Z24" s="4">
        <v>0</v>
      </c>
      <c r="AA24" s="4">
        <v>2</v>
      </c>
      <c r="AB24" s="4">
        <v>0</v>
      </c>
      <c r="AC24" s="2">
        <v>4</v>
      </c>
      <c r="AD24" s="2">
        <f>IF(Table_EH_Pre_Survey_May_20__2023_08_224[[#This Row],[Q4_1]] = 3, 1, IF(Table_EH_Pre_Survey_May_20__2023_08_224[[#This Row],[Q4_1]] = 2.5, 0.5, IF(Table_EH_Pre_Survey_May_20__2023_08_224[[#This Row],[Q4_1]] = 3.5, 0.5, 0)))</f>
        <v>0</v>
      </c>
      <c r="AE24" t="s">
        <v>130</v>
      </c>
      <c r="AF24">
        <f>IF(Table_EH_Pre_Survey_May_20__2023_08_224[[#This Row],[Q5 ]]="PM &lt; 2.5 μm", 1, 0)</f>
        <v>0</v>
      </c>
      <c r="AG24" t="s">
        <v>131</v>
      </c>
      <c r="AH24">
        <f>IF(Table_EH_Pre_Survey_May_20__2023_08_224[[#This Row],[Q6]]="Particles of this size are generally absorbed in the respiratory tract and safely excreted in mucus.", 1, 0)</f>
        <v>0</v>
      </c>
      <c r="AI24" t="s">
        <v>167</v>
      </c>
      <c r="AJ24">
        <f>IF(ISNUMBER(SEARCH("Trucks", Table_EH_Pre_Survey_May_20__2023_08_224[[#This Row],[Q7 ]])) = TRUE, 1, 0) + IF(ISNUMBER(SEARCH("Cars", Table_EH_Pre_Survey_May_20__2023_08_224[[#This Row],[Q7 ]])) = TRUE, 1, 0) + IF(ISNUMBER(SEARCH("Fireplaces", Table_EH_Pre_Survey_May_20__2023_08_224[[#This Row],[Q7 ]])) = TRUE, 1, 0) + IF(ISNUMBER(SEARCH("Dirt Roads",Table_EH_Pre_Survey_May_20__2023_08_224[[#This Row],[Q7 ]])) = TRUE, 1, 0) - IF(ISNUMBER(SEARCH("Electric Vehicles",Table_EH_Pre_Survey_May_20__2023_08_224[[#This Row],[Q7 ]])) = TRUE, 1, 0) - IF(ISNUMBER(SEARCH("Pollen", Table_EH_Pre_Survey_May_20__2023_08_224[[#This Row],[Q7 ]])) = TRUE, 1, 0)</f>
        <v>3</v>
      </c>
      <c r="AK24">
        <v>5</v>
      </c>
      <c r="AL24">
        <v>3</v>
      </c>
      <c r="AM24">
        <v>5</v>
      </c>
      <c r="AN24">
        <v>5</v>
      </c>
      <c r="AO24">
        <v>5</v>
      </c>
      <c r="AP24">
        <v>5</v>
      </c>
      <c r="AQ24">
        <v>8</v>
      </c>
      <c r="AR24" t="s">
        <v>111</v>
      </c>
    </row>
    <row r="25" spans="1:44" x14ac:dyDescent="0.25">
      <c r="A25" t="s">
        <v>492</v>
      </c>
      <c r="B25" t="s">
        <v>485</v>
      </c>
      <c r="C25" t="s">
        <v>42</v>
      </c>
      <c r="D25" t="s">
        <v>493</v>
      </c>
      <c r="E25" t="s">
        <v>112</v>
      </c>
      <c r="F25">
        <f>_xlfn.NUMBERVALUE(Table_EH_Pre_Survey_May_20__2023_08_224[[#This Row],[Duration (in seconds) - Duration (in seconds)2]])</f>
        <v>121</v>
      </c>
      <c r="G25" t="s">
        <v>494</v>
      </c>
      <c r="H25" t="s">
        <v>114</v>
      </c>
      <c r="I25" t="s">
        <v>485</v>
      </c>
      <c r="J25" t="s">
        <v>495</v>
      </c>
      <c r="K25" t="s">
        <v>111</v>
      </c>
      <c r="L25" t="s">
        <v>111</v>
      </c>
      <c r="M25" t="s">
        <v>111</v>
      </c>
      <c r="N25" t="s">
        <v>111</v>
      </c>
      <c r="O25" t="s">
        <v>351</v>
      </c>
      <c r="P25" t="s">
        <v>352</v>
      </c>
      <c r="Q25" t="s">
        <v>487</v>
      </c>
      <c r="R25" t="s">
        <v>117</v>
      </c>
      <c r="S25" s="17" t="s">
        <v>496</v>
      </c>
      <c r="T25" s="17" t="str">
        <f>VLOOKUP(Table_EH_Pre_Survey_May_20__2023_08_224[[#This Row],[Q1 - NetID Post-Survey]], 'Post-Survey Matched Set (36)'!S:S, 1,FALSE)</f>
        <v>Pfa13</v>
      </c>
      <c r="U25" s="8">
        <v>3</v>
      </c>
      <c r="V25" s="4">
        <v>2</v>
      </c>
      <c r="W25" s="4">
        <v>4</v>
      </c>
      <c r="X25" s="4">
        <v>5</v>
      </c>
      <c r="Y25" s="4">
        <v>1</v>
      </c>
      <c r="Z25" s="4">
        <v>2</v>
      </c>
      <c r="AA25" s="4">
        <v>5</v>
      </c>
      <c r="AB25" s="4">
        <v>2</v>
      </c>
      <c r="AC25" s="2">
        <v>4</v>
      </c>
      <c r="AD25" s="2">
        <f>IF(Table_EH_Pre_Survey_May_20__2023_08_224[[#This Row],[Q4_1]] = 3, 1, IF(Table_EH_Pre_Survey_May_20__2023_08_224[[#This Row],[Q4_1]] = 2.5, 0.5, IF(Table_EH_Pre_Survey_May_20__2023_08_224[[#This Row],[Q4_1]] = 3.5, 0.5, 0)))</f>
        <v>0</v>
      </c>
      <c r="AE25" t="s">
        <v>140</v>
      </c>
      <c r="AF25">
        <f>IF(Table_EH_Pre_Survey_May_20__2023_08_224[[#This Row],[Q5 ]]="PM &lt; 2.5 μm", 1, 0)</f>
        <v>1</v>
      </c>
      <c r="AG25" t="s">
        <v>175</v>
      </c>
      <c r="AH25">
        <f>IF(Table_EH_Pre_Survey_May_20__2023_08_224[[#This Row],[Q6]]="Particles of this size are generally absorbed in the respiratory tract and safely excreted in mucus.", 1, 0)</f>
        <v>1</v>
      </c>
      <c r="AI25" t="s">
        <v>142</v>
      </c>
      <c r="AJ25">
        <f>IF(ISNUMBER(SEARCH("Trucks", Table_EH_Pre_Survey_May_20__2023_08_224[[#This Row],[Q7 ]])) = TRUE, 1, 0) + IF(ISNUMBER(SEARCH("Cars", Table_EH_Pre_Survey_May_20__2023_08_224[[#This Row],[Q7 ]])) = TRUE, 1, 0) + IF(ISNUMBER(SEARCH("Fireplaces", Table_EH_Pre_Survey_May_20__2023_08_224[[#This Row],[Q7 ]])) = TRUE, 1, 0) + IF(ISNUMBER(SEARCH("Dirt Roads",Table_EH_Pre_Survey_May_20__2023_08_224[[#This Row],[Q7 ]])) = TRUE, 1, 0) - IF(ISNUMBER(SEARCH("Electric Vehicles",Table_EH_Pre_Survey_May_20__2023_08_224[[#This Row],[Q7 ]])) = TRUE, 1, 0) - IF(ISNUMBER(SEARCH("Pollen", Table_EH_Pre_Survey_May_20__2023_08_224[[#This Row],[Q7 ]])) = TRUE, 1, 0)</f>
        <v>2</v>
      </c>
      <c r="AK25">
        <v>4</v>
      </c>
      <c r="AL25">
        <v>1</v>
      </c>
      <c r="AM25">
        <v>5</v>
      </c>
      <c r="AN25">
        <v>1</v>
      </c>
      <c r="AO25">
        <v>2</v>
      </c>
      <c r="AP25">
        <v>4</v>
      </c>
      <c r="AQ25">
        <v>7</v>
      </c>
      <c r="AR25" t="s">
        <v>497</v>
      </c>
    </row>
    <row r="26" spans="1:44" x14ac:dyDescent="0.25">
      <c r="A26" t="s">
        <v>298</v>
      </c>
      <c r="B26" t="s">
        <v>299</v>
      </c>
      <c r="C26" t="s">
        <v>42</v>
      </c>
      <c r="D26" t="s">
        <v>300</v>
      </c>
      <c r="E26" t="s">
        <v>112</v>
      </c>
      <c r="F26">
        <f>_xlfn.NUMBERVALUE(Table_EH_Pre_Survey_May_20__2023_08_224[[#This Row],[Duration (in seconds) - Duration (in seconds)2]])</f>
        <v>117</v>
      </c>
      <c r="G26" t="s">
        <v>301</v>
      </c>
      <c r="H26" t="s">
        <v>114</v>
      </c>
      <c r="I26" t="s">
        <v>302</v>
      </c>
      <c r="J26" t="s">
        <v>303</v>
      </c>
      <c r="K26" t="s">
        <v>111</v>
      </c>
      <c r="L26" t="s">
        <v>111</v>
      </c>
      <c r="M26" t="s">
        <v>111</v>
      </c>
      <c r="N26" t="s">
        <v>111</v>
      </c>
      <c r="O26" t="s">
        <v>229</v>
      </c>
      <c r="P26" t="s">
        <v>230</v>
      </c>
      <c r="Q26" t="s">
        <v>127</v>
      </c>
      <c r="R26" t="s">
        <v>117</v>
      </c>
      <c r="S26" s="17" t="s">
        <v>304</v>
      </c>
      <c r="T26" s="17" t="str">
        <f>VLOOKUP(Table_EH_Pre_Survey_May_20__2023_08_224[[#This Row],[Q1 - NetID Post-Survey]], 'Post-Survey Matched Set (36)'!S:S, 1,FALSE)</f>
        <v>Phl28</v>
      </c>
      <c r="U26" s="8">
        <v>4</v>
      </c>
      <c r="V26" s="4">
        <v>4</v>
      </c>
      <c r="W26" s="4">
        <v>5</v>
      </c>
      <c r="X26" s="4">
        <v>5</v>
      </c>
      <c r="Y26" s="4">
        <v>3</v>
      </c>
      <c r="Z26" s="4">
        <v>3</v>
      </c>
      <c r="AA26" s="4">
        <v>4</v>
      </c>
      <c r="AB26" s="4">
        <v>3</v>
      </c>
      <c r="AC26" s="2">
        <v>3.5</v>
      </c>
      <c r="AD26" s="2">
        <f>IF(Table_EH_Pre_Survey_May_20__2023_08_224[[#This Row],[Q4_1]] = 3, 1, IF(Table_EH_Pre_Survey_May_20__2023_08_224[[#This Row],[Q4_1]] = 2.5, 0.5, IF(Table_EH_Pre_Survey_May_20__2023_08_224[[#This Row],[Q4_1]] = 3.5, 0.5, 0)))</f>
        <v>0.5</v>
      </c>
      <c r="AE26" t="s">
        <v>185</v>
      </c>
      <c r="AF26">
        <f>IF(Table_EH_Pre_Survey_May_20__2023_08_224[[#This Row],[Q5 ]]="PM &lt; 2.5 μm", 1, 0)</f>
        <v>0</v>
      </c>
      <c r="AG26" t="s">
        <v>155</v>
      </c>
      <c r="AH26">
        <f>IF(Table_EH_Pre_Survey_May_20__2023_08_224[[#This Row],[Q6]]="Particles of this size are generally absorbed in the respiratory tract and safely excreted in mucus.", 1, 0)</f>
        <v>0</v>
      </c>
      <c r="AI26" t="s">
        <v>142</v>
      </c>
      <c r="AJ26">
        <f>IF(ISNUMBER(SEARCH("Trucks", Table_EH_Pre_Survey_May_20__2023_08_224[[#This Row],[Q7 ]])) = TRUE, 1, 0) + IF(ISNUMBER(SEARCH("Cars", Table_EH_Pre_Survey_May_20__2023_08_224[[#This Row],[Q7 ]])) = TRUE, 1, 0) + IF(ISNUMBER(SEARCH("Fireplaces", Table_EH_Pre_Survey_May_20__2023_08_224[[#This Row],[Q7 ]])) = TRUE, 1, 0) + IF(ISNUMBER(SEARCH("Dirt Roads",Table_EH_Pre_Survey_May_20__2023_08_224[[#This Row],[Q7 ]])) = TRUE, 1, 0) - IF(ISNUMBER(SEARCH("Electric Vehicles",Table_EH_Pre_Survey_May_20__2023_08_224[[#This Row],[Q7 ]])) = TRUE, 1, 0) - IF(ISNUMBER(SEARCH("Pollen", Table_EH_Pre_Survey_May_20__2023_08_224[[#This Row],[Q7 ]])) = TRUE, 1, 0)</f>
        <v>2</v>
      </c>
      <c r="AK26">
        <v>3</v>
      </c>
      <c r="AL26">
        <v>2</v>
      </c>
      <c r="AM26">
        <v>3</v>
      </c>
      <c r="AN26">
        <v>3</v>
      </c>
      <c r="AO26">
        <v>4</v>
      </c>
      <c r="AP26">
        <v>3</v>
      </c>
      <c r="AQ26">
        <v>5</v>
      </c>
      <c r="AR26" t="s">
        <v>111</v>
      </c>
    </row>
    <row r="27" spans="1:44" x14ac:dyDescent="0.25">
      <c r="A27" t="s">
        <v>335</v>
      </c>
      <c r="B27" t="s">
        <v>336</v>
      </c>
      <c r="C27" t="s">
        <v>42</v>
      </c>
      <c r="D27" t="s">
        <v>337</v>
      </c>
      <c r="E27" t="s">
        <v>112</v>
      </c>
      <c r="F27">
        <f>_xlfn.NUMBERVALUE(Table_EH_Pre_Survey_May_20__2023_08_224[[#This Row],[Duration (in seconds) - Duration (in seconds)2]])</f>
        <v>335</v>
      </c>
      <c r="G27" t="s">
        <v>338</v>
      </c>
      <c r="H27" t="s">
        <v>114</v>
      </c>
      <c r="I27" t="s">
        <v>339</v>
      </c>
      <c r="J27" t="s">
        <v>340</v>
      </c>
      <c r="K27" t="s">
        <v>111</v>
      </c>
      <c r="L27" t="s">
        <v>111</v>
      </c>
      <c r="M27" t="s">
        <v>111</v>
      </c>
      <c r="N27" t="s">
        <v>111</v>
      </c>
      <c r="O27" t="s">
        <v>341</v>
      </c>
      <c r="P27" t="s">
        <v>342</v>
      </c>
      <c r="Q27" t="s">
        <v>127</v>
      </c>
      <c r="R27" t="s">
        <v>117</v>
      </c>
      <c r="S27" s="17" t="s">
        <v>343</v>
      </c>
      <c r="T27" s="17" t="str">
        <f>VLOOKUP(Table_EH_Pre_Survey_May_20__2023_08_224[[#This Row],[Q1 - NetID Post-Survey]], 'Post-Survey Matched Set (36)'!S:S, 1,FALSE)</f>
        <v>pmg128</v>
      </c>
      <c r="U27" s="8">
        <v>5</v>
      </c>
      <c r="V27" s="4">
        <v>4</v>
      </c>
      <c r="W27" s="4">
        <v>5</v>
      </c>
      <c r="X27" s="4">
        <v>5</v>
      </c>
      <c r="Y27" s="4">
        <v>4</v>
      </c>
      <c r="Z27" s="4">
        <v>5</v>
      </c>
      <c r="AA27" s="4">
        <v>5</v>
      </c>
      <c r="AB27" s="4">
        <v>4</v>
      </c>
      <c r="AC27" s="2">
        <v>3.5</v>
      </c>
      <c r="AD27" s="2">
        <f>IF(Table_EH_Pre_Survey_May_20__2023_08_224[[#This Row],[Q4_1]] = 3, 1, IF(Table_EH_Pre_Survey_May_20__2023_08_224[[#This Row],[Q4_1]] = 2.5, 0.5, IF(Table_EH_Pre_Survey_May_20__2023_08_224[[#This Row],[Q4_1]] = 3.5, 0.5, 0)))</f>
        <v>0.5</v>
      </c>
      <c r="AE27" t="s">
        <v>130</v>
      </c>
      <c r="AF27">
        <f>IF(Table_EH_Pre_Survey_May_20__2023_08_224[[#This Row],[Q5 ]]="PM &lt; 2.5 μm", 1, 0)</f>
        <v>0</v>
      </c>
      <c r="AG27" t="s">
        <v>175</v>
      </c>
      <c r="AH27">
        <f>IF(Table_EH_Pre_Survey_May_20__2023_08_224[[#This Row],[Q6]]="Particles of this size are generally absorbed in the respiratory tract and safely excreted in mucus.", 1, 0)</f>
        <v>1</v>
      </c>
      <c r="AI27" t="s">
        <v>156</v>
      </c>
      <c r="AJ27">
        <f>IF(ISNUMBER(SEARCH("Trucks", Table_EH_Pre_Survey_May_20__2023_08_224[[#This Row],[Q7 ]])) = TRUE, 1, 0) + IF(ISNUMBER(SEARCH("Cars", Table_EH_Pre_Survey_May_20__2023_08_224[[#This Row],[Q7 ]])) = TRUE, 1, 0) + IF(ISNUMBER(SEARCH("Fireplaces", Table_EH_Pre_Survey_May_20__2023_08_224[[#This Row],[Q7 ]])) = TRUE, 1, 0) + IF(ISNUMBER(SEARCH("Dirt Roads",Table_EH_Pre_Survey_May_20__2023_08_224[[#This Row],[Q7 ]])) = TRUE, 1, 0) - IF(ISNUMBER(SEARCH("Electric Vehicles",Table_EH_Pre_Survey_May_20__2023_08_224[[#This Row],[Q7 ]])) = TRUE, 1, 0) - IF(ISNUMBER(SEARCH("Pollen", Table_EH_Pre_Survey_May_20__2023_08_224[[#This Row],[Q7 ]])) = TRUE, 1, 0)</f>
        <v>4</v>
      </c>
      <c r="AK27">
        <v>1</v>
      </c>
      <c r="AL27">
        <v>1</v>
      </c>
      <c r="AM27">
        <v>2</v>
      </c>
      <c r="AN27">
        <v>1</v>
      </c>
      <c r="AO27">
        <v>4</v>
      </c>
      <c r="AP27">
        <v>1</v>
      </c>
      <c r="AQ27">
        <v>7</v>
      </c>
      <c r="AR27" t="s">
        <v>344</v>
      </c>
    </row>
    <row r="28" spans="1:44" x14ac:dyDescent="0.25">
      <c r="A28" t="s">
        <v>354</v>
      </c>
      <c r="B28" t="s">
        <v>355</v>
      </c>
      <c r="C28" t="s">
        <v>42</v>
      </c>
      <c r="D28" t="s">
        <v>356</v>
      </c>
      <c r="E28" t="s">
        <v>112</v>
      </c>
      <c r="F28">
        <f>_xlfn.NUMBERVALUE(Table_EH_Pre_Survey_May_20__2023_08_224[[#This Row],[Duration (in seconds) - Duration (in seconds)2]])</f>
        <v>322</v>
      </c>
      <c r="G28" t="s">
        <v>357</v>
      </c>
      <c r="H28" t="s">
        <v>114</v>
      </c>
      <c r="I28" t="s">
        <v>358</v>
      </c>
      <c r="J28" t="s">
        <v>359</v>
      </c>
      <c r="K28" t="s">
        <v>111</v>
      </c>
      <c r="L28" t="s">
        <v>111</v>
      </c>
      <c r="M28" t="s">
        <v>111</v>
      </c>
      <c r="N28" t="s">
        <v>111</v>
      </c>
      <c r="O28" t="s">
        <v>360</v>
      </c>
      <c r="P28" t="s">
        <v>361</v>
      </c>
      <c r="Q28" t="s">
        <v>127</v>
      </c>
      <c r="R28" t="s">
        <v>117</v>
      </c>
      <c r="S28" s="17" t="s">
        <v>362</v>
      </c>
      <c r="T28" s="17" t="str">
        <f>VLOOKUP(Table_EH_Pre_Survey_May_20__2023_08_224[[#This Row],[Q1 - NetID Post-Survey]], 'Post-Survey Matched Set (36)'!S:S, 1,FALSE)</f>
        <v>rd968</v>
      </c>
      <c r="U28" s="8">
        <v>3</v>
      </c>
      <c r="V28" s="4">
        <v>2</v>
      </c>
      <c r="W28" s="4">
        <v>2</v>
      </c>
      <c r="X28" s="4">
        <v>5</v>
      </c>
      <c r="Y28" s="4">
        <v>1</v>
      </c>
      <c r="Z28" s="4">
        <v>3</v>
      </c>
      <c r="AA28" s="4">
        <v>5</v>
      </c>
      <c r="AB28" s="4">
        <v>2</v>
      </c>
      <c r="AC28" s="2">
        <v>3.5</v>
      </c>
      <c r="AD28" s="2">
        <f>IF(Table_EH_Pre_Survey_May_20__2023_08_224[[#This Row],[Q4_1]] = 3, 1, IF(Table_EH_Pre_Survey_May_20__2023_08_224[[#This Row],[Q4_1]] = 2.5, 0.5, IF(Table_EH_Pre_Survey_May_20__2023_08_224[[#This Row],[Q4_1]] = 3.5, 0.5, 0)))</f>
        <v>0.5</v>
      </c>
      <c r="AE28" t="s">
        <v>185</v>
      </c>
      <c r="AF28">
        <f>IF(Table_EH_Pre_Survey_May_20__2023_08_224[[#This Row],[Q5 ]]="PM &lt; 2.5 μm", 1, 0)</f>
        <v>0</v>
      </c>
      <c r="AG28" t="s">
        <v>175</v>
      </c>
      <c r="AH28">
        <f>IF(Table_EH_Pre_Survey_May_20__2023_08_224[[#This Row],[Q6]]="Particles of this size are generally absorbed in the respiratory tract and safely excreted in mucus.", 1, 0)</f>
        <v>1</v>
      </c>
      <c r="AI28" t="s">
        <v>167</v>
      </c>
      <c r="AJ28">
        <f>IF(ISNUMBER(SEARCH("Trucks", Table_EH_Pre_Survey_May_20__2023_08_224[[#This Row],[Q7 ]])) = TRUE, 1, 0) + IF(ISNUMBER(SEARCH("Cars", Table_EH_Pre_Survey_May_20__2023_08_224[[#This Row],[Q7 ]])) = TRUE, 1, 0) + IF(ISNUMBER(SEARCH("Fireplaces", Table_EH_Pre_Survey_May_20__2023_08_224[[#This Row],[Q7 ]])) = TRUE, 1, 0) + IF(ISNUMBER(SEARCH("Dirt Roads",Table_EH_Pre_Survey_May_20__2023_08_224[[#This Row],[Q7 ]])) = TRUE, 1, 0) - IF(ISNUMBER(SEARCH("Electric Vehicles",Table_EH_Pre_Survey_May_20__2023_08_224[[#This Row],[Q7 ]])) = TRUE, 1, 0) - IF(ISNUMBER(SEARCH("Pollen", Table_EH_Pre_Survey_May_20__2023_08_224[[#This Row],[Q7 ]])) = TRUE, 1, 0)</f>
        <v>3</v>
      </c>
      <c r="AK28">
        <v>1</v>
      </c>
      <c r="AL28">
        <v>4</v>
      </c>
      <c r="AM28">
        <v>4</v>
      </c>
      <c r="AN28">
        <v>4</v>
      </c>
      <c r="AO28">
        <v>4</v>
      </c>
      <c r="AP28">
        <v>3</v>
      </c>
      <c r="AQ28">
        <v>9</v>
      </c>
      <c r="AR28" t="s">
        <v>363</v>
      </c>
    </row>
    <row r="29" spans="1:44" x14ac:dyDescent="0.25">
      <c r="A29" t="s">
        <v>806</v>
      </c>
      <c r="B29" t="s">
        <v>807</v>
      </c>
      <c r="C29" t="s">
        <v>42</v>
      </c>
      <c r="D29" t="s">
        <v>808</v>
      </c>
      <c r="E29" t="s">
        <v>112</v>
      </c>
      <c r="F29">
        <f>_xlfn.NUMBERVALUE(Table_EH_Pre_Survey_May_20__2023_08_224[[#This Row],[Duration (in seconds) - Duration (in seconds)2]])</f>
        <v>193</v>
      </c>
      <c r="G29" t="s">
        <v>809</v>
      </c>
      <c r="H29" t="s">
        <v>114</v>
      </c>
      <c r="I29" t="s">
        <v>807</v>
      </c>
      <c r="J29" t="s">
        <v>810</v>
      </c>
      <c r="K29" t="s">
        <v>111</v>
      </c>
      <c r="L29" t="s">
        <v>111</v>
      </c>
      <c r="M29" t="s">
        <v>111</v>
      </c>
      <c r="N29" t="s">
        <v>111</v>
      </c>
      <c r="O29" t="s">
        <v>164</v>
      </c>
      <c r="P29" t="s">
        <v>165</v>
      </c>
      <c r="Q29" t="s">
        <v>127</v>
      </c>
      <c r="R29" t="s">
        <v>117</v>
      </c>
      <c r="S29" s="17" t="s">
        <v>811</v>
      </c>
      <c r="T29" s="17" t="str">
        <f>VLOOKUP(Table_EH_Pre_Survey_May_20__2023_08_224[[#This Row],[Q1 - NetID Post-Survey]], 'Post-Survey Matched Set (36)'!S:S, 1,FALSE)</f>
        <v>Sc1700</v>
      </c>
      <c r="U29" s="8">
        <v>4</v>
      </c>
      <c r="V29" s="4">
        <v>2</v>
      </c>
      <c r="W29" s="4">
        <v>3</v>
      </c>
      <c r="X29" s="4">
        <v>4</v>
      </c>
      <c r="Y29" s="4">
        <v>4</v>
      </c>
      <c r="Z29" s="4">
        <v>4</v>
      </c>
      <c r="AA29" s="4">
        <v>4</v>
      </c>
      <c r="AB29" s="4">
        <v>2</v>
      </c>
      <c r="AC29" s="2">
        <v>3</v>
      </c>
      <c r="AD29" s="2">
        <f>IF(Table_EH_Pre_Survey_May_20__2023_08_224[[#This Row],[Q4_1]] = 3, 1, IF(Table_EH_Pre_Survey_May_20__2023_08_224[[#This Row],[Q4_1]] = 2.5, 0.5, IF(Table_EH_Pre_Survey_May_20__2023_08_224[[#This Row],[Q4_1]] = 3.5, 0.5, 0)))</f>
        <v>1</v>
      </c>
      <c r="AE29" t="s">
        <v>140</v>
      </c>
      <c r="AF29">
        <f>IF(Table_EH_Pre_Survey_May_20__2023_08_224[[#This Row],[Q5 ]]="PM &lt; 2.5 μm", 1, 0)</f>
        <v>1</v>
      </c>
      <c r="AG29" t="s">
        <v>141</v>
      </c>
      <c r="AH29">
        <f>IF(Table_EH_Pre_Survey_May_20__2023_08_224[[#This Row],[Q6]]="Particles of this size are generally absorbed in the respiratory tract and safely excreted in mucus.", 1, 0)</f>
        <v>0</v>
      </c>
      <c r="AI29" t="s">
        <v>167</v>
      </c>
      <c r="AJ29">
        <f>IF(ISNUMBER(SEARCH("Trucks", Table_EH_Pre_Survey_May_20__2023_08_224[[#This Row],[Q7 ]])) = TRUE, 1, 0) + IF(ISNUMBER(SEARCH("Cars", Table_EH_Pre_Survey_May_20__2023_08_224[[#This Row],[Q7 ]])) = TRUE, 1, 0) + IF(ISNUMBER(SEARCH("Fireplaces", Table_EH_Pre_Survey_May_20__2023_08_224[[#This Row],[Q7 ]])) = TRUE, 1, 0) + IF(ISNUMBER(SEARCH("Dirt Roads",Table_EH_Pre_Survey_May_20__2023_08_224[[#This Row],[Q7 ]])) = TRUE, 1, 0) - IF(ISNUMBER(SEARCH("Electric Vehicles",Table_EH_Pre_Survey_May_20__2023_08_224[[#This Row],[Q7 ]])) = TRUE, 1, 0) - IF(ISNUMBER(SEARCH("Pollen", Table_EH_Pre_Survey_May_20__2023_08_224[[#This Row],[Q7 ]])) = TRUE, 1, 0)</f>
        <v>3</v>
      </c>
      <c r="AK29">
        <v>3</v>
      </c>
      <c r="AL29">
        <v>2</v>
      </c>
      <c r="AM29">
        <v>3</v>
      </c>
      <c r="AN29">
        <v>3</v>
      </c>
      <c r="AO29">
        <v>3</v>
      </c>
      <c r="AP29">
        <v>3</v>
      </c>
      <c r="AQ29">
        <v>8</v>
      </c>
      <c r="AR29" t="s">
        <v>812</v>
      </c>
    </row>
    <row r="30" spans="1:44" x14ac:dyDescent="0.25">
      <c r="A30" t="s">
        <v>498</v>
      </c>
      <c r="B30" t="s">
        <v>499</v>
      </c>
      <c r="C30" t="s">
        <v>42</v>
      </c>
      <c r="D30" t="s">
        <v>500</v>
      </c>
      <c r="E30" t="s">
        <v>112</v>
      </c>
      <c r="F30">
        <f>_xlfn.NUMBERVALUE(Table_EH_Pre_Survey_May_20__2023_08_224[[#This Row],[Duration (in seconds) - Duration (in seconds)2]])</f>
        <v>127</v>
      </c>
      <c r="G30" t="s">
        <v>501</v>
      </c>
      <c r="H30" t="s">
        <v>114</v>
      </c>
      <c r="I30" t="s">
        <v>502</v>
      </c>
      <c r="J30" t="s">
        <v>503</v>
      </c>
      <c r="K30" t="s">
        <v>111</v>
      </c>
      <c r="L30" t="s">
        <v>111</v>
      </c>
      <c r="M30" t="s">
        <v>111</v>
      </c>
      <c r="N30" t="s">
        <v>111</v>
      </c>
      <c r="O30" t="s">
        <v>351</v>
      </c>
      <c r="P30" t="s">
        <v>352</v>
      </c>
      <c r="Q30" t="s">
        <v>127</v>
      </c>
      <c r="R30" t="s">
        <v>117</v>
      </c>
      <c r="S30" s="17" t="s">
        <v>504</v>
      </c>
      <c r="T30" s="17" t="str">
        <f>VLOOKUP(Table_EH_Pre_Survey_May_20__2023_08_224[[#This Row],[Q1 - NetID Post-Survey]], 'Post-Survey Matched Set (36)'!S:S, 1,FALSE)</f>
        <v>Sef122</v>
      </c>
      <c r="U30" s="8">
        <v>3</v>
      </c>
      <c r="V30" s="4">
        <v>3</v>
      </c>
      <c r="W30" s="4">
        <v>3</v>
      </c>
      <c r="X30" s="4">
        <v>4</v>
      </c>
      <c r="Y30" s="4">
        <v>3</v>
      </c>
      <c r="Z30" s="4">
        <v>4</v>
      </c>
      <c r="AA30" s="4">
        <v>5</v>
      </c>
      <c r="AB30" s="4">
        <v>2</v>
      </c>
      <c r="AC30" s="2">
        <v>4</v>
      </c>
      <c r="AD30" s="2">
        <f>IF(Table_EH_Pre_Survey_May_20__2023_08_224[[#This Row],[Q4_1]] = 3, 1, IF(Table_EH_Pre_Survey_May_20__2023_08_224[[#This Row],[Q4_1]] = 2.5, 0.5, IF(Table_EH_Pre_Survey_May_20__2023_08_224[[#This Row],[Q4_1]] = 3.5, 0.5, 0)))</f>
        <v>0</v>
      </c>
      <c r="AE30" t="s">
        <v>185</v>
      </c>
      <c r="AF30">
        <f>IF(Table_EH_Pre_Survey_May_20__2023_08_224[[#This Row],[Q5 ]]="PM &lt; 2.5 μm", 1, 0)</f>
        <v>0</v>
      </c>
      <c r="AG30" t="s">
        <v>141</v>
      </c>
      <c r="AH30">
        <f>IF(Table_EH_Pre_Survey_May_20__2023_08_224[[#This Row],[Q6]]="Particles of this size are generally absorbed in the respiratory tract and safely excreted in mucus.", 1, 0)</f>
        <v>0</v>
      </c>
      <c r="AI30" t="s">
        <v>186</v>
      </c>
      <c r="AJ30">
        <f>IF(ISNUMBER(SEARCH("Trucks", Table_EH_Pre_Survey_May_20__2023_08_224[[#This Row],[Q7 ]])) = TRUE, 1, 0) + IF(ISNUMBER(SEARCH("Cars", Table_EH_Pre_Survey_May_20__2023_08_224[[#This Row],[Q7 ]])) = TRUE, 1, 0) + IF(ISNUMBER(SEARCH("Fireplaces", Table_EH_Pre_Survey_May_20__2023_08_224[[#This Row],[Q7 ]])) = TRUE, 1, 0) + IF(ISNUMBER(SEARCH("Dirt Roads",Table_EH_Pre_Survey_May_20__2023_08_224[[#This Row],[Q7 ]])) = TRUE, 1, 0) - IF(ISNUMBER(SEARCH("Electric Vehicles",Table_EH_Pre_Survey_May_20__2023_08_224[[#This Row],[Q7 ]])) = TRUE, 1, 0) - IF(ISNUMBER(SEARCH("Pollen", Table_EH_Pre_Survey_May_20__2023_08_224[[#This Row],[Q7 ]])) = TRUE, 1, 0)</f>
        <v>3</v>
      </c>
      <c r="AK30">
        <v>3</v>
      </c>
      <c r="AL30">
        <v>3</v>
      </c>
      <c r="AM30">
        <v>3</v>
      </c>
      <c r="AN30">
        <v>3</v>
      </c>
      <c r="AO30">
        <v>3</v>
      </c>
      <c r="AP30">
        <v>3</v>
      </c>
      <c r="AQ30">
        <v>8</v>
      </c>
      <c r="AR30" t="s">
        <v>111</v>
      </c>
    </row>
    <row r="31" spans="1:44" x14ac:dyDescent="0.25">
      <c r="A31" t="s">
        <v>528</v>
      </c>
      <c r="B31" t="s">
        <v>522</v>
      </c>
      <c r="C31" t="s">
        <v>42</v>
      </c>
      <c r="D31" t="s">
        <v>389</v>
      </c>
      <c r="E31" t="s">
        <v>112</v>
      </c>
      <c r="F31">
        <f>_xlfn.NUMBERVALUE(Table_EH_Pre_Survey_May_20__2023_08_224[[#This Row],[Duration (in seconds) - Duration (in seconds)2]])</f>
        <v>71</v>
      </c>
      <c r="G31" t="s">
        <v>529</v>
      </c>
      <c r="H31" t="s">
        <v>114</v>
      </c>
      <c r="I31" t="s">
        <v>522</v>
      </c>
      <c r="J31" t="s">
        <v>530</v>
      </c>
      <c r="K31" t="s">
        <v>111</v>
      </c>
      <c r="L31" t="s">
        <v>111</v>
      </c>
      <c r="M31" t="s">
        <v>111</v>
      </c>
      <c r="N31" t="s">
        <v>111</v>
      </c>
      <c r="O31" t="s">
        <v>392</v>
      </c>
      <c r="P31" t="s">
        <v>393</v>
      </c>
      <c r="Q31" t="s">
        <v>487</v>
      </c>
      <c r="R31" t="s">
        <v>117</v>
      </c>
      <c r="S31" s="17" t="s">
        <v>531</v>
      </c>
      <c r="T31" s="17" t="str">
        <f>VLOOKUP(Table_EH_Pre_Survey_May_20__2023_08_224[[#This Row],[Q1 - NetID Post-Survey]], 'Post-Survey Matched Set (36)'!S:S, 1,FALSE)</f>
        <v>Sje67</v>
      </c>
      <c r="U31" s="8">
        <v>4</v>
      </c>
      <c r="V31" s="4">
        <v>4</v>
      </c>
      <c r="W31" s="4">
        <v>1</v>
      </c>
      <c r="X31" s="4">
        <v>5</v>
      </c>
      <c r="Y31" s="4">
        <v>3</v>
      </c>
      <c r="Z31" s="4">
        <v>3</v>
      </c>
      <c r="AA31" s="4">
        <v>5</v>
      </c>
      <c r="AB31" s="4">
        <v>4</v>
      </c>
      <c r="AC31" s="2">
        <v>2.5</v>
      </c>
      <c r="AD31" s="2">
        <f>IF(Table_EH_Pre_Survey_May_20__2023_08_224[[#This Row],[Q4_1]] = 3, 1, IF(Table_EH_Pre_Survey_May_20__2023_08_224[[#This Row],[Q4_1]] = 2.5, 0.5, IF(Table_EH_Pre_Survey_May_20__2023_08_224[[#This Row],[Q4_1]] = 3.5, 0.5, 0)))</f>
        <v>0.5</v>
      </c>
      <c r="AE31" t="s">
        <v>130</v>
      </c>
      <c r="AF31">
        <f>IF(Table_EH_Pre_Survey_May_20__2023_08_224[[#This Row],[Q5 ]]="PM &lt; 2.5 μm", 1, 0)</f>
        <v>0</v>
      </c>
      <c r="AG31" t="s">
        <v>175</v>
      </c>
      <c r="AH31">
        <f>IF(Table_EH_Pre_Survey_May_20__2023_08_224[[#This Row],[Q6]]="Particles of this size are generally absorbed in the respiratory tract and safely excreted in mucus.", 1, 0)</f>
        <v>1</v>
      </c>
      <c r="AI31" t="s">
        <v>532</v>
      </c>
      <c r="AJ31">
        <f>IF(ISNUMBER(SEARCH("Trucks", Table_EH_Pre_Survey_May_20__2023_08_224[[#This Row],[Q7 ]])) = TRUE, 1, 0) + IF(ISNUMBER(SEARCH("Cars", Table_EH_Pre_Survey_May_20__2023_08_224[[#This Row],[Q7 ]])) = TRUE, 1, 0) + IF(ISNUMBER(SEARCH("Fireplaces", Table_EH_Pre_Survey_May_20__2023_08_224[[#This Row],[Q7 ]])) = TRUE, 1, 0) + IF(ISNUMBER(SEARCH("Dirt Roads",Table_EH_Pre_Survey_May_20__2023_08_224[[#This Row],[Q7 ]])) = TRUE, 1, 0) - IF(ISNUMBER(SEARCH("Electric Vehicles",Table_EH_Pre_Survey_May_20__2023_08_224[[#This Row],[Q7 ]])) = TRUE, 1, 0) - IF(ISNUMBER(SEARCH("Pollen", Table_EH_Pre_Survey_May_20__2023_08_224[[#This Row],[Q7 ]])) = TRUE, 1, 0)</f>
        <v>-1</v>
      </c>
      <c r="AK31">
        <v>3</v>
      </c>
      <c r="AL31">
        <v>2</v>
      </c>
      <c r="AM31">
        <v>4</v>
      </c>
      <c r="AN31">
        <v>3</v>
      </c>
      <c r="AO31">
        <v>4</v>
      </c>
      <c r="AP31">
        <v>3</v>
      </c>
      <c r="AQ31">
        <v>6</v>
      </c>
      <c r="AR31" t="s">
        <v>111</v>
      </c>
    </row>
    <row r="32" spans="1:44" x14ac:dyDescent="0.25">
      <c r="A32" t="s">
        <v>659</v>
      </c>
      <c r="B32" t="s">
        <v>660</v>
      </c>
      <c r="C32" t="s">
        <v>42</v>
      </c>
      <c r="D32" t="s">
        <v>661</v>
      </c>
      <c r="E32" t="s">
        <v>112</v>
      </c>
      <c r="F32">
        <f>_xlfn.NUMBERVALUE(Table_EH_Pre_Survey_May_20__2023_08_224[[#This Row],[Duration (in seconds) - Duration (in seconds)2]])</f>
        <v>160</v>
      </c>
      <c r="G32" t="s">
        <v>662</v>
      </c>
      <c r="H32" t="s">
        <v>114</v>
      </c>
      <c r="I32" t="s">
        <v>660</v>
      </c>
      <c r="J32" t="s">
        <v>663</v>
      </c>
      <c r="K32" t="s">
        <v>111</v>
      </c>
      <c r="L32" t="s">
        <v>111</v>
      </c>
      <c r="M32" t="s">
        <v>111</v>
      </c>
      <c r="N32" t="s">
        <v>111</v>
      </c>
      <c r="O32" t="s">
        <v>115</v>
      </c>
      <c r="P32" t="s">
        <v>116</v>
      </c>
      <c r="Q32" t="s">
        <v>127</v>
      </c>
      <c r="R32" t="s">
        <v>117</v>
      </c>
      <c r="S32" s="17" t="s">
        <v>664</v>
      </c>
      <c r="T32" s="17" t="str">
        <f>VLOOKUP(Table_EH_Pre_Survey_May_20__2023_08_224[[#This Row],[Q1 - NetID Post-Survey]], 'Post-Survey Matched Set (36)'!S:S, 1,FALSE)</f>
        <v>Sp2098</v>
      </c>
      <c r="U32" s="8">
        <v>5</v>
      </c>
      <c r="V32" s="4">
        <v>4</v>
      </c>
      <c r="W32" s="4">
        <v>5</v>
      </c>
      <c r="X32" s="4">
        <v>5</v>
      </c>
      <c r="Y32" s="4">
        <v>5</v>
      </c>
      <c r="Z32" s="4">
        <v>3</v>
      </c>
      <c r="AA32" s="4">
        <v>5</v>
      </c>
      <c r="AB32" s="4">
        <v>3</v>
      </c>
      <c r="AC32" s="2">
        <v>4.5</v>
      </c>
      <c r="AD32" s="2">
        <f>IF(Table_EH_Pre_Survey_May_20__2023_08_224[[#This Row],[Q4_1]] = 3, 1, IF(Table_EH_Pre_Survey_May_20__2023_08_224[[#This Row],[Q4_1]] = 2.5, 0.5, IF(Table_EH_Pre_Survey_May_20__2023_08_224[[#This Row],[Q4_1]] = 3.5, 0.5, 0)))</f>
        <v>0</v>
      </c>
      <c r="AE32" t="s">
        <v>130</v>
      </c>
      <c r="AF32">
        <f>IF(Table_EH_Pre_Survey_May_20__2023_08_224[[#This Row],[Q5 ]]="PM &lt; 2.5 μm", 1, 0)</f>
        <v>0</v>
      </c>
      <c r="AG32" t="s">
        <v>155</v>
      </c>
      <c r="AH32">
        <f>IF(Table_EH_Pre_Survey_May_20__2023_08_224[[#This Row],[Q6]]="Particles of this size are generally absorbed in the respiratory tract and safely excreted in mucus.", 1, 0)</f>
        <v>0</v>
      </c>
      <c r="AI32" t="s">
        <v>167</v>
      </c>
      <c r="AJ32">
        <f>IF(ISNUMBER(SEARCH("Trucks", Table_EH_Pre_Survey_May_20__2023_08_224[[#This Row],[Q7 ]])) = TRUE, 1, 0) + IF(ISNUMBER(SEARCH("Cars", Table_EH_Pre_Survey_May_20__2023_08_224[[#This Row],[Q7 ]])) = TRUE, 1, 0) + IF(ISNUMBER(SEARCH("Fireplaces", Table_EH_Pre_Survey_May_20__2023_08_224[[#This Row],[Q7 ]])) = TRUE, 1, 0) + IF(ISNUMBER(SEARCH("Dirt Roads",Table_EH_Pre_Survey_May_20__2023_08_224[[#This Row],[Q7 ]])) = TRUE, 1, 0) - IF(ISNUMBER(SEARCH("Electric Vehicles",Table_EH_Pre_Survey_May_20__2023_08_224[[#This Row],[Q7 ]])) = TRUE, 1, 0) - IF(ISNUMBER(SEARCH("Pollen", Table_EH_Pre_Survey_May_20__2023_08_224[[#This Row],[Q7 ]])) = TRUE, 1, 0)</f>
        <v>3</v>
      </c>
      <c r="AK32">
        <v>4</v>
      </c>
      <c r="AL32">
        <v>1</v>
      </c>
      <c r="AM32">
        <v>4</v>
      </c>
      <c r="AN32">
        <v>4</v>
      </c>
      <c r="AO32">
        <v>4</v>
      </c>
      <c r="AP32">
        <v>3</v>
      </c>
      <c r="AQ32">
        <v>7</v>
      </c>
      <c r="AR32" t="s">
        <v>665</v>
      </c>
    </row>
    <row r="33" spans="1:44" x14ac:dyDescent="0.25">
      <c r="A33" t="s">
        <v>533</v>
      </c>
      <c r="B33" t="s">
        <v>534</v>
      </c>
      <c r="C33" t="s">
        <v>42</v>
      </c>
      <c r="D33" t="s">
        <v>535</v>
      </c>
      <c r="E33" t="s">
        <v>112</v>
      </c>
      <c r="F33">
        <f>_xlfn.NUMBERVALUE(Table_EH_Pre_Survey_May_20__2023_08_224[[#This Row],[Duration (in seconds) - Duration (in seconds)2]])</f>
        <v>344</v>
      </c>
      <c r="G33" t="s">
        <v>536</v>
      </c>
      <c r="H33" t="s">
        <v>114</v>
      </c>
      <c r="I33" t="s">
        <v>534</v>
      </c>
      <c r="J33" t="s">
        <v>537</v>
      </c>
      <c r="K33" t="s">
        <v>111</v>
      </c>
      <c r="L33" t="s">
        <v>111</v>
      </c>
      <c r="M33" t="s">
        <v>111</v>
      </c>
      <c r="N33" t="s">
        <v>111</v>
      </c>
      <c r="O33" t="s">
        <v>351</v>
      </c>
      <c r="P33" t="s">
        <v>352</v>
      </c>
      <c r="Q33" t="s">
        <v>127</v>
      </c>
      <c r="R33" t="s">
        <v>117</v>
      </c>
      <c r="S33" s="17" t="s">
        <v>538</v>
      </c>
      <c r="T33" s="17" t="str">
        <f>VLOOKUP(Table_EH_Pre_Survey_May_20__2023_08_224[[#This Row],[Q1 - NetID Post-Survey]], 'Post-Survey Matched Set (36)'!S:S, 1,FALSE)</f>
        <v>Sph108</v>
      </c>
      <c r="U33" s="8">
        <v>2</v>
      </c>
      <c r="V33" s="4">
        <v>3</v>
      </c>
      <c r="W33" s="4">
        <v>4</v>
      </c>
      <c r="X33" s="4">
        <v>5</v>
      </c>
      <c r="Y33" s="4">
        <v>4</v>
      </c>
      <c r="Z33" s="4">
        <v>2</v>
      </c>
      <c r="AA33" s="4">
        <v>5</v>
      </c>
      <c r="AB33" s="4">
        <v>2</v>
      </c>
      <c r="AC33" s="2">
        <v>3</v>
      </c>
      <c r="AD33" s="2">
        <f>IF(Table_EH_Pre_Survey_May_20__2023_08_224[[#This Row],[Q4_1]] = 3, 1, IF(Table_EH_Pre_Survey_May_20__2023_08_224[[#This Row],[Q4_1]] = 2.5, 0.5, IF(Table_EH_Pre_Survey_May_20__2023_08_224[[#This Row],[Q4_1]] = 3.5, 0.5, 0)))</f>
        <v>1</v>
      </c>
      <c r="AE33" t="s">
        <v>185</v>
      </c>
      <c r="AF33">
        <f>IF(Table_EH_Pre_Survey_May_20__2023_08_224[[#This Row],[Q5 ]]="PM &lt; 2.5 μm", 1, 0)</f>
        <v>0</v>
      </c>
      <c r="AG33" t="s">
        <v>141</v>
      </c>
      <c r="AH33">
        <f>IF(Table_EH_Pre_Survey_May_20__2023_08_224[[#This Row],[Q6]]="Particles of this size are generally absorbed in the respiratory tract and safely excreted in mucus.", 1, 0)</f>
        <v>0</v>
      </c>
      <c r="AI33" t="s">
        <v>156</v>
      </c>
      <c r="AJ33">
        <f>IF(ISNUMBER(SEARCH("Trucks", Table_EH_Pre_Survey_May_20__2023_08_224[[#This Row],[Q7 ]])) = TRUE, 1, 0) + IF(ISNUMBER(SEARCH("Cars", Table_EH_Pre_Survey_May_20__2023_08_224[[#This Row],[Q7 ]])) = TRUE, 1, 0) + IF(ISNUMBER(SEARCH("Fireplaces", Table_EH_Pre_Survey_May_20__2023_08_224[[#This Row],[Q7 ]])) = TRUE, 1, 0) + IF(ISNUMBER(SEARCH("Dirt Roads",Table_EH_Pre_Survey_May_20__2023_08_224[[#This Row],[Q7 ]])) = TRUE, 1, 0) - IF(ISNUMBER(SEARCH("Electric Vehicles",Table_EH_Pre_Survey_May_20__2023_08_224[[#This Row],[Q7 ]])) = TRUE, 1, 0) - IF(ISNUMBER(SEARCH("Pollen", Table_EH_Pre_Survey_May_20__2023_08_224[[#This Row],[Q7 ]])) = TRUE, 1, 0)</f>
        <v>4</v>
      </c>
      <c r="AK33">
        <v>4</v>
      </c>
      <c r="AL33">
        <v>4</v>
      </c>
      <c r="AM33">
        <v>3</v>
      </c>
      <c r="AN33">
        <v>5</v>
      </c>
      <c r="AO33">
        <v>2</v>
      </c>
      <c r="AP33">
        <v>5</v>
      </c>
      <c r="AQ33">
        <v>7</v>
      </c>
      <c r="AR33" t="s">
        <v>539</v>
      </c>
    </row>
    <row r="34" spans="1:44" x14ac:dyDescent="0.25">
      <c r="A34" t="s">
        <v>577</v>
      </c>
      <c r="B34" t="s">
        <v>578</v>
      </c>
      <c r="C34" t="s">
        <v>42</v>
      </c>
      <c r="D34" t="s">
        <v>579</v>
      </c>
      <c r="E34" t="s">
        <v>112</v>
      </c>
      <c r="F34">
        <f>_xlfn.NUMBERVALUE(Table_EH_Pre_Survey_May_20__2023_08_224[[#This Row],[Duration (in seconds) - Duration (in seconds)2]])</f>
        <v>137</v>
      </c>
      <c r="G34" t="s">
        <v>580</v>
      </c>
      <c r="H34" t="s">
        <v>114</v>
      </c>
      <c r="I34" t="s">
        <v>581</v>
      </c>
      <c r="J34" t="s">
        <v>582</v>
      </c>
      <c r="K34" t="s">
        <v>111</v>
      </c>
      <c r="L34" t="s">
        <v>111</v>
      </c>
      <c r="M34" t="s">
        <v>111</v>
      </c>
      <c r="N34" t="s">
        <v>111</v>
      </c>
      <c r="O34" t="s">
        <v>351</v>
      </c>
      <c r="P34" t="s">
        <v>352</v>
      </c>
      <c r="Q34" t="s">
        <v>127</v>
      </c>
      <c r="R34" t="s">
        <v>117</v>
      </c>
      <c r="S34" s="17" t="s">
        <v>583</v>
      </c>
      <c r="T34" s="17" t="str">
        <f>VLOOKUP(Table_EH_Pre_Survey_May_20__2023_08_224[[#This Row],[Q1 - NetID Post-Survey]], 'Post-Survey Matched Set (36)'!S:S, 1,FALSE)</f>
        <v>tw592</v>
      </c>
      <c r="U34" s="8">
        <v>3</v>
      </c>
      <c r="V34" s="4">
        <v>5</v>
      </c>
      <c r="W34" s="4">
        <v>3</v>
      </c>
      <c r="X34" s="4">
        <v>3</v>
      </c>
      <c r="Y34" s="4">
        <v>0</v>
      </c>
      <c r="Z34" s="4">
        <v>2</v>
      </c>
      <c r="AA34" s="4">
        <v>5</v>
      </c>
      <c r="AB34" s="4">
        <v>1</v>
      </c>
      <c r="AC34" s="2">
        <v>4</v>
      </c>
      <c r="AD34" s="2">
        <f>IF(Table_EH_Pre_Survey_May_20__2023_08_224[[#This Row],[Q4_1]] = 3, 1, IF(Table_EH_Pre_Survey_May_20__2023_08_224[[#This Row],[Q4_1]] = 2.5, 0.5, IF(Table_EH_Pre_Survey_May_20__2023_08_224[[#This Row],[Q4_1]] = 3.5, 0.5, 0)))</f>
        <v>0</v>
      </c>
      <c r="AE34" t="s">
        <v>140</v>
      </c>
      <c r="AF34">
        <f>IF(Table_EH_Pre_Survey_May_20__2023_08_224[[#This Row],[Q5 ]]="PM &lt; 2.5 μm", 1, 0)</f>
        <v>1</v>
      </c>
      <c r="AG34" t="s">
        <v>155</v>
      </c>
      <c r="AH34">
        <f>IF(Table_EH_Pre_Survey_May_20__2023_08_224[[#This Row],[Q6]]="Particles of this size are generally absorbed in the respiratory tract and safely excreted in mucus.", 1, 0)</f>
        <v>0</v>
      </c>
      <c r="AI34" t="s">
        <v>280</v>
      </c>
      <c r="AJ34">
        <f>IF(ISNUMBER(SEARCH("Trucks", Table_EH_Pre_Survey_May_20__2023_08_224[[#This Row],[Q7 ]])) = TRUE, 1, 0) + IF(ISNUMBER(SEARCH("Cars", Table_EH_Pre_Survey_May_20__2023_08_224[[#This Row],[Q7 ]])) = TRUE, 1, 0) + IF(ISNUMBER(SEARCH("Fireplaces", Table_EH_Pre_Survey_May_20__2023_08_224[[#This Row],[Q7 ]])) = TRUE, 1, 0) + IF(ISNUMBER(SEARCH("Dirt Roads",Table_EH_Pre_Survey_May_20__2023_08_224[[#This Row],[Q7 ]])) = TRUE, 1, 0) - IF(ISNUMBER(SEARCH("Electric Vehicles",Table_EH_Pre_Survey_May_20__2023_08_224[[#This Row],[Q7 ]])) = TRUE, 1, 0) - IF(ISNUMBER(SEARCH("Pollen", Table_EH_Pre_Survey_May_20__2023_08_224[[#This Row],[Q7 ]])) = TRUE, 1, 0)</f>
        <v>2</v>
      </c>
      <c r="AK34">
        <v>3</v>
      </c>
      <c r="AL34">
        <v>3</v>
      </c>
      <c r="AM34">
        <v>2</v>
      </c>
      <c r="AN34">
        <v>0</v>
      </c>
      <c r="AO34">
        <v>1</v>
      </c>
      <c r="AP34">
        <v>3</v>
      </c>
      <c r="AQ34">
        <v>5</v>
      </c>
      <c r="AR34" t="s">
        <v>584</v>
      </c>
    </row>
    <row r="35" spans="1:44" x14ac:dyDescent="0.25">
      <c r="A35" t="s">
        <v>565</v>
      </c>
      <c r="B35" t="s">
        <v>566</v>
      </c>
      <c r="C35" t="s">
        <v>42</v>
      </c>
      <c r="D35" t="s">
        <v>389</v>
      </c>
      <c r="E35" t="s">
        <v>112</v>
      </c>
      <c r="F35">
        <f>_xlfn.NUMBERVALUE(Table_EH_Pre_Survey_May_20__2023_08_224[[#This Row],[Duration (in seconds) - Duration (in seconds)2]])</f>
        <v>171</v>
      </c>
      <c r="G35" t="s">
        <v>567</v>
      </c>
      <c r="H35" t="s">
        <v>114</v>
      </c>
      <c r="I35" t="s">
        <v>566</v>
      </c>
      <c r="J35" t="s">
        <v>568</v>
      </c>
      <c r="K35" t="s">
        <v>111</v>
      </c>
      <c r="L35" t="s">
        <v>111</v>
      </c>
      <c r="M35" t="s">
        <v>111</v>
      </c>
      <c r="N35" t="s">
        <v>111</v>
      </c>
      <c r="O35" t="s">
        <v>392</v>
      </c>
      <c r="P35" t="s">
        <v>393</v>
      </c>
      <c r="Q35" t="s">
        <v>487</v>
      </c>
      <c r="R35" t="s">
        <v>117</v>
      </c>
      <c r="S35" s="17" t="s">
        <v>569</v>
      </c>
      <c r="T35" s="17" t="str">
        <f>VLOOKUP(Table_EH_Pre_Survey_May_20__2023_08_224[[#This Row],[Q1 - NetID Post-Survey]], 'Post-Survey Matched Set (36)'!S:S, 1,FALSE)</f>
        <v>uz14</v>
      </c>
      <c r="U35" s="8">
        <v>5</v>
      </c>
      <c r="V35" s="4">
        <v>4</v>
      </c>
      <c r="W35" s="4">
        <v>5</v>
      </c>
      <c r="X35" s="4">
        <v>5</v>
      </c>
      <c r="Y35" s="4">
        <v>3</v>
      </c>
      <c r="Z35" s="4">
        <v>5</v>
      </c>
      <c r="AA35" s="4">
        <v>5</v>
      </c>
      <c r="AB35" s="4"/>
      <c r="AC35" s="2">
        <v>3.5</v>
      </c>
      <c r="AD35" s="2">
        <f>IF(Table_EH_Pre_Survey_May_20__2023_08_224[[#This Row],[Q4_1]] = 3, 1, IF(Table_EH_Pre_Survey_May_20__2023_08_224[[#This Row],[Q4_1]] = 2.5, 0.5, IF(Table_EH_Pre_Survey_May_20__2023_08_224[[#This Row],[Q4_1]] = 3.5, 0.5, 0)))</f>
        <v>0.5</v>
      </c>
      <c r="AE35" t="s">
        <v>185</v>
      </c>
      <c r="AF35">
        <f>IF(Table_EH_Pre_Survey_May_20__2023_08_224[[#This Row],[Q5 ]]="PM &lt; 2.5 μm", 1, 0)</f>
        <v>0</v>
      </c>
      <c r="AG35" t="s">
        <v>131</v>
      </c>
      <c r="AH35">
        <f>IF(Table_EH_Pre_Survey_May_20__2023_08_224[[#This Row],[Q6]]="Particles of this size are generally absorbed in the respiratory tract and safely excreted in mucus.", 1, 0)</f>
        <v>0</v>
      </c>
      <c r="AI35" t="s">
        <v>280</v>
      </c>
      <c r="AJ35">
        <f>IF(ISNUMBER(SEARCH("Trucks", Table_EH_Pre_Survey_May_20__2023_08_224[[#This Row],[Q7 ]])) = TRUE, 1, 0) + IF(ISNUMBER(SEARCH("Cars", Table_EH_Pre_Survey_May_20__2023_08_224[[#This Row],[Q7 ]])) = TRUE, 1, 0) + IF(ISNUMBER(SEARCH("Fireplaces", Table_EH_Pre_Survey_May_20__2023_08_224[[#This Row],[Q7 ]])) = TRUE, 1, 0) + IF(ISNUMBER(SEARCH("Dirt Roads",Table_EH_Pre_Survey_May_20__2023_08_224[[#This Row],[Q7 ]])) = TRUE, 1, 0) - IF(ISNUMBER(SEARCH("Electric Vehicles",Table_EH_Pre_Survey_May_20__2023_08_224[[#This Row],[Q7 ]])) = TRUE, 1, 0) - IF(ISNUMBER(SEARCH("Pollen", Table_EH_Pre_Survey_May_20__2023_08_224[[#This Row],[Q7 ]])) = TRUE, 1, 0)</f>
        <v>2</v>
      </c>
      <c r="AK35">
        <v>4</v>
      </c>
      <c r="AL35">
        <v>5</v>
      </c>
      <c r="AM35">
        <v>5</v>
      </c>
      <c r="AN35">
        <v>4</v>
      </c>
      <c r="AO35">
        <v>5</v>
      </c>
      <c r="AP35">
        <v>4</v>
      </c>
      <c r="AQ35">
        <v>7</v>
      </c>
      <c r="AR35" t="s">
        <v>570</v>
      </c>
    </row>
    <row r="36" spans="1:44" x14ac:dyDescent="0.25">
      <c r="A36" t="s">
        <v>515</v>
      </c>
      <c r="B36" t="s">
        <v>516</v>
      </c>
      <c r="C36" t="s">
        <v>42</v>
      </c>
      <c r="D36" t="s">
        <v>517</v>
      </c>
      <c r="E36" t="s">
        <v>112</v>
      </c>
      <c r="F36">
        <f>_xlfn.NUMBERVALUE(Table_EH_Pre_Survey_May_20__2023_08_224[[#This Row],[Duration (in seconds) - Duration (in seconds)2]])</f>
        <v>124</v>
      </c>
      <c r="G36" t="s">
        <v>518</v>
      </c>
      <c r="H36" t="s">
        <v>114</v>
      </c>
      <c r="I36" t="s">
        <v>516</v>
      </c>
      <c r="J36" t="s">
        <v>519</v>
      </c>
      <c r="K36" t="s">
        <v>111</v>
      </c>
      <c r="L36" t="s">
        <v>111</v>
      </c>
      <c r="M36" t="s">
        <v>111</v>
      </c>
      <c r="N36" t="s">
        <v>111</v>
      </c>
      <c r="O36" t="s">
        <v>351</v>
      </c>
      <c r="P36" t="s">
        <v>352</v>
      </c>
      <c r="Q36" t="s">
        <v>487</v>
      </c>
      <c r="R36" t="s">
        <v>117</v>
      </c>
      <c r="S36" s="17" t="s">
        <v>520</v>
      </c>
      <c r="T36" s="17" t="str">
        <f>VLOOKUP(Table_EH_Pre_Survey_May_20__2023_08_224[[#This Row],[Q1 - NetID Post-Survey]], 'Post-Survey Matched Set (36)'!S:S, 1,FALSE)</f>
        <v>yh645</v>
      </c>
      <c r="U36" s="8">
        <v>5</v>
      </c>
      <c r="V36" s="4">
        <v>5</v>
      </c>
      <c r="W36" s="4">
        <v>5</v>
      </c>
      <c r="X36" s="4">
        <v>5</v>
      </c>
      <c r="Y36" s="4">
        <v>5</v>
      </c>
      <c r="Z36" s="4">
        <v>5</v>
      </c>
      <c r="AA36" s="4">
        <v>5</v>
      </c>
      <c r="AB36" s="4">
        <v>5</v>
      </c>
      <c r="AC36" s="2">
        <v>5</v>
      </c>
      <c r="AD36" s="2">
        <f>IF(Table_EH_Pre_Survey_May_20__2023_08_224[[#This Row],[Q4_1]] = 3, 1, IF(Table_EH_Pre_Survey_May_20__2023_08_224[[#This Row],[Q4_1]] = 2.5, 0.5, IF(Table_EH_Pre_Survey_May_20__2023_08_224[[#This Row],[Q4_1]] = 3.5, 0.5, 0)))</f>
        <v>0</v>
      </c>
      <c r="AE36" t="s">
        <v>130</v>
      </c>
      <c r="AF36">
        <f>IF(Table_EH_Pre_Survey_May_20__2023_08_224[[#This Row],[Q5 ]]="PM &lt; 2.5 μm", 1, 0)</f>
        <v>0</v>
      </c>
      <c r="AG36" t="s">
        <v>131</v>
      </c>
      <c r="AH36">
        <f>IF(Table_EH_Pre_Survey_May_20__2023_08_224[[#This Row],[Q6]]="Particles of this size are generally absorbed in the respiratory tract and safely excreted in mucus.", 1, 0)</f>
        <v>0</v>
      </c>
      <c r="AI36" t="s">
        <v>327</v>
      </c>
      <c r="AJ36">
        <f>IF(ISNUMBER(SEARCH("Trucks", Table_EH_Pre_Survey_May_20__2023_08_224[[#This Row],[Q7 ]])) = TRUE, 1, 0) + IF(ISNUMBER(SEARCH("Cars", Table_EH_Pre_Survey_May_20__2023_08_224[[#This Row],[Q7 ]])) = TRUE, 1, 0) + IF(ISNUMBER(SEARCH("Fireplaces", Table_EH_Pre_Survey_May_20__2023_08_224[[#This Row],[Q7 ]])) = TRUE, 1, 0) + IF(ISNUMBER(SEARCH("Dirt Roads",Table_EH_Pre_Survey_May_20__2023_08_224[[#This Row],[Q7 ]])) = TRUE, 1, 0) - IF(ISNUMBER(SEARCH("Electric Vehicles",Table_EH_Pre_Survey_May_20__2023_08_224[[#This Row],[Q7 ]])) = TRUE, 1, 0) - IF(ISNUMBER(SEARCH("Pollen", Table_EH_Pre_Survey_May_20__2023_08_224[[#This Row],[Q7 ]])) = TRUE, 1, 0)</f>
        <v>1</v>
      </c>
      <c r="AK36">
        <v>5</v>
      </c>
      <c r="AL36">
        <v>2</v>
      </c>
      <c r="AM36">
        <v>4</v>
      </c>
      <c r="AN36">
        <v>2</v>
      </c>
      <c r="AO36">
        <v>4</v>
      </c>
      <c r="AP36">
        <v>3</v>
      </c>
      <c r="AQ36">
        <v>10</v>
      </c>
      <c r="AR36" t="s">
        <v>111</v>
      </c>
    </row>
    <row r="37" spans="1:44" x14ac:dyDescent="0.25">
      <c r="A37" t="s">
        <v>457</v>
      </c>
      <c r="B37" t="s">
        <v>458</v>
      </c>
      <c r="C37" t="s">
        <v>42</v>
      </c>
      <c r="D37" t="s">
        <v>389</v>
      </c>
      <c r="E37" t="s">
        <v>112</v>
      </c>
      <c r="F37">
        <f>_xlfn.NUMBERVALUE(Table_EH_Pre_Survey_May_20__2023_08_224[[#This Row],[Duration (in seconds) - Duration (in seconds)2]])</f>
        <v>126</v>
      </c>
      <c r="G37">
        <v>126</v>
      </c>
      <c r="H37" t="s">
        <v>114</v>
      </c>
      <c r="I37" t="s">
        <v>459</v>
      </c>
      <c r="J37" t="s">
        <v>460</v>
      </c>
      <c r="K37" t="s">
        <v>111</v>
      </c>
      <c r="L37" t="s">
        <v>111</v>
      </c>
      <c r="M37" t="s">
        <v>111</v>
      </c>
      <c r="N37" t="s">
        <v>111</v>
      </c>
      <c r="O37" t="s">
        <v>392</v>
      </c>
      <c r="P37" t="s">
        <v>393</v>
      </c>
      <c r="Q37" t="s">
        <v>127</v>
      </c>
      <c r="R37" t="s">
        <v>117</v>
      </c>
      <c r="S37" s="17" t="s">
        <v>461</v>
      </c>
      <c r="T37" s="17" t="str">
        <f>VLOOKUP(Table_EH_Pre_Survey_May_20__2023_08_224[[#This Row],[Q1 - NetID Post-Survey]], 'Post-Survey Matched Set (36)'!S:S, 1,FALSE)</f>
        <v>Ym484</v>
      </c>
      <c r="U37" s="8">
        <v>5</v>
      </c>
      <c r="V37" s="4">
        <v>5</v>
      </c>
      <c r="W37" s="4">
        <v>5</v>
      </c>
      <c r="X37" s="4">
        <v>5</v>
      </c>
      <c r="Y37" s="4">
        <v>5</v>
      </c>
      <c r="Z37" s="4">
        <v>5</v>
      </c>
      <c r="AA37" s="4">
        <v>5</v>
      </c>
      <c r="AB37" s="4">
        <v>5</v>
      </c>
      <c r="AC37" s="2">
        <v>3</v>
      </c>
      <c r="AD37" s="2">
        <f>IF(Table_EH_Pre_Survey_May_20__2023_08_224[[#This Row],[Q4_1]] = 3, 1, IF(Table_EH_Pre_Survey_May_20__2023_08_224[[#This Row],[Q4_1]] = 2.5, 0.5, IF(Table_EH_Pre_Survey_May_20__2023_08_224[[#This Row],[Q4_1]] = 3.5, 0.5, 0)))</f>
        <v>1</v>
      </c>
      <c r="AE37" t="s">
        <v>154</v>
      </c>
      <c r="AF37">
        <f>IF(Table_EH_Pre_Survey_May_20__2023_08_224[[#This Row],[Q5 ]]="PM &lt; 2.5 μm", 1, 0)</f>
        <v>0</v>
      </c>
      <c r="AG37" t="s">
        <v>141</v>
      </c>
      <c r="AH37">
        <f>IF(Table_EH_Pre_Survey_May_20__2023_08_224[[#This Row],[Q6]]="Particles of this size are generally absorbed in the respiratory tract and safely excreted in mucus.", 1, 0)</f>
        <v>0</v>
      </c>
      <c r="AI37" t="s">
        <v>142</v>
      </c>
      <c r="AJ37">
        <f>IF(ISNUMBER(SEARCH("Trucks", Table_EH_Pre_Survey_May_20__2023_08_224[[#This Row],[Q7 ]])) = TRUE, 1, 0) + IF(ISNUMBER(SEARCH("Cars", Table_EH_Pre_Survey_May_20__2023_08_224[[#This Row],[Q7 ]])) = TRUE, 1, 0) + IF(ISNUMBER(SEARCH("Fireplaces", Table_EH_Pre_Survey_May_20__2023_08_224[[#This Row],[Q7 ]])) = TRUE, 1, 0) + IF(ISNUMBER(SEARCH("Dirt Roads",Table_EH_Pre_Survey_May_20__2023_08_224[[#This Row],[Q7 ]])) = TRUE, 1, 0) - IF(ISNUMBER(SEARCH("Electric Vehicles",Table_EH_Pre_Survey_May_20__2023_08_224[[#This Row],[Q7 ]])) = TRUE, 1, 0) - IF(ISNUMBER(SEARCH("Pollen", Table_EH_Pre_Survey_May_20__2023_08_224[[#This Row],[Q7 ]])) = TRUE, 1, 0)</f>
        <v>2</v>
      </c>
      <c r="AK37">
        <v>2</v>
      </c>
      <c r="AL37">
        <v>0</v>
      </c>
      <c r="AM37">
        <v>3</v>
      </c>
      <c r="AN37">
        <v>2</v>
      </c>
      <c r="AO37">
        <v>4</v>
      </c>
      <c r="AP37">
        <v>4</v>
      </c>
      <c r="AQ37">
        <v>10</v>
      </c>
      <c r="AR37" t="s">
        <v>462</v>
      </c>
    </row>
    <row r="38" spans="1:44" x14ac:dyDescent="0.25">
      <c r="A38" t="s">
        <v>488</v>
      </c>
      <c r="B38" t="s">
        <v>626</v>
      </c>
      <c r="C38" t="s">
        <v>42</v>
      </c>
      <c r="D38" t="s">
        <v>627</v>
      </c>
      <c r="E38" t="s">
        <v>112</v>
      </c>
      <c r="F38">
        <f>_xlfn.NUMBERVALUE(Table_EH_Pre_Survey_May_20__2023_08_224[[#This Row],[Duration (in seconds) - Duration (in seconds)2]])</f>
        <v>237</v>
      </c>
      <c r="G38" t="s">
        <v>628</v>
      </c>
      <c r="H38" t="s">
        <v>114</v>
      </c>
      <c r="I38" t="s">
        <v>626</v>
      </c>
      <c r="J38" t="s">
        <v>629</v>
      </c>
      <c r="K38" t="s">
        <v>111</v>
      </c>
      <c r="L38" t="s">
        <v>111</v>
      </c>
      <c r="M38" t="s">
        <v>111</v>
      </c>
      <c r="N38" t="s">
        <v>111</v>
      </c>
      <c r="O38" t="s">
        <v>351</v>
      </c>
      <c r="P38" t="s">
        <v>352</v>
      </c>
      <c r="Q38" t="s">
        <v>487</v>
      </c>
      <c r="R38" t="s">
        <v>117</v>
      </c>
      <c r="S38" t="s">
        <v>630</v>
      </c>
      <c r="T38" t="e">
        <f>VLOOKUP(Table_EH_Pre_Survey_May_20__2023_08_224[[#This Row],[Q1 - NetID Post-Survey]], 'Post-Survey Matched Set (36)'!S:S, 1,FALSE)</f>
        <v>#N/A</v>
      </c>
      <c r="U38" s="8">
        <v>5</v>
      </c>
      <c r="V38" s="4">
        <v>4</v>
      </c>
      <c r="W38" s="4">
        <v>3</v>
      </c>
      <c r="X38" s="4">
        <v>3</v>
      </c>
      <c r="Y38" s="4">
        <v>3</v>
      </c>
      <c r="Z38" s="4">
        <v>3</v>
      </c>
      <c r="AA38" s="4">
        <v>4</v>
      </c>
      <c r="AB38" s="4">
        <v>4</v>
      </c>
      <c r="AC38" s="2">
        <v>4</v>
      </c>
      <c r="AD38" s="2">
        <f>IF(Table_EH_Pre_Survey_May_20__2023_08_224[[#This Row],[Q4_1]] = 3, 1, IF(Table_EH_Pre_Survey_May_20__2023_08_224[[#This Row],[Q4_1]] = 2.5, 0.5, IF(Table_EH_Pre_Survey_May_20__2023_08_224[[#This Row],[Q4_1]] = 3.5, 0.5, 0)))</f>
        <v>0</v>
      </c>
      <c r="AE38" t="s">
        <v>166</v>
      </c>
      <c r="AF38">
        <f>IF(Table_EH_Pre_Survey_May_20__2023_08_224[[#This Row],[Q5 ]]="PM &lt; 2.5 μm", 1, 0)</f>
        <v>0</v>
      </c>
      <c r="AG38" t="s">
        <v>141</v>
      </c>
      <c r="AH38">
        <f>IF(Table_EH_Pre_Survey_May_20__2023_08_224[[#This Row],[Q6]]="Particles of this size are generally absorbed in the respiratory tract and safely excreted in mucus.", 1, 0)</f>
        <v>0</v>
      </c>
      <c r="AI38" t="s">
        <v>353</v>
      </c>
      <c r="AJ38">
        <f>IF(ISNUMBER(SEARCH("Trucks", Table_EH_Pre_Survey_May_20__2023_08_224[[#This Row],[Q7 ]])) = TRUE, 1, 0) + IF(ISNUMBER(SEARCH("Cars", Table_EH_Pre_Survey_May_20__2023_08_224[[#This Row],[Q7 ]])) = TRUE, 1, 0) + IF(ISNUMBER(SEARCH("Fireplaces", Table_EH_Pre_Survey_May_20__2023_08_224[[#This Row],[Q7 ]])) = TRUE, 1, 0) + IF(ISNUMBER(SEARCH("Dirt Roads",Table_EH_Pre_Survey_May_20__2023_08_224[[#This Row],[Q7 ]])) = TRUE, 1, 0) - IF(ISNUMBER(SEARCH("Electric Vehicles",Table_EH_Pre_Survey_May_20__2023_08_224[[#This Row],[Q7 ]])) = TRUE, 1, 0) - IF(ISNUMBER(SEARCH("Pollen", Table_EH_Pre_Survey_May_20__2023_08_224[[#This Row],[Q7 ]])) = TRUE, 1, 0)</f>
        <v>3</v>
      </c>
      <c r="AK38">
        <v>3</v>
      </c>
      <c r="AL38">
        <v>2</v>
      </c>
      <c r="AM38">
        <v>4</v>
      </c>
      <c r="AN38">
        <v>4</v>
      </c>
      <c r="AO38">
        <v>4</v>
      </c>
      <c r="AP38">
        <v>4</v>
      </c>
      <c r="AQ38">
        <v>9</v>
      </c>
      <c r="AR38" t="s">
        <v>631</v>
      </c>
    </row>
    <row r="39" spans="1:44" x14ac:dyDescent="0.25">
      <c r="A39" t="s">
        <v>591</v>
      </c>
      <c r="B39" t="s">
        <v>592</v>
      </c>
      <c r="C39" t="s">
        <v>42</v>
      </c>
      <c r="D39" t="s">
        <v>593</v>
      </c>
      <c r="E39" t="s">
        <v>112</v>
      </c>
      <c r="F39">
        <f>_xlfn.NUMBERVALUE(Table_EH_Pre_Survey_May_20__2023_08_224[[#This Row],[Duration (in seconds) - Duration (in seconds)2]])</f>
        <v>115</v>
      </c>
      <c r="G39" t="s">
        <v>594</v>
      </c>
      <c r="H39" t="s">
        <v>114</v>
      </c>
      <c r="I39" t="s">
        <v>595</v>
      </c>
      <c r="J39" t="s">
        <v>596</v>
      </c>
      <c r="K39" t="s">
        <v>111</v>
      </c>
      <c r="L39" t="s">
        <v>111</v>
      </c>
      <c r="M39" t="s">
        <v>111</v>
      </c>
      <c r="N39" t="s">
        <v>111</v>
      </c>
      <c r="O39" t="s">
        <v>115</v>
      </c>
      <c r="P39" t="s">
        <v>116</v>
      </c>
      <c r="Q39" t="s">
        <v>127</v>
      </c>
      <c r="R39" t="s">
        <v>117</v>
      </c>
      <c r="S39" t="s">
        <v>597</v>
      </c>
      <c r="T39" t="e">
        <f>VLOOKUP(Table_EH_Pre_Survey_May_20__2023_08_224[[#This Row],[Q1 - NetID Post-Survey]], 'Post-Survey Matched Set (36)'!S:S, 1,FALSE)</f>
        <v>#N/A</v>
      </c>
      <c r="U39" s="8">
        <v>4</v>
      </c>
      <c r="V39" s="4">
        <v>3</v>
      </c>
      <c r="W39" s="4">
        <v>3</v>
      </c>
      <c r="X39" s="4">
        <v>5</v>
      </c>
      <c r="Y39" s="4">
        <v>3</v>
      </c>
      <c r="Z39" s="4">
        <v>5</v>
      </c>
      <c r="AA39" s="4">
        <v>5</v>
      </c>
      <c r="AB39" s="4">
        <v>3</v>
      </c>
      <c r="AC39" s="2">
        <v>4</v>
      </c>
      <c r="AD39" s="2">
        <f>IF(Table_EH_Pre_Survey_May_20__2023_08_224[[#This Row],[Q4_1]] = 3, 1, IF(Table_EH_Pre_Survey_May_20__2023_08_224[[#This Row],[Q4_1]] = 2.5, 0.5, IF(Table_EH_Pre_Survey_May_20__2023_08_224[[#This Row],[Q4_1]] = 3.5, 0.5, 0)))</f>
        <v>0</v>
      </c>
      <c r="AE39" t="s">
        <v>185</v>
      </c>
      <c r="AF39">
        <f>IF(Table_EH_Pre_Survey_May_20__2023_08_224[[#This Row],[Q5 ]]="PM &lt; 2.5 μm", 1, 0)</f>
        <v>0</v>
      </c>
      <c r="AG39" t="s">
        <v>155</v>
      </c>
      <c r="AH39">
        <f>IF(Table_EH_Pre_Survey_May_20__2023_08_224[[#This Row],[Q6]]="Particles of this size are generally absorbed in the respiratory tract and safely excreted in mucus.", 1, 0)</f>
        <v>0</v>
      </c>
      <c r="AI39" t="s">
        <v>598</v>
      </c>
      <c r="AJ39">
        <f>IF(ISNUMBER(SEARCH("Trucks", Table_EH_Pre_Survey_May_20__2023_08_224[[#This Row],[Q7 ]])) = TRUE, 1, 0) + IF(ISNUMBER(SEARCH("Cars", Table_EH_Pre_Survey_May_20__2023_08_224[[#This Row],[Q7 ]])) = TRUE, 1, 0) + IF(ISNUMBER(SEARCH("Fireplaces", Table_EH_Pre_Survey_May_20__2023_08_224[[#This Row],[Q7 ]])) = TRUE, 1, 0) + IF(ISNUMBER(SEARCH("Dirt Roads",Table_EH_Pre_Survey_May_20__2023_08_224[[#This Row],[Q7 ]])) = TRUE, 1, 0) - IF(ISNUMBER(SEARCH("Electric Vehicles",Table_EH_Pre_Survey_May_20__2023_08_224[[#This Row],[Q7 ]])) = TRUE, 1, 0) - IF(ISNUMBER(SEARCH("Pollen", Table_EH_Pre_Survey_May_20__2023_08_224[[#This Row],[Q7 ]])) = TRUE, 1, 0)</f>
        <v>1</v>
      </c>
      <c r="AK39">
        <v>2</v>
      </c>
      <c r="AL39">
        <v>1</v>
      </c>
      <c r="AM39">
        <v>3</v>
      </c>
      <c r="AN39">
        <v>2</v>
      </c>
      <c r="AO39">
        <v>4</v>
      </c>
      <c r="AP39">
        <v>5</v>
      </c>
      <c r="AQ39">
        <v>7</v>
      </c>
      <c r="AR39" t="s">
        <v>111</v>
      </c>
    </row>
    <row r="40" spans="1:44" x14ac:dyDescent="0.25">
      <c r="A40" t="s">
        <v>554</v>
      </c>
      <c r="B40" t="s">
        <v>551</v>
      </c>
      <c r="C40" t="s">
        <v>42</v>
      </c>
      <c r="D40" t="s">
        <v>389</v>
      </c>
      <c r="E40" t="s">
        <v>112</v>
      </c>
      <c r="F40">
        <f>_xlfn.NUMBERVALUE(Table_EH_Pre_Survey_May_20__2023_08_224[[#This Row],[Duration (in seconds) - Duration (in seconds)2]])</f>
        <v>143</v>
      </c>
      <c r="G40" t="s">
        <v>555</v>
      </c>
      <c r="H40" t="s">
        <v>114</v>
      </c>
      <c r="I40" t="s">
        <v>556</v>
      </c>
      <c r="J40" t="s">
        <v>557</v>
      </c>
      <c r="K40" t="s">
        <v>111</v>
      </c>
      <c r="L40" t="s">
        <v>111</v>
      </c>
      <c r="M40" t="s">
        <v>111</v>
      </c>
      <c r="N40" t="s">
        <v>111</v>
      </c>
      <c r="O40" t="s">
        <v>392</v>
      </c>
      <c r="P40" t="s">
        <v>393</v>
      </c>
      <c r="Q40" t="s">
        <v>127</v>
      </c>
      <c r="R40" t="s">
        <v>117</v>
      </c>
      <c r="S40" t="s">
        <v>558</v>
      </c>
      <c r="T40" t="e">
        <f>VLOOKUP(Table_EH_Pre_Survey_May_20__2023_08_224[[#This Row],[Q1 - NetID Post-Survey]], 'Post-Survey Matched Set (36)'!S:S, 1,FALSE)</f>
        <v>#N/A</v>
      </c>
      <c r="U40" s="8">
        <v>4</v>
      </c>
      <c r="V40" s="4">
        <v>4</v>
      </c>
      <c r="W40" s="4">
        <v>4</v>
      </c>
      <c r="X40" s="4">
        <v>5</v>
      </c>
      <c r="Y40" s="4">
        <v>5</v>
      </c>
      <c r="Z40" s="4">
        <v>4</v>
      </c>
      <c r="AA40" s="4">
        <v>5</v>
      </c>
      <c r="AB40" s="4">
        <v>3</v>
      </c>
      <c r="AC40" s="2">
        <v>4</v>
      </c>
      <c r="AD40" s="2">
        <f>IF(Table_EH_Pre_Survey_May_20__2023_08_224[[#This Row],[Q4_1]] = 3, 1, IF(Table_EH_Pre_Survey_May_20__2023_08_224[[#This Row],[Q4_1]] = 2.5, 0.5, IF(Table_EH_Pre_Survey_May_20__2023_08_224[[#This Row],[Q4_1]] = 3.5, 0.5, 0)))</f>
        <v>0</v>
      </c>
      <c r="AE40" t="s">
        <v>154</v>
      </c>
      <c r="AF40">
        <f>IF(Table_EH_Pre_Survey_May_20__2023_08_224[[#This Row],[Q5 ]]="PM &lt; 2.5 μm", 1, 0)</f>
        <v>0</v>
      </c>
      <c r="AG40" t="s">
        <v>175</v>
      </c>
      <c r="AH40">
        <f>IF(Table_EH_Pre_Survey_May_20__2023_08_224[[#This Row],[Q6]]="Particles of this size are generally absorbed in the respiratory tract and safely excreted in mucus.", 1, 0)</f>
        <v>1</v>
      </c>
      <c r="AI40" t="s">
        <v>156</v>
      </c>
      <c r="AJ40">
        <f>IF(ISNUMBER(SEARCH("Trucks", Table_EH_Pre_Survey_May_20__2023_08_224[[#This Row],[Q7 ]])) = TRUE, 1, 0) + IF(ISNUMBER(SEARCH("Cars", Table_EH_Pre_Survey_May_20__2023_08_224[[#This Row],[Q7 ]])) = TRUE, 1, 0) + IF(ISNUMBER(SEARCH("Fireplaces", Table_EH_Pre_Survey_May_20__2023_08_224[[#This Row],[Q7 ]])) = TRUE, 1, 0) + IF(ISNUMBER(SEARCH("Dirt Roads",Table_EH_Pre_Survey_May_20__2023_08_224[[#This Row],[Q7 ]])) = TRUE, 1, 0) - IF(ISNUMBER(SEARCH("Electric Vehicles",Table_EH_Pre_Survey_May_20__2023_08_224[[#This Row],[Q7 ]])) = TRUE, 1, 0) - IF(ISNUMBER(SEARCH("Pollen", Table_EH_Pre_Survey_May_20__2023_08_224[[#This Row],[Q7 ]])) = TRUE, 1, 0)</f>
        <v>4</v>
      </c>
      <c r="AK40">
        <v>4</v>
      </c>
      <c r="AL40">
        <v>4</v>
      </c>
      <c r="AM40">
        <v>4</v>
      </c>
      <c r="AN40">
        <v>4</v>
      </c>
      <c r="AO40">
        <v>4</v>
      </c>
      <c r="AP40">
        <v>4</v>
      </c>
      <c r="AQ40">
        <v>9</v>
      </c>
      <c r="AR40" t="s">
        <v>559</v>
      </c>
    </row>
    <row r="41" spans="1:44" x14ac:dyDescent="0.25">
      <c r="A41" t="s">
        <v>260</v>
      </c>
      <c r="B41" t="s">
        <v>261</v>
      </c>
      <c r="C41" t="s">
        <v>42</v>
      </c>
      <c r="D41" t="s">
        <v>262</v>
      </c>
      <c r="E41" t="s">
        <v>112</v>
      </c>
      <c r="F41">
        <f>_xlfn.NUMBERVALUE(Table_EH_Pre_Survey_May_20__2023_08_224[[#This Row],[Duration (in seconds) - Duration (in seconds)2]])</f>
        <v>184</v>
      </c>
      <c r="G41" t="s">
        <v>263</v>
      </c>
      <c r="H41" t="s">
        <v>114</v>
      </c>
      <c r="I41" t="s">
        <v>264</v>
      </c>
      <c r="J41" t="s">
        <v>265</v>
      </c>
      <c r="K41" t="s">
        <v>111</v>
      </c>
      <c r="L41" t="s">
        <v>111</v>
      </c>
      <c r="M41" t="s">
        <v>111</v>
      </c>
      <c r="N41" t="s">
        <v>111</v>
      </c>
      <c r="O41" t="s">
        <v>115</v>
      </c>
      <c r="P41" t="s">
        <v>116</v>
      </c>
      <c r="Q41" t="s">
        <v>127</v>
      </c>
      <c r="R41" t="s">
        <v>117</v>
      </c>
      <c r="S41" t="s">
        <v>266</v>
      </c>
      <c r="T41" t="e">
        <f>VLOOKUP(Table_EH_Pre_Survey_May_20__2023_08_224[[#This Row],[Q1 - NetID Post-Survey]], 'Post-Survey Matched Set (36)'!S:S, 1,FALSE)</f>
        <v>#N/A</v>
      </c>
      <c r="U41" s="8">
        <v>4</v>
      </c>
      <c r="V41" s="4">
        <v>4</v>
      </c>
      <c r="W41" s="4">
        <v>5</v>
      </c>
      <c r="X41" s="4">
        <v>2</v>
      </c>
      <c r="Y41" s="4">
        <v>2</v>
      </c>
      <c r="Z41" s="4">
        <v>1</v>
      </c>
      <c r="AA41" s="4">
        <v>5</v>
      </c>
      <c r="AB41" s="4">
        <v>2</v>
      </c>
      <c r="AC41" s="2">
        <v>3</v>
      </c>
      <c r="AD41" s="2">
        <f>IF(Table_EH_Pre_Survey_May_20__2023_08_224[[#This Row],[Q4_1]] = 3, 1, IF(Table_EH_Pre_Survey_May_20__2023_08_224[[#This Row],[Q4_1]] = 2.5, 0.5, IF(Table_EH_Pre_Survey_May_20__2023_08_224[[#This Row],[Q4_1]] = 3.5, 0.5, 0)))</f>
        <v>1</v>
      </c>
      <c r="AE41" t="s">
        <v>130</v>
      </c>
      <c r="AF41">
        <f>IF(Table_EH_Pre_Survey_May_20__2023_08_224[[#This Row],[Q5 ]]="PM &lt; 2.5 μm", 1, 0)</f>
        <v>0</v>
      </c>
      <c r="AG41" t="s">
        <v>175</v>
      </c>
      <c r="AH41">
        <f>IF(Table_EH_Pre_Survey_May_20__2023_08_224[[#This Row],[Q6]]="Particles of this size are generally absorbed in the respiratory tract and safely excreted in mucus.", 1, 0)</f>
        <v>1</v>
      </c>
      <c r="AI41" t="s">
        <v>258</v>
      </c>
      <c r="AJ41">
        <f>IF(ISNUMBER(SEARCH("Trucks", Table_EH_Pre_Survey_May_20__2023_08_224[[#This Row],[Q7 ]])) = TRUE, 1, 0) + IF(ISNUMBER(SEARCH("Cars", Table_EH_Pre_Survey_May_20__2023_08_224[[#This Row],[Q7 ]])) = TRUE, 1, 0) + IF(ISNUMBER(SEARCH("Fireplaces", Table_EH_Pre_Survey_May_20__2023_08_224[[#This Row],[Q7 ]])) = TRUE, 1, 0) + IF(ISNUMBER(SEARCH("Dirt Roads",Table_EH_Pre_Survey_May_20__2023_08_224[[#This Row],[Q7 ]])) = TRUE, 1, 0) - IF(ISNUMBER(SEARCH("Electric Vehicles",Table_EH_Pre_Survey_May_20__2023_08_224[[#This Row],[Q7 ]])) = TRUE, 1, 0) - IF(ISNUMBER(SEARCH("Pollen", Table_EH_Pre_Survey_May_20__2023_08_224[[#This Row],[Q7 ]])) = TRUE, 1, 0)</f>
        <v>1</v>
      </c>
      <c r="AK41">
        <v>2</v>
      </c>
      <c r="AL41">
        <v>2</v>
      </c>
      <c r="AM41">
        <v>3</v>
      </c>
      <c r="AN41">
        <v>2</v>
      </c>
      <c r="AO41">
        <v>5</v>
      </c>
      <c r="AP41">
        <v>4</v>
      </c>
      <c r="AQ41">
        <v>5</v>
      </c>
      <c r="AR41" t="s">
        <v>111</v>
      </c>
    </row>
    <row r="42" spans="1:44" x14ac:dyDescent="0.25">
      <c r="A42" t="s">
        <v>387</v>
      </c>
      <c r="B42" t="s">
        <v>388</v>
      </c>
      <c r="C42" t="s">
        <v>42</v>
      </c>
      <c r="D42" t="s">
        <v>389</v>
      </c>
      <c r="E42" t="s">
        <v>112</v>
      </c>
      <c r="F42">
        <f>_xlfn.NUMBERVALUE(Table_EH_Pre_Survey_May_20__2023_08_224[[#This Row],[Duration (in seconds) - Duration (in seconds)2]])</f>
        <v>159</v>
      </c>
      <c r="G42" t="s">
        <v>390</v>
      </c>
      <c r="H42" t="s">
        <v>114</v>
      </c>
      <c r="I42" t="s">
        <v>388</v>
      </c>
      <c r="J42" t="s">
        <v>391</v>
      </c>
      <c r="K42" t="s">
        <v>111</v>
      </c>
      <c r="L42" t="s">
        <v>111</v>
      </c>
      <c r="M42" t="s">
        <v>111</v>
      </c>
      <c r="N42" t="s">
        <v>111</v>
      </c>
      <c r="O42" t="s">
        <v>392</v>
      </c>
      <c r="P42" t="s">
        <v>393</v>
      </c>
      <c r="Q42" t="s">
        <v>127</v>
      </c>
      <c r="R42" t="s">
        <v>117</v>
      </c>
      <c r="S42" t="s">
        <v>394</v>
      </c>
      <c r="T42" t="e">
        <f>VLOOKUP(Table_EH_Pre_Survey_May_20__2023_08_224[[#This Row],[Q1 - NetID Post-Survey]], 'Post-Survey Matched Set (36)'!S:S, 1,FALSE)</f>
        <v>#N/A</v>
      </c>
      <c r="U42" s="8">
        <v>4</v>
      </c>
      <c r="V42" s="4">
        <v>4</v>
      </c>
      <c r="W42" s="4">
        <v>5</v>
      </c>
      <c r="X42" s="4">
        <v>5</v>
      </c>
      <c r="Y42" s="4">
        <v>1</v>
      </c>
      <c r="Z42" s="4">
        <v>4</v>
      </c>
      <c r="AA42" s="4">
        <v>5</v>
      </c>
      <c r="AB42" s="4">
        <v>2</v>
      </c>
      <c r="AC42" s="2">
        <v>4.5</v>
      </c>
      <c r="AD42" s="2">
        <f>IF(Table_EH_Pre_Survey_May_20__2023_08_224[[#This Row],[Q4_1]] = 3, 1, IF(Table_EH_Pre_Survey_May_20__2023_08_224[[#This Row],[Q4_1]] = 2.5, 0.5, IF(Table_EH_Pre_Survey_May_20__2023_08_224[[#This Row],[Q4_1]] = 3.5, 0.5, 0)))</f>
        <v>0</v>
      </c>
      <c r="AE42" t="s">
        <v>185</v>
      </c>
      <c r="AF42">
        <f>IF(Table_EH_Pre_Survey_May_20__2023_08_224[[#This Row],[Q5 ]]="PM &lt; 2.5 μm", 1, 0)</f>
        <v>0</v>
      </c>
      <c r="AG42" t="s">
        <v>155</v>
      </c>
      <c r="AH42">
        <f>IF(Table_EH_Pre_Survey_May_20__2023_08_224[[#This Row],[Q6]]="Particles of this size are generally absorbed in the respiratory tract and safely excreted in mucus.", 1, 0)</f>
        <v>0</v>
      </c>
      <c r="AI42" t="s">
        <v>156</v>
      </c>
      <c r="AJ42">
        <f>IF(ISNUMBER(SEARCH("Trucks", Table_EH_Pre_Survey_May_20__2023_08_224[[#This Row],[Q7 ]])) = TRUE, 1, 0) + IF(ISNUMBER(SEARCH("Cars", Table_EH_Pre_Survey_May_20__2023_08_224[[#This Row],[Q7 ]])) = TRUE, 1, 0) + IF(ISNUMBER(SEARCH("Fireplaces", Table_EH_Pre_Survey_May_20__2023_08_224[[#This Row],[Q7 ]])) = TRUE, 1, 0) + IF(ISNUMBER(SEARCH("Dirt Roads",Table_EH_Pre_Survey_May_20__2023_08_224[[#This Row],[Q7 ]])) = TRUE, 1, 0) - IF(ISNUMBER(SEARCH("Electric Vehicles",Table_EH_Pre_Survey_May_20__2023_08_224[[#This Row],[Q7 ]])) = TRUE, 1, 0) - IF(ISNUMBER(SEARCH("Pollen", Table_EH_Pre_Survey_May_20__2023_08_224[[#This Row],[Q7 ]])) = TRUE, 1, 0)</f>
        <v>4</v>
      </c>
      <c r="AK42">
        <v>1</v>
      </c>
      <c r="AL42">
        <v>1</v>
      </c>
      <c r="AM42">
        <v>2</v>
      </c>
      <c r="AN42">
        <v>1</v>
      </c>
      <c r="AO42">
        <v>2</v>
      </c>
      <c r="AP42">
        <v>2</v>
      </c>
      <c r="AQ42">
        <v>6</v>
      </c>
      <c r="AR42" t="s">
        <v>395</v>
      </c>
    </row>
    <row r="43" spans="1:44" x14ac:dyDescent="0.25">
      <c r="A43" t="s">
        <v>605</v>
      </c>
      <c r="B43" t="s">
        <v>600</v>
      </c>
      <c r="C43" t="s">
        <v>42</v>
      </c>
      <c r="D43" t="s">
        <v>606</v>
      </c>
      <c r="E43" t="s">
        <v>112</v>
      </c>
      <c r="F43">
        <f>_xlfn.NUMBERVALUE(Table_EH_Pre_Survey_May_20__2023_08_224[[#This Row],[Duration (in seconds) - Duration (in seconds)2]])</f>
        <v>206</v>
      </c>
      <c r="G43" t="s">
        <v>607</v>
      </c>
      <c r="H43" t="s">
        <v>114</v>
      </c>
      <c r="I43" t="s">
        <v>600</v>
      </c>
      <c r="J43" t="s">
        <v>608</v>
      </c>
      <c r="K43" t="s">
        <v>111</v>
      </c>
      <c r="L43" t="s">
        <v>111</v>
      </c>
      <c r="M43" t="s">
        <v>111</v>
      </c>
      <c r="N43" t="s">
        <v>111</v>
      </c>
      <c r="O43" t="s">
        <v>351</v>
      </c>
      <c r="P43" t="s">
        <v>352</v>
      </c>
      <c r="Q43" t="s">
        <v>487</v>
      </c>
      <c r="R43" t="s">
        <v>117</v>
      </c>
      <c r="S43" t="s">
        <v>609</v>
      </c>
      <c r="T43" t="e">
        <f>VLOOKUP(Table_EH_Pre_Survey_May_20__2023_08_224[[#This Row],[Q1 - NetID Post-Survey]], 'Post-Survey Matched Set (36)'!S:S, 1,FALSE)</f>
        <v>#N/A</v>
      </c>
      <c r="U43" s="8">
        <v>4</v>
      </c>
      <c r="V43" s="4">
        <v>3</v>
      </c>
      <c r="W43" s="4">
        <v>4</v>
      </c>
      <c r="X43" s="4">
        <v>5</v>
      </c>
      <c r="Y43" s="4">
        <v>3</v>
      </c>
      <c r="Z43" s="4">
        <v>4</v>
      </c>
      <c r="AA43" s="4">
        <v>5</v>
      </c>
      <c r="AB43" s="4">
        <v>3</v>
      </c>
      <c r="AC43" s="2">
        <v>4</v>
      </c>
      <c r="AD43" s="2">
        <f>IF(Table_EH_Pre_Survey_May_20__2023_08_224[[#This Row],[Q4_1]] = 3, 1, IF(Table_EH_Pre_Survey_May_20__2023_08_224[[#This Row],[Q4_1]] = 2.5, 0.5, IF(Table_EH_Pre_Survey_May_20__2023_08_224[[#This Row],[Q4_1]] = 3.5, 0.5, 0)))</f>
        <v>0</v>
      </c>
      <c r="AE43" t="s">
        <v>130</v>
      </c>
      <c r="AF43">
        <f>IF(Table_EH_Pre_Survey_May_20__2023_08_224[[#This Row],[Q5 ]]="PM &lt; 2.5 μm", 1, 0)</f>
        <v>0</v>
      </c>
      <c r="AG43" t="s">
        <v>141</v>
      </c>
      <c r="AH43">
        <f>IF(Table_EH_Pre_Survey_May_20__2023_08_224[[#This Row],[Q6]]="Particles of this size are generally absorbed in the respiratory tract and safely excreted in mucus.", 1, 0)</f>
        <v>0</v>
      </c>
      <c r="AI43" t="s">
        <v>610</v>
      </c>
      <c r="AJ43">
        <f>IF(ISNUMBER(SEARCH("Trucks", Table_EH_Pre_Survey_May_20__2023_08_224[[#This Row],[Q7 ]])) = TRUE, 1, 0) + IF(ISNUMBER(SEARCH("Cars", Table_EH_Pre_Survey_May_20__2023_08_224[[#This Row],[Q7 ]])) = TRUE, 1, 0) + IF(ISNUMBER(SEARCH("Fireplaces", Table_EH_Pre_Survey_May_20__2023_08_224[[#This Row],[Q7 ]])) = TRUE, 1, 0) + IF(ISNUMBER(SEARCH("Dirt Roads",Table_EH_Pre_Survey_May_20__2023_08_224[[#This Row],[Q7 ]])) = TRUE, 1, 0) - IF(ISNUMBER(SEARCH("Electric Vehicles",Table_EH_Pre_Survey_May_20__2023_08_224[[#This Row],[Q7 ]])) = TRUE, 1, 0) - IF(ISNUMBER(SEARCH("Pollen", Table_EH_Pre_Survey_May_20__2023_08_224[[#This Row],[Q7 ]])) = TRUE, 1, 0)</f>
        <v>2</v>
      </c>
      <c r="AK43">
        <v>4</v>
      </c>
      <c r="AL43">
        <v>1</v>
      </c>
      <c r="AM43">
        <v>2</v>
      </c>
      <c r="AN43">
        <v>2</v>
      </c>
      <c r="AO43">
        <v>2</v>
      </c>
      <c r="AP43">
        <v>3</v>
      </c>
      <c r="AQ43">
        <v>8</v>
      </c>
      <c r="AR43" t="s">
        <v>611</v>
      </c>
    </row>
    <row r="44" spans="1:44" x14ac:dyDescent="0.25">
      <c r="A44" t="s">
        <v>618</v>
      </c>
      <c r="B44" t="s">
        <v>619</v>
      </c>
      <c r="C44" t="s">
        <v>42</v>
      </c>
      <c r="D44" t="s">
        <v>620</v>
      </c>
      <c r="E44" t="s">
        <v>112</v>
      </c>
      <c r="F44">
        <f>_xlfn.NUMBERVALUE(Table_EH_Pre_Survey_May_20__2023_08_224[[#This Row],[Duration (in seconds) - Duration (in seconds)2]])</f>
        <v>197</v>
      </c>
      <c r="G44" t="s">
        <v>621</v>
      </c>
      <c r="H44" t="s">
        <v>114</v>
      </c>
      <c r="I44" t="s">
        <v>622</v>
      </c>
      <c r="J44" t="s">
        <v>623</v>
      </c>
      <c r="K44" t="s">
        <v>111</v>
      </c>
      <c r="L44" t="s">
        <v>111</v>
      </c>
      <c r="M44" t="s">
        <v>111</v>
      </c>
      <c r="N44" t="s">
        <v>111</v>
      </c>
      <c r="O44" t="s">
        <v>214</v>
      </c>
      <c r="P44" t="s">
        <v>215</v>
      </c>
      <c r="Q44" t="s">
        <v>487</v>
      </c>
      <c r="R44" t="s">
        <v>117</v>
      </c>
      <c r="S44" t="s">
        <v>624</v>
      </c>
      <c r="T44" t="e">
        <f>VLOOKUP(Table_EH_Pre_Survey_May_20__2023_08_224[[#This Row],[Q1 - NetID Post-Survey]], 'Post-Survey Matched Set (36)'!S:S, 1,FALSE)</f>
        <v>#N/A</v>
      </c>
      <c r="U44" s="8">
        <v>3</v>
      </c>
      <c r="V44" s="4">
        <v>5</v>
      </c>
      <c r="W44" s="4">
        <v>2</v>
      </c>
      <c r="X44" s="4">
        <v>3</v>
      </c>
      <c r="Y44" s="4">
        <v>3</v>
      </c>
      <c r="Z44" s="4">
        <v>3</v>
      </c>
      <c r="AA44" s="4">
        <v>5</v>
      </c>
      <c r="AB44" s="4">
        <v>2</v>
      </c>
      <c r="AC44" s="2">
        <v>3.5</v>
      </c>
      <c r="AD44" s="2">
        <f>IF(Table_EH_Pre_Survey_May_20__2023_08_224[[#This Row],[Q4_1]] = 3, 1, IF(Table_EH_Pre_Survey_May_20__2023_08_224[[#This Row],[Q4_1]] = 2.5, 0.5, IF(Table_EH_Pre_Survey_May_20__2023_08_224[[#This Row],[Q4_1]] = 3.5, 0.5, 0)))</f>
        <v>0.5</v>
      </c>
      <c r="AE44" t="s">
        <v>166</v>
      </c>
      <c r="AF44">
        <f>IF(Table_EH_Pre_Survey_May_20__2023_08_224[[#This Row],[Q5 ]]="PM &lt; 2.5 μm", 1, 0)</f>
        <v>0</v>
      </c>
      <c r="AG44" t="s">
        <v>131</v>
      </c>
      <c r="AH44">
        <f>IF(Table_EH_Pre_Survey_May_20__2023_08_224[[#This Row],[Q6]]="Particles of this size are generally absorbed in the respiratory tract and safely excreted in mucus.", 1, 0)</f>
        <v>0</v>
      </c>
      <c r="AI44" t="s">
        <v>258</v>
      </c>
      <c r="AJ44">
        <f>IF(ISNUMBER(SEARCH("Trucks", Table_EH_Pre_Survey_May_20__2023_08_224[[#This Row],[Q7 ]])) = TRUE, 1, 0) + IF(ISNUMBER(SEARCH("Cars", Table_EH_Pre_Survey_May_20__2023_08_224[[#This Row],[Q7 ]])) = TRUE, 1, 0) + IF(ISNUMBER(SEARCH("Fireplaces", Table_EH_Pre_Survey_May_20__2023_08_224[[#This Row],[Q7 ]])) = TRUE, 1, 0) + IF(ISNUMBER(SEARCH("Dirt Roads",Table_EH_Pre_Survey_May_20__2023_08_224[[#This Row],[Q7 ]])) = TRUE, 1, 0) - IF(ISNUMBER(SEARCH("Electric Vehicles",Table_EH_Pre_Survey_May_20__2023_08_224[[#This Row],[Q7 ]])) = TRUE, 1, 0) - IF(ISNUMBER(SEARCH("Pollen", Table_EH_Pre_Survey_May_20__2023_08_224[[#This Row],[Q7 ]])) = TRUE, 1, 0)</f>
        <v>1</v>
      </c>
      <c r="AK44">
        <v>4</v>
      </c>
      <c r="AL44">
        <v>3</v>
      </c>
      <c r="AM44">
        <v>3</v>
      </c>
      <c r="AN44">
        <v>4</v>
      </c>
      <c r="AO44">
        <v>3</v>
      </c>
      <c r="AP44">
        <v>3</v>
      </c>
      <c r="AQ44">
        <v>10</v>
      </c>
      <c r="AR44" t="s">
        <v>625</v>
      </c>
    </row>
    <row r="45" spans="1:44" x14ac:dyDescent="0.25">
      <c r="A45" t="s">
        <v>242</v>
      </c>
      <c r="B45" t="s">
        <v>243</v>
      </c>
      <c r="C45" t="s">
        <v>42</v>
      </c>
      <c r="D45" t="s">
        <v>244</v>
      </c>
      <c r="E45" t="s">
        <v>112</v>
      </c>
      <c r="F45">
        <f>_xlfn.NUMBERVALUE(Table_EH_Pre_Survey_May_20__2023_08_224[[#This Row],[Duration (in seconds) - Duration (in seconds)2]])</f>
        <v>210</v>
      </c>
      <c r="G45" t="s">
        <v>245</v>
      </c>
      <c r="H45" t="s">
        <v>114</v>
      </c>
      <c r="I45" t="s">
        <v>246</v>
      </c>
      <c r="J45" t="s">
        <v>247</v>
      </c>
      <c r="K45" t="s">
        <v>111</v>
      </c>
      <c r="L45" t="s">
        <v>111</v>
      </c>
      <c r="M45" t="s">
        <v>111</v>
      </c>
      <c r="N45" t="s">
        <v>111</v>
      </c>
      <c r="O45" t="s">
        <v>248</v>
      </c>
      <c r="P45" t="s">
        <v>249</v>
      </c>
      <c r="Q45" t="s">
        <v>127</v>
      </c>
      <c r="R45" t="s">
        <v>117</v>
      </c>
      <c r="S45" t="s">
        <v>250</v>
      </c>
      <c r="T45" t="e">
        <f>VLOOKUP(Table_EH_Pre_Survey_May_20__2023_08_224[[#This Row],[Q1 - NetID Post-Survey]], 'Post-Survey Matched Set (36)'!S:S, 1,FALSE)</f>
        <v>#N/A</v>
      </c>
      <c r="U45" s="8">
        <v>4</v>
      </c>
      <c r="V45" s="4">
        <v>3</v>
      </c>
      <c r="W45" s="4">
        <v>5</v>
      </c>
      <c r="X45" s="4">
        <v>5</v>
      </c>
      <c r="Y45" s="4">
        <v>3</v>
      </c>
      <c r="Z45" s="4">
        <v>4</v>
      </c>
      <c r="AA45" s="4">
        <v>5</v>
      </c>
      <c r="AB45" s="4">
        <v>3</v>
      </c>
      <c r="AC45" s="2">
        <v>3</v>
      </c>
      <c r="AD45" s="2">
        <f>IF(Table_EH_Pre_Survey_May_20__2023_08_224[[#This Row],[Q4_1]] = 3, 1, IF(Table_EH_Pre_Survey_May_20__2023_08_224[[#This Row],[Q4_1]] = 2.5, 0.5, IF(Table_EH_Pre_Survey_May_20__2023_08_224[[#This Row],[Q4_1]] = 3.5, 0.5, 0)))</f>
        <v>1</v>
      </c>
      <c r="AE45" t="s">
        <v>140</v>
      </c>
      <c r="AF45">
        <f>IF(Table_EH_Pre_Survey_May_20__2023_08_224[[#This Row],[Q5 ]]="PM &lt; 2.5 μm", 1, 0)</f>
        <v>1</v>
      </c>
      <c r="AG45" t="s">
        <v>175</v>
      </c>
      <c r="AH45">
        <f>IF(Table_EH_Pre_Survey_May_20__2023_08_224[[#This Row],[Q6]]="Particles of this size are generally absorbed in the respiratory tract and safely excreted in mucus.", 1, 0)</f>
        <v>1</v>
      </c>
      <c r="AI45" t="s">
        <v>167</v>
      </c>
      <c r="AJ45">
        <f>IF(ISNUMBER(SEARCH("Trucks", Table_EH_Pre_Survey_May_20__2023_08_224[[#This Row],[Q7 ]])) = TRUE, 1, 0) + IF(ISNUMBER(SEARCH("Cars", Table_EH_Pre_Survey_May_20__2023_08_224[[#This Row],[Q7 ]])) = TRUE, 1, 0) + IF(ISNUMBER(SEARCH("Fireplaces", Table_EH_Pre_Survey_May_20__2023_08_224[[#This Row],[Q7 ]])) = TRUE, 1, 0) + IF(ISNUMBER(SEARCH("Dirt Roads",Table_EH_Pre_Survey_May_20__2023_08_224[[#This Row],[Q7 ]])) = TRUE, 1, 0) - IF(ISNUMBER(SEARCH("Electric Vehicles",Table_EH_Pre_Survey_May_20__2023_08_224[[#This Row],[Q7 ]])) = TRUE, 1, 0) - IF(ISNUMBER(SEARCH("Pollen", Table_EH_Pre_Survey_May_20__2023_08_224[[#This Row],[Q7 ]])) = TRUE, 1, 0)</f>
        <v>3</v>
      </c>
      <c r="AK45">
        <v>1</v>
      </c>
      <c r="AL45">
        <v>1</v>
      </c>
      <c r="AM45">
        <v>2</v>
      </c>
      <c r="AN45">
        <v>3</v>
      </c>
      <c r="AO45">
        <v>5</v>
      </c>
      <c r="AP45">
        <v>2</v>
      </c>
      <c r="AQ45">
        <v>5</v>
      </c>
      <c r="AR45" t="s">
        <v>251</v>
      </c>
    </row>
    <row r="46" spans="1:44" x14ac:dyDescent="0.25">
      <c r="A46" t="s">
        <v>696</v>
      </c>
      <c r="B46" t="s">
        <v>697</v>
      </c>
      <c r="C46" t="s">
        <v>42</v>
      </c>
      <c r="D46" t="s">
        <v>698</v>
      </c>
      <c r="E46" t="s">
        <v>112</v>
      </c>
      <c r="F46">
        <f>_xlfn.NUMBERVALUE(Table_EH_Pre_Survey_May_20__2023_08_224[[#This Row],[Duration (in seconds) - Duration (in seconds)2]])</f>
        <v>339</v>
      </c>
      <c r="G46" t="s">
        <v>699</v>
      </c>
      <c r="H46" t="s">
        <v>114</v>
      </c>
      <c r="I46" t="s">
        <v>697</v>
      </c>
      <c r="J46" t="s">
        <v>700</v>
      </c>
      <c r="K46" t="s">
        <v>111</v>
      </c>
      <c r="L46" t="s">
        <v>111</v>
      </c>
      <c r="M46" t="s">
        <v>111</v>
      </c>
      <c r="N46" t="s">
        <v>111</v>
      </c>
      <c r="O46" t="s">
        <v>351</v>
      </c>
      <c r="P46" t="s">
        <v>352</v>
      </c>
      <c r="Q46" t="s">
        <v>487</v>
      </c>
      <c r="R46" t="s">
        <v>117</v>
      </c>
      <c r="S46" t="s">
        <v>701</v>
      </c>
      <c r="T46" t="e">
        <f>VLOOKUP(Table_EH_Pre_Survey_May_20__2023_08_224[[#This Row],[Q1 - NetID Post-Survey]], 'Post-Survey Matched Set (36)'!S:S, 1,FALSE)</f>
        <v>#N/A</v>
      </c>
      <c r="U46" s="8">
        <v>4</v>
      </c>
      <c r="V46" s="4">
        <v>3</v>
      </c>
      <c r="W46" s="4">
        <v>5</v>
      </c>
      <c r="X46" s="4">
        <v>5</v>
      </c>
      <c r="Y46" s="4">
        <v>3</v>
      </c>
      <c r="Z46" s="4">
        <v>1</v>
      </c>
      <c r="AA46" s="4">
        <v>3</v>
      </c>
      <c r="AB46" s="4">
        <v>1</v>
      </c>
      <c r="AC46" s="2">
        <v>3.5</v>
      </c>
      <c r="AD46" s="2">
        <f>IF(Table_EH_Pre_Survey_May_20__2023_08_224[[#This Row],[Q4_1]] = 3, 1, IF(Table_EH_Pre_Survey_May_20__2023_08_224[[#This Row],[Q4_1]] = 2.5, 0.5, IF(Table_EH_Pre_Survey_May_20__2023_08_224[[#This Row],[Q4_1]] = 3.5, 0.5, 0)))</f>
        <v>0.5</v>
      </c>
      <c r="AE46" t="s">
        <v>140</v>
      </c>
      <c r="AF46">
        <f>IF(Table_EH_Pre_Survey_May_20__2023_08_224[[#This Row],[Q5 ]]="PM &lt; 2.5 μm", 1, 0)</f>
        <v>1</v>
      </c>
      <c r="AG46" t="s">
        <v>175</v>
      </c>
      <c r="AH46">
        <f>IF(Table_EH_Pre_Survey_May_20__2023_08_224[[#This Row],[Q6]]="Particles of this size are generally absorbed in the respiratory tract and safely excreted in mucus.", 1, 0)</f>
        <v>1</v>
      </c>
      <c r="AI46" t="s">
        <v>224</v>
      </c>
      <c r="AJ46">
        <f>IF(ISNUMBER(SEARCH("Trucks", Table_EH_Pre_Survey_May_20__2023_08_224[[#This Row],[Q7 ]])) = TRUE, 1, 0) + IF(ISNUMBER(SEARCH("Cars", Table_EH_Pre_Survey_May_20__2023_08_224[[#This Row],[Q7 ]])) = TRUE, 1, 0) + IF(ISNUMBER(SEARCH("Fireplaces", Table_EH_Pre_Survey_May_20__2023_08_224[[#This Row],[Q7 ]])) = TRUE, 1, 0) + IF(ISNUMBER(SEARCH("Dirt Roads",Table_EH_Pre_Survey_May_20__2023_08_224[[#This Row],[Q7 ]])) = TRUE, 1, 0) - IF(ISNUMBER(SEARCH("Electric Vehicles",Table_EH_Pre_Survey_May_20__2023_08_224[[#This Row],[Q7 ]])) = TRUE, 1, 0) - IF(ISNUMBER(SEARCH("Pollen", Table_EH_Pre_Survey_May_20__2023_08_224[[#This Row],[Q7 ]])) = TRUE, 1, 0)</f>
        <v>1</v>
      </c>
      <c r="AK46">
        <v>5</v>
      </c>
      <c r="AL46">
        <v>2</v>
      </c>
      <c r="AM46">
        <v>2</v>
      </c>
      <c r="AN46">
        <v>1</v>
      </c>
      <c r="AO46">
        <v>5</v>
      </c>
      <c r="AP46">
        <v>5</v>
      </c>
      <c r="AQ46">
        <v>7</v>
      </c>
      <c r="AR46" t="s">
        <v>111</v>
      </c>
    </row>
    <row r="47" spans="1:44" x14ac:dyDescent="0.25">
      <c r="A47" t="s">
        <v>732</v>
      </c>
      <c r="B47" t="s">
        <v>733</v>
      </c>
      <c r="C47" t="s">
        <v>42</v>
      </c>
      <c r="D47" t="s">
        <v>389</v>
      </c>
      <c r="E47" t="s">
        <v>112</v>
      </c>
      <c r="F47">
        <f>_xlfn.NUMBERVALUE(Table_EH_Pre_Survey_May_20__2023_08_224[[#This Row],[Duration (in seconds) - Duration (in seconds)2]])</f>
        <v>408</v>
      </c>
      <c r="G47" t="s">
        <v>734</v>
      </c>
      <c r="H47" t="s">
        <v>114</v>
      </c>
      <c r="I47" t="s">
        <v>735</v>
      </c>
      <c r="J47" t="s">
        <v>736</v>
      </c>
      <c r="K47" t="s">
        <v>111</v>
      </c>
      <c r="L47" t="s">
        <v>111</v>
      </c>
      <c r="M47" t="s">
        <v>111</v>
      </c>
      <c r="N47" t="s">
        <v>111</v>
      </c>
      <c r="O47" t="s">
        <v>392</v>
      </c>
      <c r="P47" t="s">
        <v>393</v>
      </c>
      <c r="Q47" t="s">
        <v>487</v>
      </c>
      <c r="R47" t="s">
        <v>117</v>
      </c>
      <c r="S47" t="s">
        <v>737</v>
      </c>
      <c r="T47" t="e">
        <f>VLOOKUP(Table_EH_Pre_Survey_May_20__2023_08_224[[#This Row],[Q1 - NetID Post-Survey]], 'Post-Survey Matched Set (36)'!S:S, 1,FALSE)</f>
        <v>#N/A</v>
      </c>
      <c r="U47" s="8">
        <v>4</v>
      </c>
      <c r="V47" s="4">
        <v>3</v>
      </c>
      <c r="W47" s="4">
        <v>3</v>
      </c>
      <c r="X47" s="4">
        <v>4</v>
      </c>
      <c r="Y47" s="4">
        <v>3</v>
      </c>
      <c r="Z47" s="4">
        <v>2</v>
      </c>
      <c r="AA47" s="4">
        <v>4</v>
      </c>
      <c r="AB47" s="4">
        <v>1</v>
      </c>
      <c r="AC47" s="2">
        <v>2.5</v>
      </c>
      <c r="AD47" s="2">
        <f>IF(Table_EH_Pre_Survey_May_20__2023_08_224[[#This Row],[Q4_1]] = 3, 1, IF(Table_EH_Pre_Survey_May_20__2023_08_224[[#This Row],[Q4_1]] = 2.5, 0.5, IF(Table_EH_Pre_Survey_May_20__2023_08_224[[#This Row],[Q4_1]] = 3.5, 0.5, 0)))</f>
        <v>0.5</v>
      </c>
      <c r="AE47" t="s">
        <v>140</v>
      </c>
      <c r="AF47">
        <f>IF(Table_EH_Pre_Survey_May_20__2023_08_224[[#This Row],[Q5 ]]="PM &lt; 2.5 μm", 1, 0)</f>
        <v>1</v>
      </c>
      <c r="AG47" t="s">
        <v>131</v>
      </c>
      <c r="AH47">
        <f>IF(Table_EH_Pre_Survey_May_20__2023_08_224[[#This Row],[Q6]]="Particles of this size are generally absorbed in the respiratory tract and safely excreted in mucus.", 1, 0)</f>
        <v>0</v>
      </c>
      <c r="AI47" t="s">
        <v>167</v>
      </c>
      <c r="AJ47">
        <f>IF(ISNUMBER(SEARCH("Trucks", Table_EH_Pre_Survey_May_20__2023_08_224[[#This Row],[Q7 ]])) = TRUE, 1, 0) + IF(ISNUMBER(SEARCH("Cars", Table_EH_Pre_Survey_May_20__2023_08_224[[#This Row],[Q7 ]])) = TRUE, 1, 0) + IF(ISNUMBER(SEARCH("Fireplaces", Table_EH_Pre_Survey_May_20__2023_08_224[[#This Row],[Q7 ]])) = TRUE, 1, 0) + IF(ISNUMBER(SEARCH("Dirt Roads",Table_EH_Pre_Survey_May_20__2023_08_224[[#This Row],[Q7 ]])) = TRUE, 1, 0) - IF(ISNUMBER(SEARCH("Electric Vehicles",Table_EH_Pre_Survey_May_20__2023_08_224[[#This Row],[Q7 ]])) = TRUE, 1, 0) - IF(ISNUMBER(SEARCH("Pollen", Table_EH_Pre_Survey_May_20__2023_08_224[[#This Row],[Q7 ]])) = TRUE, 1, 0)</f>
        <v>3</v>
      </c>
      <c r="AK47">
        <v>3</v>
      </c>
      <c r="AL47">
        <v>1</v>
      </c>
      <c r="AM47">
        <v>2</v>
      </c>
      <c r="AN47">
        <v>1</v>
      </c>
      <c r="AO47">
        <v>3</v>
      </c>
      <c r="AP47">
        <v>3</v>
      </c>
      <c r="AQ47">
        <v>7</v>
      </c>
      <c r="AR47" t="s">
        <v>111</v>
      </c>
    </row>
    <row r="48" spans="1:44" x14ac:dyDescent="0.25">
      <c r="A48" t="s">
        <v>225</v>
      </c>
      <c r="B48" t="s">
        <v>226</v>
      </c>
      <c r="C48" t="s">
        <v>42</v>
      </c>
      <c r="D48" t="s">
        <v>227</v>
      </c>
      <c r="E48" t="s">
        <v>112</v>
      </c>
      <c r="F48">
        <f>_xlfn.NUMBERVALUE(Table_EH_Pre_Survey_May_20__2023_08_224[[#This Row],[Duration (in seconds) - Duration (in seconds)2]])</f>
        <v>139</v>
      </c>
      <c r="G48" t="s">
        <v>220</v>
      </c>
      <c r="H48" t="s">
        <v>114</v>
      </c>
      <c r="I48" t="s">
        <v>226</v>
      </c>
      <c r="J48" t="s">
        <v>228</v>
      </c>
      <c r="K48" t="s">
        <v>111</v>
      </c>
      <c r="L48" t="s">
        <v>111</v>
      </c>
      <c r="M48" t="s">
        <v>111</v>
      </c>
      <c r="N48" t="s">
        <v>111</v>
      </c>
      <c r="O48" t="s">
        <v>229</v>
      </c>
      <c r="P48" t="s">
        <v>230</v>
      </c>
      <c r="Q48" t="s">
        <v>127</v>
      </c>
      <c r="R48" t="s">
        <v>117</v>
      </c>
      <c r="S48" t="s">
        <v>231</v>
      </c>
      <c r="T48" t="e">
        <f>VLOOKUP(Table_EH_Pre_Survey_May_20__2023_08_224[[#This Row],[Q1 - NetID Post-Survey]], 'Post-Survey Matched Set (36)'!S:S, 1,FALSE)</f>
        <v>#N/A</v>
      </c>
      <c r="U48" s="8">
        <v>5</v>
      </c>
      <c r="V48" s="4">
        <v>5</v>
      </c>
      <c r="W48" s="4">
        <v>5</v>
      </c>
      <c r="X48" s="4">
        <v>5</v>
      </c>
      <c r="Y48" s="4">
        <v>3</v>
      </c>
      <c r="Z48" s="4">
        <v>4</v>
      </c>
      <c r="AA48" s="4">
        <v>5</v>
      </c>
      <c r="AB48" s="4">
        <v>4</v>
      </c>
      <c r="AC48" s="2">
        <v>4</v>
      </c>
      <c r="AD48" s="2">
        <f>IF(Table_EH_Pre_Survey_May_20__2023_08_224[[#This Row],[Q4_1]] = 3, 1, IF(Table_EH_Pre_Survey_May_20__2023_08_224[[#This Row],[Q4_1]] = 2.5, 0.5, IF(Table_EH_Pre_Survey_May_20__2023_08_224[[#This Row],[Q4_1]] = 3.5, 0.5, 0)))</f>
        <v>0</v>
      </c>
      <c r="AE48" t="s">
        <v>166</v>
      </c>
      <c r="AF48">
        <f>IF(Table_EH_Pre_Survey_May_20__2023_08_224[[#This Row],[Q5 ]]="PM &lt; 2.5 μm", 1, 0)</f>
        <v>0</v>
      </c>
      <c r="AG48" t="s">
        <v>155</v>
      </c>
      <c r="AH48">
        <f>IF(Table_EH_Pre_Survey_May_20__2023_08_224[[#This Row],[Q6]]="Particles of this size are generally absorbed in the respiratory tract and safely excreted in mucus.", 1, 0)</f>
        <v>0</v>
      </c>
      <c r="AI48" t="s">
        <v>232</v>
      </c>
      <c r="AJ48">
        <f>IF(ISNUMBER(SEARCH("Trucks", Table_EH_Pre_Survey_May_20__2023_08_224[[#This Row],[Q7 ]])) = TRUE, 1, 0) + IF(ISNUMBER(SEARCH("Cars", Table_EH_Pre_Survey_May_20__2023_08_224[[#This Row],[Q7 ]])) = TRUE, 1, 0) + IF(ISNUMBER(SEARCH("Fireplaces", Table_EH_Pre_Survey_May_20__2023_08_224[[#This Row],[Q7 ]])) = TRUE, 1, 0) + IF(ISNUMBER(SEARCH("Dirt Roads",Table_EH_Pre_Survey_May_20__2023_08_224[[#This Row],[Q7 ]])) = TRUE, 1, 0) - IF(ISNUMBER(SEARCH("Electric Vehicles",Table_EH_Pre_Survey_May_20__2023_08_224[[#This Row],[Q7 ]])) = TRUE, 1, 0) - IF(ISNUMBER(SEARCH("Pollen", Table_EH_Pre_Survey_May_20__2023_08_224[[#This Row],[Q7 ]])) = TRUE, 1, 0)</f>
        <v>1</v>
      </c>
      <c r="AK48">
        <v>5</v>
      </c>
      <c r="AL48">
        <v>5</v>
      </c>
      <c r="AM48">
        <v>4</v>
      </c>
      <c r="AN48">
        <v>4</v>
      </c>
      <c r="AO48">
        <v>5</v>
      </c>
      <c r="AP48">
        <v>3</v>
      </c>
      <c r="AQ48">
        <v>9</v>
      </c>
      <c r="AR48" t="s">
        <v>111</v>
      </c>
    </row>
    <row r="49" spans="1:44" x14ac:dyDescent="0.25">
      <c r="A49" t="s">
        <v>651</v>
      </c>
      <c r="B49" t="s">
        <v>652</v>
      </c>
      <c r="C49" t="s">
        <v>42</v>
      </c>
      <c r="D49" t="s">
        <v>653</v>
      </c>
      <c r="E49" t="s">
        <v>112</v>
      </c>
      <c r="F49">
        <f>_xlfn.NUMBERVALUE(Table_EH_Pre_Survey_May_20__2023_08_224[[#This Row],[Duration (in seconds) - Duration (in seconds)2]])</f>
        <v>270</v>
      </c>
      <c r="G49" t="s">
        <v>654</v>
      </c>
      <c r="H49" t="s">
        <v>114</v>
      </c>
      <c r="I49" t="s">
        <v>652</v>
      </c>
      <c r="J49" t="s">
        <v>655</v>
      </c>
      <c r="K49" t="s">
        <v>111</v>
      </c>
      <c r="L49" t="s">
        <v>111</v>
      </c>
      <c r="M49" t="s">
        <v>111</v>
      </c>
      <c r="N49" t="s">
        <v>111</v>
      </c>
      <c r="O49" t="s">
        <v>656</v>
      </c>
      <c r="P49" t="s">
        <v>657</v>
      </c>
      <c r="Q49" t="s">
        <v>127</v>
      </c>
      <c r="R49" t="s">
        <v>117</v>
      </c>
      <c r="S49" t="s">
        <v>658</v>
      </c>
      <c r="T49" t="e">
        <f>VLOOKUP(Table_EH_Pre_Survey_May_20__2023_08_224[[#This Row],[Q1 - NetID Post-Survey]], 'Post-Survey Matched Set (36)'!S:S, 1,FALSE)</f>
        <v>#N/A</v>
      </c>
      <c r="U49" s="8">
        <v>3</v>
      </c>
      <c r="V49" s="4">
        <v>2</v>
      </c>
      <c r="W49" s="4">
        <v>3</v>
      </c>
      <c r="X49" s="4">
        <v>3</v>
      </c>
      <c r="Y49" s="4">
        <v>2</v>
      </c>
      <c r="Z49" s="4">
        <v>0</v>
      </c>
      <c r="AA49" s="4">
        <v>2</v>
      </c>
      <c r="AB49" s="4"/>
      <c r="AC49" s="2">
        <v>3</v>
      </c>
      <c r="AD49" s="2">
        <f>IF(Table_EH_Pre_Survey_May_20__2023_08_224[[#This Row],[Q4_1]] = 3, 1, IF(Table_EH_Pre_Survey_May_20__2023_08_224[[#This Row],[Q4_1]] = 2.5, 0.5, IF(Table_EH_Pre_Survey_May_20__2023_08_224[[#This Row],[Q4_1]] = 3.5, 0.5, 0)))</f>
        <v>1</v>
      </c>
      <c r="AE49" t="s">
        <v>185</v>
      </c>
      <c r="AF49">
        <f>IF(Table_EH_Pre_Survey_May_20__2023_08_224[[#This Row],[Q5 ]]="PM &lt; 2.5 μm", 1, 0)</f>
        <v>0</v>
      </c>
      <c r="AG49" t="s">
        <v>141</v>
      </c>
      <c r="AH49">
        <f>IF(Table_EH_Pre_Survey_May_20__2023_08_224[[#This Row],[Q6]]="Particles of this size are generally absorbed in the respiratory tract and safely excreted in mucus.", 1, 0)</f>
        <v>0</v>
      </c>
      <c r="AI49" t="s">
        <v>650</v>
      </c>
      <c r="AJ49">
        <f>IF(ISNUMBER(SEARCH("Trucks", Table_EH_Pre_Survey_May_20__2023_08_224[[#This Row],[Q7 ]])) = TRUE, 1, 0) + IF(ISNUMBER(SEARCH("Cars", Table_EH_Pre_Survey_May_20__2023_08_224[[#This Row],[Q7 ]])) = TRUE, 1, 0) + IF(ISNUMBER(SEARCH("Fireplaces", Table_EH_Pre_Survey_May_20__2023_08_224[[#This Row],[Q7 ]])) = TRUE, 1, 0) + IF(ISNUMBER(SEARCH("Dirt Roads",Table_EH_Pre_Survey_May_20__2023_08_224[[#This Row],[Q7 ]])) = TRUE, 1, 0) - IF(ISNUMBER(SEARCH("Electric Vehicles",Table_EH_Pre_Survey_May_20__2023_08_224[[#This Row],[Q7 ]])) = TRUE, 1, 0) - IF(ISNUMBER(SEARCH("Pollen", Table_EH_Pre_Survey_May_20__2023_08_224[[#This Row],[Q7 ]])) = TRUE, 1, 0)</f>
        <v>3</v>
      </c>
      <c r="AK49">
        <v>2</v>
      </c>
      <c r="AM49">
        <v>2</v>
      </c>
      <c r="AO49">
        <v>2</v>
      </c>
      <c r="AQ49">
        <v>3</v>
      </c>
      <c r="AR49" t="s">
        <v>111</v>
      </c>
    </row>
    <row r="50" spans="1:44" x14ac:dyDescent="0.25">
      <c r="A50" t="s">
        <v>585</v>
      </c>
      <c r="B50" t="s">
        <v>586</v>
      </c>
      <c r="C50" t="s">
        <v>42</v>
      </c>
      <c r="D50" t="s">
        <v>587</v>
      </c>
      <c r="E50" t="s">
        <v>112</v>
      </c>
      <c r="F50">
        <f>_xlfn.NUMBERVALUE(Table_EH_Pre_Survey_May_20__2023_08_224[[#This Row],[Duration (in seconds) - Duration (in seconds)2]])</f>
        <v>191</v>
      </c>
      <c r="G50" t="s">
        <v>588</v>
      </c>
      <c r="H50" t="s">
        <v>114</v>
      </c>
      <c r="I50" t="s">
        <v>586</v>
      </c>
      <c r="J50" t="s">
        <v>589</v>
      </c>
      <c r="K50" t="s">
        <v>111</v>
      </c>
      <c r="L50" t="s">
        <v>111</v>
      </c>
      <c r="M50" t="s">
        <v>111</v>
      </c>
      <c r="N50" t="s">
        <v>111</v>
      </c>
      <c r="O50" t="s">
        <v>115</v>
      </c>
      <c r="P50" t="s">
        <v>116</v>
      </c>
      <c r="Q50" t="s">
        <v>487</v>
      </c>
      <c r="R50" t="s">
        <v>117</v>
      </c>
      <c r="S50" t="s">
        <v>590</v>
      </c>
      <c r="T50" t="e">
        <f>VLOOKUP(Table_EH_Pre_Survey_May_20__2023_08_224[[#This Row],[Q1 - NetID Post-Survey]], 'Post-Survey Matched Set (36)'!S:S, 1,FALSE)</f>
        <v>#N/A</v>
      </c>
      <c r="U50" s="8">
        <v>5</v>
      </c>
      <c r="V50" s="4">
        <v>5</v>
      </c>
      <c r="W50" s="4">
        <v>5</v>
      </c>
      <c r="X50" s="4">
        <v>5</v>
      </c>
      <c r="Y50" s="4">
        <v>3</v>
      </c>
      <c r="Z50" s="4">
        <v>5</v>
      </c>
      <c r="AA50" s="4">
        <v>5</v>
      </c>
      <c r="AB50" s="4">
        <v>5</v>
      </c>
      <c r="AC50" s="2">
        <v>5</v>
      </c>
      <c r="AD50" s="2">
        <f>IF(Table_EH_Pre_Survey_May_20__2023_08_224[[#This Row],[Q4_1]] = 3, 1, IF(Table_EH_Pre_Survey_May_20__2023_08_224[[#This Row],[Q4_1]] = 2.5, 0.5, IF(Table_EH_Pre_Survey_May_20__2023_08_224[[#This Row],[Q4_1]] = 3.5, 0.5, 0)))</f>
        <v>0</v>
      </c>
      <c r="AE50" t="s">
        <v>140</v>
      </c>
      <c r="AF50">
        <f>IF(Table_EH_Pre_Survey_May_20__2023_08_224[[#This Row],[Q5 ]]="PM &lt; 2.5 μm", 1, 0)</f>
        <v>1</v>
      </c>
      <c r="AG50" t="s">
        <v>175</v>
      </c>
      <c r="AH50">
        <f>IF(Table_EH_Pre_Survey_May_20__2023_08_224[[#This Row],[Q6]]="Particles of this size are generally absorbed in the respiratory tract and safely excreted in mucus.", 1, 0)</f>
        <v>1</v>
      </c>
      <c r="AI50" t="s">
        <v>206</v>
      </c>
      <c r="AJ50">
        <f>IF(ISNUMBER(SEARCH("Trucks", Table_EH_Pre_Survey_May_20__2023_08_224[[#This Row],[Q7 ]])) = TRUE, 1, 0) + IF(ISNUMBER(SEARCH("Cars", Table_EH_Pre_Survey_May_20__2023_08_224[[#This Row],[Q7 ]])) = TRUE, 1, 0) + IF(ISNUMBER(SEARCH("Fireplaces", Table_EH_Pre_Survey_May_20__2023_08_224[[#This Row],[Q7 ]])) = TRUE, 1, 0) + IF(ISNUMBER(SEARCH("Dirt Roads",Table_EH_Pre_Survey_May_20__2023_08_224[[#This Row],[Q7 ]])) = TRUE, 1, 0) - IF(ISNUMBER(SEARCH("Electric Vehicles",Table_EH_Pre_Survey_May_20__2023_08_224[[#This Row],[Q7 ]])) = TRUE, 1, 0) - IF(ISNUMBER(SEARCH("Pollen", Table_EH_Pre_Survey_May_20__2023_08_224[[#This Row],[Q7 ]])) = TRUE, 1, 0)</f>
        <v>2</v>
      </c>
      <c r="AK50">
        <v>2</v>
      </c>
      <c r="AL50">
        <v>2</v>
      </c>
      <c r="AM50">
        <v>4</v>
      </c>
      <c r="AN50">
        <v>4</v>
      </c>
      <c r="AO50">
        <v>4</v>
      </c>
      <c r="AP50">
        <v>4</v>
      </c>
      <c r="AQ50">
        <v>8</v>
      </c>
      <c r="AR50" t="s">
        <v>111</v>
      </c>
    </row>
    <row r="51" spans="1:44" x14ac:dyDescent="0.25">
      <c r="A51" t="s">
        <v>813</v>
      </c>
      <c r="B51" t="s">
        <v>814</v>
      </c>
      <c r="C51" t="s">
        <v>42</v>
      </c>
      <c r="D51" t="s">
        <v>815</v>
      </c>
      <c r="E51" t="s">
        <v>112</v>
      </c>
      <c r="F51">
        <f>_xlfn.NUMBERVALUE(Table_EH_Pre_Survey_May_20__2023_08_224[[#This Row],[Duration (in seconds) - Duration (in seconds)2]])</f>
        <v>158</v>
      </c>
      <c r="G51" t="s">
        <v>816</v>
      </c>
      <c r="H51" t="s">
        <v>114</v>
      </c>
      <c r="I51" t="s">
        <v>814</v>
      </c>
      <c r="J51" t="s">
        <v>817</v>
      </c>
      <c r="K51" t="s">
        <v>111</v>
      </c>
      <c r="L51" t="s">
        <v>111</v>
      </c>
      <c r="M51" t="s">
        <v>111</v>
      </c>
      <c r="N51" t="s">
        <v>111</v>
      </c>
      <c r="O51" t="s">
        <v>351</v>
      </c>
      <c r="P51" t="s">
        <v>352</v>
      </c>
      <c r="Q51" t="s">
        <v>127</v>
      </c>
      <c r="R51" t="s">
        <v>117</v>
      </c>
      <c r="S51" t="s">
        <v>590</v>
      </c>
      <c r="T51" t="e">
        <f>VLOOKUP(Table_EH_Pre_Survey_May_20__2023_08_224[[#This Row],[Q1 - NetID Post-Survey]], 'Post-Survey Matched Set (36)'!S:S, 1,FALSE)</f>
        <v>#N/A</v>
      </c>
      <c r="U51" s="8">
        <v>5</v>
      </c>
      <c r="V51" s="4">
        <v>4</v>
      </c>
      <c r="W51" s="4">
        <v>5</v>
      </c>
      <c r="X51" s="4">
        <v>5</v>
      </c>
      <c r="Y51" s="4">
        <v>4</v>
      </c>
      <c r="Z51" s="4">
        <v>4</v>
      </c>
      <c r="AA51" s="4">
        <v>5</v>
      </c>
      <c r="AB51" s="4">
        <v>4</v>
      </c>
      <c r="AC51" s="2">
        <v>3</v>
      </c>
      <c r="AD51" s="2">
        <f>IF(Table_EH_Pre_Survey_May_20__2023_08_224[[#This Row],[Q4_1]] = 3, 1, IF(Table_EH_Pre_Survey_May_20__2023_08_224[[#This Row],[Q4_1]] = 2.5, 0.5, IF(Table_EH_Pre_Survey_May_20__2023_08_224[[#This Row],[Q4_1]] = 3.5, 0.5, 0)))</f>
        <v>1</v>
      </c>
      <c r="AE51" t="s">
        <v>140</v>
      </c>
      <c r="AF51">
        <f>IF(Table_EH_Pre_Survey_May_20__2023_08_224[[#This Row],[Q5 ]]="PM &lt; 2.5 μm", 1, 0)</f>
        <v>1</v>
      </c>
      <c r="AG51" t="s">
        <v>175</v>
      </c>
      <c r="AH51">
        <f>IF(Table_EH_Pre_Survey_May_20__2023_08_224[[#This Row],[Q6]]="Particles of this size are generally absorbed in the respiratory tract and safely excreted in mucus.", 1, 0)</f>
        <v>1</v>
      </c>
      <c r="AI51" t="s">
        <v>186</v>
      </c>
      <c r="AJ51">
        <f>IF(ISNUMBER(SEARCH("Trucks", Table_EH_Pre_Survey_May_20__2023_08_224[[#This Row],[Q7 ]])) = TRUE, 1, 0) + IF(ISNUMBER(SEARCH("Cars", Table_EH_Pre_Survey_May_20__2023_08_224[[#This Row],[Q7 ]])) = TRUE, 1, 0) + IF(ISNUMBER(SEARCH("Fireplaces", Table_EH_Pre_Survey_May_20__2023_08_224[[#This Row],[Q7 ]])) = TRUE, 1, 0) + IF(ISNUMBER(SEARCH("Dirt Roads",Table_EH_Pre_Survey_May_20__2023_08_224[[#This Row],[Q7 ]])) = TRUE, 1, 0) - IF(ISNUMBER(SEARCH("Electric Vehicles",Table_EH_Pre_Survey_May_20__2023_08_224[[#This Row],[Q7 ]])) = TRUE, 1, 0) - IF(ISNUMBER(SEARCH("Pollen", Table_EH_Pre_Survey_May_20__2023_08_224[[#This Row],[Q7 ]])) = TRUE, 1, 0)</f>
        <v>3</v>
      </c>
      <c r="AK51">
        <v>4</v>
      </c>
      <c r="AL51">
        <v>5</v>
      </c>
      <c r="AM51">
        <v>4</v>
      </c>
      <c r="AN51">
        <v>4</v>
      </c>
      <c r="AO51">
        <v>4</v>
      </c>
      <c r="AP51">
        <v>4</v>
      </c>
      <c r="AQ51">
        <v>9</v>
      </c>
      <c r="AR51" t="s">
        <v>111</v>
      </c>
    </row>
    <row r="52" spans="1:44" x14ac:dyDescent="0.25">
      <c r="A52" t="s">
        <v>785</v>
      </c>
      <c r="B52" t="s">
        <v>786</v>
      </c>
      <c r="C52" t="s">
        <v>42</v>
      </c>
      <c r="D52" t="s">
        <v>787</v>
      </c>
      <c r="E52" t="s">
        <v>112</v>
      </c>
      <c r="F52">
        <f>_xlfn.NUMBERVALUE(Table_EH_Pre_Survey_May_20__2023_08_224[[#This Row],[Duration (in seconds) - Duration (in seconds)2]])</f>
        <v>136</v>
      </c>
      <c r="G52" t="s">
        <v>740</v>
      </c>
      <c r="H52" t="s">
        <v>114</v>
      </c>
      <c r="I52" t="s">
        <v>788</v>
      </c>
      <c r="J52" t="s">
        <v>789</v>
      </c>
      <c r="K52" t="s">
        <v>111</v>
      </c>
      <c r="L52" t="s">
        <v>111</v>
      </c>
      <c r="M52" t="s">
        <v>111</v>
      </c>
      <c r="N52" t="s">
        <v>111</v>
      </c>
      <c r="O52" t="s">
        <v>790</v>
      </c>
      <c r="P52" t="s">
        <v>791</v>
      </c>
      <c r="Q52" t="s">
        <v>487</v>
      </c>
      <c r="R52" t="s">
        <v>117</v>
      </c>
      <c r="S52" t="s">
        <v>792</v>
      </c>
      <c r="T52" t="e">
        <f>VLOOKUP(Table_EH_Pre_Survey_May_20__2023_08_224[[#This Row],[Q1 - NetID Post-Survey]], 'Post-Survey Matched Set (36)'!S:S, 1,FALSE)</f>
        <v>#N/A</v>
      </c>
      <c r="U52" s="8">
        <v>4</v>
      </c>
      <c r="V52" s="4">
        <v>4</v>
      </c>
      <c r="W52" s="4">
        <v>4</v>
      </c>
      <c r="X52" s="4">
        <v>4</v>
      </c>
      <c r="Y52" s="4">
        <v>2</v>
      </c>
      <c r="Z52" s="4">
        <v>3</v>
      </c>
      <c r="AA52" s="4">
        <v>5</v>
      </c>
      <c r="AB52" s="4">
        <v>2</v>
      </c>
      <c r="AC52" s="2">
        <v>2</v>
      </c>
      <c r="AD52" s="2">
        <f>IF(Table_EH_Pre_Survey_May_20__2023_08_224[[#This Row],[Q4_1]] = 3, 1, IF(Table_EH_Pre_Survey_May_20__2023_08_224[[#This Row],[Q4_1]] = 2.5, 0.5, IF(Table_EH_Pre_Survey_May_20__2023_08_224[[#This Row],[Q4_1]] = 3.5, 0.5, 0)))</f>
        <v>0</v>
      </c>
      <c r="AE52" t="s">
        <v>140</v>
      </c>
      <c r="AF52">
        <f>IF(Table_EH_Pre_Survey_May_20__2023_08_224[[#This Row],[Q5 ]]="PM &lt; 2.5 μm", 1, 0)</f>
        <v>1</v>
      </c>
      <c r="AG52" t="s">
        <v>155</v>
      </c>
      <c r="AH52">
        <f>IF(Table_EH_Pre_Survey_May_20__2023_08_224[[#This Row],[Q6]]="Particles of this size are generally absorbed in the respiratory tract and safely excreted in mucus.", 1, 0)</f>
        <v>0</v>
      </c>
      <c r="AI52" t="s">
        <v>327</v>
      </c>
      <c r="AJ52">
        <f>IF(ISNUMBER(SEARCH("Trucks", Table_EH_Pre_Survey_May_20__2023_08_224[[#This Row],[Q7 ]])) = TRUE, 1, 0) + IF(ISNUMBER(SEARCH("Cars", Table_EH_Pre_Survey_May_20__2023_08_224[[#This Row],[Q7 ]])) = TRUE, 1, 0) + IF(ISNUMBER(SEARCH("Fireplaces", Table_EH_Pre_Survey_May_20__2023_08_224[[#This Row],[Q7 ]])) = TRUE, 1, 0) + IF(ISNUMBER(SEARCH("Dirt Roads",Table_EH_Pre_Survey_May_20__2023_08_224[[#This Row],[Q7 ]])) = TRUE, 1, 0) - IF(ISNUMBER(SEARCH("Electric Vehicles",Table_EH_Pre_Survey_May_20__2023_08_224[[#This Row],[Q7 ]])) = TRUE, 1, 0) - IF(ISNUMBER(SEARCH("Pollen", Table_EH_Pre_Survey_May_20__2023_08_224[[#This Row],[Q7 ]])) = TRUE, 1, 0)</f>
        <v>1</v>
      </c>
      <c r="AK52">
        <v>1</v>
      </c>
      <c r="AL52">
        <v>1</v>
      </c>
      <c r="AM52">
        <v>3</v>
      </c>
      <c r="AN52">
        <v>1</v>
      </c>
      <c r="AO52">
        <v>3</v>
      </c>
      <c r="AP52">
        <v>4</v>
      </c>
      <c r="AQ52">
        <v>6</v>
      </c>
      <c r="AR52" t="s">
        <v>793</v>
      </c>
    </row>
    <row r="53" spans="1:44" x14ac:dyDescent="0.25">
      <c r="A53" t="s">
        <v>372</v>
      </c>
      <c r="B53" t="s">
        <v>373</v>
      </c>
      <c r="C53" t="s">
        <v>42</v>
      </c>
      <c r="D53" t="s">
        <v>374</v>
      </c>
      <c r="E53" t="s">
        <v>112</v>
      </c>
      <c r="F53">
        <f>_xlfn.NUMBERVALUE(Table_EH_Pre_Survey_May_20__2023_08_224[[#This Row],[Duration (in seconds) - Duration (in seconds)2]])</f>
        <v>2492</v>
      </c>
      <c r="G53" t="s">
        <v>375</v>
      </c>
      <c r="H53" t="s">
        <v>114</v>
      </c>
      <c r="I53" t="s">
        <v>376</v>
      </c>
      <c r="J53" t="s">
        <v>377</v>
      </c>
      <c r="K53" t="s">
        <v>111</v>
      </c>
      <c r="L53" t="s">
        <v>111</v>
      </c>
      <c r="M53" t="s">
        <v>111</v>
      </c>
      <c r="N53" t="s">
        <v>111</v>
      </c>
      <c r="O53" t="s">
        <v>115</v>
      </c>
      <c r="P53" t="s">
        <v>116</v>
      </c>
      <c r="Q53" t="s">
        <v>127</v>
      </c>
      <c r="R53" t="s">
        <v>117</v>
      </c>
      <c r="S53" t="s">
        <v>378</v>
      </c>
      <c r="T53" t="e">
        <f>VLOOKUP(Table_EH_Pre_Survey_May_20__2023_08_224[[#This Row],[Q1 - NetID Post-Survey]], 'Post-Survey Matched Set (36)'!S:S, 1,FALSE)</f>
        <v>#N/A</v>
      </c>
      <c r="U53" s="8">
        <v>3</v>
      </c>
      <c r="V53" s="4">
        <v>2</v>
      </c>
      <c r="W53" s="4">
        <v>5</v>
      </c>
      <c r="X53" s="4">
        <v>5</v>
      </c>
      <c r="Y53" s="4">
        <v>3</v>
      </c>
      <c r="Z53" s="4">
        <v>5</v>
      </c>
      <c r="AA53" s="4">
        <v>5</v>
      </c>
      <c r="AB53" s="4">
        <v>3</v>
      </c>
      <c r="AC53" s="2">
        <v>2.5</v>
      </c>
      <c r="AD53" s="2">
        <f>IF(Table_EH_Pre_Survey_May_20__2023_08_224[[#This Row],[Q4_1]] = 3, 1, IF(Table_EH_Pre_Survey_May_20__2023_08_224[[#This Row],[Q4_1]] = 2.5, 0.5, IF(Table_EH_Pre_Survey_May_20__2023_08_224[[#This Row],[Q4_1]] = 3.5, 0.5, 0)))</f>
        <v>0.5</v>
      </c>
      <c r="AE53" t="s">
        <v>140</v>
      </c>
      <c r="AF53">
        <f>IF(Table_EH_Pre_Survey_May_20__2023_08_224[[#This Row],[Q5 ]]="PM &lt; 2.5 μm", 1, 0)</f>
        <v>1</v>
      </c>
      <c r="AG53" t="s">
        <v>175</v>
      </c>
      <c r="AH53">
        <f>IF(Table_EH_Pre_Survey_May_20__2023_08_224[[#This Row],[Q6]]="Particles of this size are generally absorbed in the respiratory tract and safely excreted in mucus.", 1, 0)</f>
        <v>1</v>
      </c>
      <c r="AI53" t="s">
        <v>156</v>
      </c>
      <c r="AJ53">
        <f>IF(ISNUMBER(SEARCH("Trucks", Table_EH_Pre_Survey_May_20__2023_08_224[[#This Row],[Q7 ]])) = TRUE, 1, 0) + IF(ISNUMBER(SEARCH("Cars", Table_EH_Pre_Survey_May_20__2023_08_224[[#This Row],[Q7 ]])) = TRUE, 1, 0) + IF(ISNUMBER(SEARCH("Fireplaces", Table_EH_Pre_Survey_May_20__2023_08_224[[#This Row],[Q7 ]])) = TRUE, 1, 0) + IF(ISNUMBER(SEARCH("Dirt Roads",Table_EH_Pre_Survey_May_20__2023_08_224[[#This Row],[Q7 ]])) = TRUE, 1, 0) - IF(ISNUMBER(SEARCH("Electric Vehicles",Table_EH_Pre_Survey_May_20__2023_08_224[[#This Row],[Q7 ]])) = TRUE, 1, 0) - IF(ISNUMBER(SEARCH("Pollen", Table_EH_Pre_Survey_May_20__2023_08_224[[#This Row],[Q7 ]])) = TRUE, 1, 0)</f>
        <v>4</v>
      </c>
      <c r="AK53">
        <v>3</v>
      </c>
      <c r="AL53">
        <v>2</v>
      </c>
      <c r="AM53">
        <v>3</v>
      </c>
      <c r="AN53">
        <v>2</v>
      </c>
      <c r="AO53">
        <v>5</v>
      </c>
      <c r="AP53">
        <v>3</v>
      </c>
      <c r="AQ53">
        <v>6</v>
      </c>
      <c r="AR53" t="s">
        <v>379</v>
      </c>
    </row>
    <row r="54" spans="1:44" x14ac:dyDescent="0.25">
      <c r="A54" t="s">
        <v>571</v>
      </c>
      <c r="B54" t="s">
        <v>572</v>
      </c>
      <c r="C54" t="s">
        <v>42</v>
      </c>
      <c r="D54" t="s">
        <v>389</v>
      </c>
      <c r="E54" t="s">
        <v>112</v>
      </c>
      <c r="F54">
        <f>_xlfn.NUMBERVALUE(Table_EH_Pre_Survey_May_20__2023_08_224[[#This Row],[Duration (in seconds) - Duration (in seconds)2]])</f>
        <v>146</v>
      </c>
      <c r="G54" t="s">
        <v>573</v>
      </c>
      <c r="H54" t="s">
        <v>114</v>
      </c>
      <c r="I54" t="s">
        <v>572</v>
      </c>
      <c r="J54" t="s">
        <v>574</v>
      </c>
      <c r="K54" t="s">
        <v>111</v>
      </c>
      <c r="L54" t="s">
        <v>111</v>
      </c>
      <c r="M54" t="s">
        <v>111</v>
      </c>
      <c r="N54" t="s">
        <v>111</v>
      </c>
      <c r="O54" t="s">
        <v>392</v>
      </c>
      <c r="P54" t="s">
        <v>393</v>
      </c>
      <c r="Q54" t="s">
        <v>487</v>
      </c>
      <c r="R54" t="s">
        <v>117</v>
      </c>
      <c r="S54" t="s">
        <v>575</v>
      </c>
      <c r="T54" t="e">
        <f>VLOOKUP(Table_EH_Pre_Survey_May_20__2023_08_224[[#This Row],[Q1 - NetID Post-Survey]], 'Post-Survey Matched Set (36)'!S:S, 1,FALSE)</f>
        <v>#N/A</v>
      </c>
      <c r="U54" s="8">
        <v>5</v>
      </c>
      <c r="V54" s="4">
        <v>5</v>
      </c>
      <c r="W54" s="4">
        <v>5</v>
      </c>
      <c r="X54" s="4">
        <v>5</v>
      </c>
      <c r="Y54" s="4">
        <v>5</v>
      </c>
      <c r="Z54" s="4">
        <v>5</v>
      </c>
      <c r="AA54" s="4">
        <v>5</v>
      </c>
      <c r="AB54" s="4">
        <v>5</v>
      </c>
      <c r="AC54" s="2">
        <v>4.5</v>
      </c>
      <c r="AD54" s="2">
        <f>IF(Table_EH_Pre_Survey_May_20__2023_08_224[[#This Row],[Q4_1]] = 3, 1, IF(Table_EH_Pre_Survey_May_20__2023_08_224[[#This Row],[Q4_1]] = 2.5, 0.5, IF(Table_EH_Pre_Survey_May_20__2023_08_224[[#This Row],[Q4_1]] = 3.5, 0.5, 0)))</f>
        <v>0</v>
      </c>
      <c r="AE54" t="s">
        <v>130</v>
      </c>
      <c r="AF54">
        <f>IF(Table_EH_Pre_Survey_May_20__2023_08_224[[#This Row],[Q5 ]]="PM &lt; 2.5 μm", 1, 0)</f>
        <v>0</v>
      </c>
      <c r="AG54" t="s">
        <v>175</v>
      </c>
      <c r="AH54">
        <f>IF(Table_EH_Pre_Survey_May_20__2023_08_224[[#This Row],[Q6]]="Particles of this size are generally absorbed in the respiratory tract and safely excreted in mucus.", 1, 0)</f>
        <v>1</v>
      </c>
      <c r="AI54" t="s">
        <v>206</v>
      </c>
      <c r="AJ54">
        <f>IF(ISNUMBER(SEARCH("Trucks", Table_EH_Pre_Survey_May_20__2023_08_224[[#This Row],[Q7 ]])) = TRUE, 1, 0) + IF(ISNUMBER(SEARCH("Cars", Table_EH_Pre_Survey_May_20__2023_08_224[[#This Row],[Q7 ]])) = TRUE, 1, 0) + IF(ISNUMBER(SEARCH("Fireplaces", Table_EH_Pre_Survey_May_20__2023_08_224[[#This Row],[Q7 ]])) = TRUE, 1, 0) + IF(ISNUMBER(SEARCH("Dirt Roads",Table_EH_Pre_Survey_May_20__2023_08_224[[#This Row],[Q7 ]])) = TRUE, 1, 0) - IF(ISNUMBER(SEARCH("Electric Vehicles",Table_EH_Pre_Survey_May_20__2023_08_224[[#This Row],[Q7 ]])) = TRUE, 1, 0) - IF(ISNUMBER(SEARCH("Pollen", Table_EH_Pre_Survey_May_20__2023_08_224[[#This Row],[Q7 ]])) = TRUE, 1, 0)</f>
        <v>2</v>
      </c>
      <c r="AK54">
        <v>5</v>
      </c>
      <c r="AL54">
        <v>5</v>
      </c>
      <c r="AM54">
        <v>5</v>
      </c>
      <c r="AN54">
        <v>5</v>
      </c>
      <c r="AO54">
        <v>5</v>
      </c>
      <c r="AP54">
        <v>5</v>
      </c>
      <c r="AQ54">
        <v>8</v>
      </c>
      <c r="AR54" t="s">
        <v>576</v>
      </c>
    </row>
    <row r="55" spans="1:44" x14ac:dyDescent="0.25">
      <c r="A55" t="s">
        <v>145</v>
      </c>
      <c r="B55" t="s">
        <v>146</v>
      </c>
      <c r="C55" t="s">
        <v>42</v>
      </c>
      <c r="D55" t="s">
        <v>147</v>
      </c>
      <c r="E55" t="s">
        <v>112</v>
      </c>
      <c r="F55">
        <f>_xlfn.NUMBERVALUE(Table_EH_Pre_Survey_May_20__2023_08_224[[#This Row],[Duration (in seconds) - Duration (in seconds)2]])</f>
        <v>84</v>
      </c>
      <c r="G55" t="s">
        <v>148</v>
      </c>
      <c r="H55" t="s">
        <v>114</v>
      </c>
      <c r="I55" t="s">
        <v>149</v>
      </c>
      <c r="J55" t="s">
        <v>150</v>
      </c>
      <c r="K55" t="s">
        <v>111</v>
      </c>
      <c r="L55" t="s">
        <v>111</v>
      </c>
      <c r="M55" t="s">
        <v>111</v>
      </c>
      <c r="N55" t="s">
        <v>111</v>
      </c>
      <c r="O55" t="s">
        <v>151</v>
      </c>
      <c r="P55" t="s">
        <v>152</v>
      </c>
      <c r="Q55" t="s">
        <v>127</v>
      </c>
      <c r="R55" t="s">
        <v>117</v>
      </c>
      <c r="S55" t="s">
        <v>153</v>
      </c>
      <c r="T55" t="e">
        <f>VLOOKUP(Table_EH_Pre_Survey_May_20__2023_08_224[[#This Row],[Q1 - NetID Post-Survey]], 'Post-Survey Matched Set (36)'!S:S, 1,FALSE)</f>
        <v>#N/A</v>
      </c>
      <c r="U55" s="8">
        <v>2</v>
      </c>
      <c r="V55" s="4">
        <v>2</v>
      </c>
      <c r="W55" s="4">
        <v>4</v>
      </c>
      <c r="X55" s="4">
        <v>2</v>
      </c>
      <c r="Y55" s="4">
        <v>2</v>
      </c>
      <c r="Z55" s="4">
        <v>3</v>
      </c>
      <c r="AA55" s="4">
        <v>2</v>
      </c>
      <c r="AB55" s="4">
        <v>2</v>
      </c>
      <c r="AC55" s="2">
        <v>2</v>
      </c>
      <c r="AD55" s="2">
        <f>IF(Table_EH_Pre_Survey_May_20__2023_08_224[[#This Row],[Q4_1]] = 3, 1, IF(Table_EH_Pre_Survey_May_20__2023_08_224[[#This Row],[Q4_1]] = 2.5, 0.5, IF(Table_EH_Pre_Survey_May_20__2023_08_224[[#This Row],[Q4_1]] = 3.5, 0.5, 0)))</f>
        <v>0</v>
      </c>
      <c r="AE55" t="s">
        <v>154</v>
      </c>
      <c r="AF55">
        <f>IF(Table_EH_Pre_Survey_May_20__2023_08_224[[#This Row],[Q5 ]]="PM &lt; 2.5 μm", 1, 0)</f>
        <v>0</v>
      </c>
      <c r="AG55" t="s">
        <v>155</v>
      </c>
      <c r="AH55">
        <f>IF(Table_EH_Pre_Survey_May_20__2023_08_224[[#This Row],[Q6]]="Particles of this size are generally absorbed in the respiratory tract and safely excreted in mucus.", 1, 0)</f>
        <v>0</v>
      </c>
      <c r="AI55" t="s">
        <v>156</v>
      </c>
      <c r="AJ55">
        <f>IF(ISNUMBER(SEARCH("Trucks", Table_EH_Pre_Survey_May_20__2023_08_224[[#This Row],[Q7 ]])) = TRUE, 1, 0) + IF(ISNUMBER(SEARCH("Cars", Table_EH_Pre_Survey_May_20__2023_08_224[[#This Row],[Q7 ]])) = TRUE, 1, 0) + IF(ISNUMBER(SEARCH("Fireplaces", Table_EH_Pre_Survey_May_20__2023_08_224[[#This Row],[Q7 ]])) = TRUE, 1, 0) + IF(ISNUMBER(SEARCH("Dirt Roads",Table_EH_Pre_Survey_May_20__2023_08_224[[#This Row],[Q7 ]])) = TRUE, 1, 0) - IF(ISNUMBER(SEARCH("Electric Vehicles",Table_EH_Pre_Survey_May_20__2023_08_224[[#This Row],[Q7 ]])) = TRUE, 1, 0) - IF(ISNUMBER(SEARCH("Pollen", Table_EH_Pre_Survey_May_20__2023_08_224[[#This Row],[Q7 ]])) = TRUE, 1, 0)</f>
        <v>4</v>
      </c>
      <c r="AK55">
        <v>2</v>
      </c>
      <c r="AL55">
        <v>3</v>
      </c>
      <c r="AM55">
        <v>1</v>
      </c>
      <c r="AN55">
        <v>2</v>
      </c>
      <c r="AO55">
        <v>2</v>
      </c>
      <c r="AP55">
        <v>2</v>
      </c>
      <c r="AQ55">
        <v>5</v>
      </c>
      <c r="AR55" t="s">
        <v>157</v>
      </c>
    </row>
    <row r="56" spans="1:44" x14ac:dyDescent="0.25">
      <c r="A56" t="s">
        <v>540</v>
      </c>
      <c r="B56" t="s">
        <v>541</v>
      </c>
      <c r="C56" t="s">
        <v>42</v>
      </c>
      <c r="D56" t="s">
        <v>542</v>
      </c>
      <c r="E56" t="s">
        <v>112</v>
      </c>
      <c r="F56">
        <f>_xlfn.NUMBERVALUE(Table_EH_Pre_Survey_May_20__2023_08_224[[#This Row],[Duration (in seconds) - Duration (in seconds)2]])</f>
        <v>181</v>
      </c>
      <c r="G56" t="s">
        <v>543</v>
      </c>
      <c r="H56" t="s">
        <v>114</v>
      </c>
      <c r="I56" t="s">
        <v>541</v>
      </c>
      <c r="J56" t="s">
        <v>544</v>
      </c>
      <c r="K56" t="s">
        <v>111</v>
      </c>
      <c r="L56" t="s">
        <v>111</v>
      </c>
      <c r="M56" t="s">
        <v>111</v>
      </c>
      <c r="N56" t="s">
        <v>111</v>
      </c>
      <c r="O56" t="s">
        <v>351</v>
      </c>
      <c r="P56" t="s">
        <v>352</v>
      </c>
      <c r="Q56" t="s">
        <v>487</v>
      </c>
      <c r="R56" t="s">
        <v>117</v>
      </c>
      <c r="S56" t="s">
        <v>545</v>
      </c>
      <c r="T56" t="e">
        <f>VLOOKUP(Table_EH_Pre_Survey_May_20__2023_08_224[[#This Row],[Q1 - NetID Post-Survey]], 'Post-Survey Matched Set (36)'!S:S, 1,FALSE)</f>
        <v>#N/A</v>
      </c>
      <c r="U56" s="8">
        <v>4</v>
      </c>
      <c r="V56" s="4">
        <v>4</v>
      </c>
      <c r="W56" s="4">
        <v>3</v>
      </c>
      <c r="X56" s="4">
        <v>2</v>
      </c>
      <c r="Y56" s="4">
        <v>3</v>
      </c>
      <c r="Z56" s="4"/>
      <c r="AA56" s="4">
        <v>2</v>
      </c>
      <c r="AB56" s="4">
        <v>0</v>
      </c>
      <c r="AC56" s="2">
        <v>1.5</v>
      </c>
      <c r="AD56" s="2">
        <f>IF(Table_EH_Pre_Survey_May_20__2023_08_224[[#This Row],[Q4_1]] = 3, 1, IF(Table_EH_Pre_Survey_May_20__2023_08_224[[#This Row],[Q4_1]] = 2.5, 0.5, IF(Table_EH_Pre_Survey_May_20__2023_08_224[[#This Row],[Q4_1]] = 3.5, 0.5, 0)))</f>
        <v>0</v>
      </c>
      <c r="AE56" t="s">
        <v>130</v>
      </c>
      <c r="AF56">
        <f>IF(Table_EH_Pre_Survey_May_20__2023_08_224[[#This Row],[Q5 ]]="PM &lt; 2.5 μm", 1, 0)</f>
        <v>0</v>
      </c>
      <c r="AG56" t="s">
        <v>155</v>
      </c>
      <c r="AH56">
        <f>IF(Table_EH_Pre_Survey_May_20__2023_08_224[[#This Row],[Q6]]="Particles of this size are generally absorbed in the respiratory tract and safely excreted in mucus.", 1, 0)</f>
        <v>0</v>
      </c>
      <c r="AI56" t="s">
        <v>546</v>
      </c>
      <c r="AJ56">
        <f>IF(ISNUMBER(SEARCH("Trucks", Table_EH_Pre_Survey_May_20__2023_08_224[[#This Row],[Q7 ]])) = TRUE, 1, 0) + IF(ISNUMBER(SEARCH("Cars", Table_EH_Pre_Survey_May_20__2023_08_224[[#This Row],[Q7 ]])) = TRUE, 1, 0) + IF(ISNUMBER(SEARCH("Fireplaces", Table_EH_Pre_Survey_May_20__2023_08_224[[#This Row],[Q7 ]])) = TRUE, 1, 0) + IF(ISNUMBER(SEARCH("Dirt Roads",Table_EH_Pre_Survey_May_20__2023_08_224[[#This Row],[Q7 ]])) = TRUE, 1, 0) - IF(ISNUMBER(SEARCH("Electric Vehicles",Table_EH_Pre_Survey_May_20__2023_08_224[[#This Row],[Q7 ]])) = TRUE, 1, 0) - IF(ISNUMBER(SEARCH("Pollen", Table_EH_Pre_Survey_May_20__2023_08_224[[#This Row],[Q7 ]])) = TRUE, 1, 0)</f>
        <v>2</v>
      </c>
      <c r="AK56">
        <v>3</v>
      </c>
      <c r="AL56">
        <v>4</v>
      </c>
      <c r="AM56">
        <v>3</v>
      </c>
      <c r="AN56">
        <v>2</v>
      </c>
      <c r="AO56">
        <v>1</v>
      </c>
      <c r="AP56">
        <v>2</v>
      </c>
      <c r="AQ56">
        <v>6</v>
      </c>
      <c r="AR56" t="s">
        <v>547</v>
      </c>
    </row>
    <row r="57" spans="1:44" x14ac:dyDescent="0.25">
      <c r="A57" t="s">
        <v>769</v>
      </c>
      <c r="B57" t="s">
        <v>770</v>
      </c>
      <c r="C57" t="s">
        <v>42</v>
      </c>
      <c r="D57" t="s">
        <v>771</v>
      </c>
      <c r="E57" t="s">
        <v>112</v>
      </c>
      <c r="F57">
        <f>_xlfn.NUMBERVALUE(Table_EH_Pre_Survey_May_20__2023_08_224[[#This Row],[Duration (in seconds) - Duration (in seconds)2]])</f>
        <v>138</v>
      </c>
      <c r="G57" t="s">
        <v>772</v>
      </c>
      <c r="H57" t="s">
        <v>114</v>
      </c>
      <c r="I57" t="s">
        <v>770</v>
      </c>
      <c r="J57" t="s">
        <v>773</v>
      </c>
      <c r="K57" t="s">
        <v>111</v>
      </c>
      <c r="L57" t="s">
        <v>111</v>
      </c>
      <c r="M57" t="s">
        <v>111</v>
      </c>
      <c r="N57" t="s">
        <v>111</v>
      </c>
      <c r="O57" t="s">
        <v>656</v>
      </c>
      <c r="P57" t="s">
        <v>657</v>
      </c>
      <c r="Q57" t="s">
        <v>487</v>
      </c>
      <c r="R57" t="s">
        <v>117</v>
      </c>
      <c r="S57" t="s">
        <v>545</v>
      </c>
      <c r="T57" t="e">
        <f>VLOOKUP(Table_EH_Pre_Survey_May_20__2023_08_224[[#This Row],[Q1 - NetID Post-Survey]], 'Post-Survey Matched Set (36)'!S:S, 1,FALSE)</f>
        <v>#N/A</v>
      </c>
      <c r="U57" s="8">
        <v>4</v>
      </c>
      <c r="V57" s="4">
        <v>5</v>
      </c>
      <c r="W57" s="4">
        <v>3</v>
      </c>
      <c r="X57" s="4">
        <v>5</v>
      </c>
      <c r="Y57" s="4">
        <v>3</v>
      </c>
      <c r="Z57" s="4">
        <v>5</v>
      </c>
      <c r="AA57" s="4">
        <v>5</v>
      </c>
      <c r="AB57" s="4">
        <v>1</v>
      </c>
      <c r="AC57" s="2">
        <v>3.5</v>
      </c>
      <c r="AD57" s="2">
        <f>IF(Table_EH_Pre_Survey_May_20__2023_08_224[[#This Row],[Q4_1]] = 3, 1, IF(Table_EH_Pre_Survey_May_20__2023_08_224[[#This Row],[Q4_1]] = 2.5, 0.5, IF(Table_EH_Pre_Survey_May_20__2023_08_224[[#This Row],[Q4_1]] = 3.5, 0.5, 0)))</f>
        <v>0.5</v>
      </c>
      <c r="AE57" t="s">
        <v>130</v>
      </c>
      <c r="AF57">
        <f>IF(Table_EH_Pre_Survey_May_20__2023_08_224[[#This Row],[Q5 ]]="PM &lt; 2.5 μm", 1, 0)</f>
        <v>0</v>
      </c>
      <c r="AG57" t="s">
        <v>155</v>
      </c>
      <c r="AH57">
        <f>IF(Table_EH_Pre_Survey_May_20__2023_08_224[[#This Row],[Q6]]="Particles of this size are generally absorbed in the respiratory tract and safely excreted in mucus.", 1, 0)</f>
        <v>0</v>
      </c>
      <c r="AI57" t="s">
        <v>132</v>
      </c>
      <c r="AJ57">
        <f>IF(ISNUMBER(SEARCH("Trucks", Table_EH_Pre_Survey_May_20__2023_08_224[[#This Row],[Q7 ]])) = TRUE, 1, 0) + IF(ISNUMBER(SEARCH("Cars", Table_EH_Pre_Survey_May_20__2023_08_224[[#This Row],[Q7 ]])) = TRUE, 1, 0) + IF(ISNUMBER(SEARCH("Fireplaces", Table_EH_Pre_Survey_May_20__2023_08_224[[#This Row],[Q7 ]])) = TRUE, 1, 0) + IF(ISNUMBER(SEARCH("Dirt Roads",Table_EH_Pre_Survey_May_20__2023_08_224[[#This Row],[Q7 ]])) = TRUE, 1, 0) - IF(ISNUMBER(SEARCH("Electric Vehicles",Table_EH_Pre_Survey_May_20__2023_08_224[[#This Row],[Q7 ]])) = TRUE, 1, 0) - IF(ISNUMBER(SEARCH("Pollen", Table_EH_Pre_Survey_May_20__2023_08_224[[#This Row],[Q7 ]])) = TRUE, 1, 0)</f>
        <v>2</v>
      </c>
      <c r="AK57">
        <v>4</v>
      </c>
      <c r="AL57">
        <v>1</v>
      </c>
      <c r="AM57">
        <v>4</v>
      </c>
      <c r="AN57">
        <v>3</v>
      </c>
      <c r="AO57">
        <v>4</v>
      </c>
      <c r="AP57">
        <v>3</v>
      </c>
      <c r="AQ57">
        <v>8</v>
      </c>
      <c r="AR57" t="s">
        <v>774</v>
      </c>
    </row>
    <row r="58" spans="1:44" x14ac:dyDescent="0.25">
      <c r="A58" t="s">
        <v>515</v>
      </c>
      <c r="B58" t="s">
        <v>548</v>
      </c>
      <c r="C58" t="s">
        <v>42</v>
      </c>
      <c r="D58" t="s">
        <v>549</v>
      </c>
      <c r="E58" t="s">
        <v>112</v>
      </c>
      <c r="F58">
        <f>_xlfn.NUMBERVALUE(Table_EH_Pre_Survey_May_20__2023_08_224[[#This Row],[Duration (in seconds) - Duration (in seconds)2]])</f>
        <v>157</v>
      </c>
      <c r="G58" t="s">
        <v>550</v>
      </c>
      <c r="H58" t="s">
        <v>114</v>
      </c>
      <c r="I58" t="s">
        <v>551</v>
      </c>
      <c r="J58" t="s">
        <v>552</v>
      </c>
      <c r="K58" t="s">
        <v>111</v>
      </c>
      <c r="L58" t="s">
        <v>111</v>
      </c>
      <c r="M58" t="s">
        <v>111</v>
      </c>
      <c r="N58" t="s">
        <v>111</v>
      </c>
      <c r="O58" t="s">
        <v>115</v>
      </c>
      <c r="P58" t="s">
        <v>116</v>
      </c>
      <c r="Q58" t="s">
        <v>487</v>
      </c>
      <c r="R58" t="s">
        <v>117</v>
      </c>
      <c r="S58" t="s">
        <v>553</v>
      </c>
      <c r="T58" t="e">
        <f>VLOOKUP(Table_EH_Pre_Survey_May_20__2023_08_224[[#This Row],[Q1 - NetID Post-Survey]], 'Post-Survey Matched Set (36)'!S:S, 1,FALSE)</f>
        <v>#N/A</v>
      </c>
      <c r="U58" s="8">
        <v>2</v>
      </c>
      <c r="V58" s="4">
        <v>2</v>
      </c>
      <c r="W58" s="4">
        <v>5</v>
      </c>
      <c r="X58" s="4">
        <v>5</v>
      </c>
      <c r="Y58" s="4">
        <v>1</v>
      </c>
      <c r="Z58" s="4">
        <v>1</v>
      </c>
      <c r="AA58" s="4">
        <v>0</v>
      </c>
      <c r="AB58" s="4">
        <v>3</v>
      </c>
      <c r="AC58" s="2">
        <v>3</v>
      </c>
      <c r="AD58" s="2">
        <f>IF(Table_EH_Pre_Survey_May_20__2023_08_224[[#This Row],[Q4_1]] = 3, 1, IF(Table_EH_Pre_Survey_May_20__2023_08_224[[#This Row],[Q4_1]] = 2.5, 0.5, IF(Table_EH_Pre_Survey_May_20__2023_08_224[[#This Row],[Q4_1]] = 3.5, 0.5, 0)))</f>
        <v>1</v>
      </c>
      <c r="AE58" t="s">
        <v>130</v>
      </c>
      <c r="AF58">
        <f>IF(Table_EH_Pre_Survey_May_20__2023_08_224[[#This Row],[Q5 ]]="PM &lt; 2.5 μm", 1, 0)</f>
        <v>0</v>
      </c>
      <c r="AG58" t="s">
        <v>141</v>
      </c>
      <c r="AH58">
        <f>IF(Table_EH_Pre_Survey_May_20__2023_08_224[[#This Row],[Q6]]="Particles of this size are generally absorbed in the respiratory tract and safely excreted in mucus.", 1, 0)</f>
        <v>0</v>
      </c>
      <c r="AI58" t="s">
        <v>142</v>
      </c>
      <c r="AJ58">
        <f>IF(ISNUMBER(SEARCH("Trucks", Table_EH_Pre_Survey_May_20__2023_08_224[[#This Row],[Q7 ]])) = TRUE, 1, 0) + IF(ISNUMBER(SEARCH("Cars", Table_EH_Pre_Survey_May_20__2023_08_224[[#This Row],[Q7 ]])) = TRUE, 1, 0) + IF(ISNUMBER(SEARCH("Fireplaces", Table_EH_Pre_Survey_May_20__2023_08_224[[#This Row],[Q7 ]])) = TRUE, 1, 0) + IF(ISNUMBER(SEARCH("Dirt Roads",Table_EH_Pre_Survey_May_20__2023_08_224[[#This Row],[Q7 ]])) = TRUE, 1, 0) - IF(ISNUMBER(SEARCH("Electric Vehicles",Table_EH_Pre_Survey_May_20__2023_08_224[[#This Row],[Q7 ]])) = TRUE, 1, 0) - IF(ISNUMBER(SEARCH("Pollen", Table_EH_Pre_Survey_May_20__2023_08_224[[#This Row],[Q7 ]])) = TRUE, 1, 0)</f>
        <v>2</v>
      </c>
      <c r="AK58">
        <v>3</v>
      </c>
      <c r="AL58">
        <v>0</v>
      </c>
      <c r="AM58">
        <v>3</v>
      </c>
      <c r="AN58">
        <v>0</v>
      </c>
      <c r="AO58">
        <v>1</v>
      </c>
      <c r="AP58">
        <v>4</v>
      </c>
      <c r="AQ58">
        <v>5</v>
      </c>
      <c r="AR58" t="s">
        <v>111</v>
      </c>
    </row>
    <row r="59" spans="1:44" x14ac:dyDescent="0.25">
      <c r="A59" t="s">
        <v>765</v>
      </c>
      <c r="B59" t="s">
        <v>766</v>
      </c>
      <c r="C59" t="s">
        <v>42</v>
      </c>
      <c r="D59" t="s">
        <v>389</v>
      </c>
      <c r="E59" t="s">
        <v>112</v>
      </c>
      <c r="F59">
        <f>_xlfn.NUMBERVALUE(Table_EH_Pre_Survey_May_20__2023_08_224[[#This Row],[Duration (in seconds) - Duration (in seconds)2]])</f>
        <v>100</v>
      </c>
      <c r="G59" t="s">
        <v>112</v>
      </c>
      <c r="H59" t="s">
        <v>114</v>
      </c>
      <c r="I59" t="s">
        <v>766</v>
      </c>
      <c r="J59" t="s">
        <v>767</v>
      </c>
      <c r="K59" t="s">
        <v>111</v>
      </c>
      <c r="L59" t="s">
        <v>111</v>
      </c>
      <c r="M59" t="s">
        <v>111</v>
      </c>
      <c r="N59" t="s">
        <v>111</v>
      </c>
      <c r="O59" t="s">
        <v>392</v>
      </c>
      <c r="P59" t="s">
        <v>393</v>
      </c>
      <c r="Q59" t="s">
        <v>487</v>
      </c>
      <c r="R59" t="s">
        <v>117</v>
      </c>
      <c r="S59" t="s">
        <v>768</v>
      </c>
      <c r="T59" t="e">
        <f>VLOOKUP(Table_EH_Pre_Survey_May_20__2023_08_224[[#This Row],[Q1 - NetID Post-Survey]], 'Post-Survey Matched Set (36)'!S:S, 1,FALSE)</f>
        <v>#N/A</v>
      </c>
      <c r="U59" s="8">
        <v>5</v>
      </c>
      <c r="V59" s="4">
        <v>4</v>
      </c>
      <c r="W59" s="4">
        <v>5</v>
      </c>
      <c r="X59" s="4">
        <v>5</v>
      </c>
      <c r="Y59" s="4">
        <v>5</v>
      </c>
      <c r="Z59" s="4">
        <v>5</v>
      </c>
      <c r="AA59" s="4">
        <v>5</v>
      </c>
      <c r="AB59" s="4">
        <v>5</v>
      </c>
      <c r="AC59" s="2">
        <v>4.5</v>
      </c>
      <c r="AD59" s="2">
        <f>IF(Table_EH_Pre_Survey_May_20__2023_08_224[[#This Row],[Q4_1]] = 3, 1, IF(Table_EH_Pre_Survey_May_20__2023_08_224[[#This Row],[Q4_1]] = 2.5, 0.5, IF(Table_EH_Pre_Survey_May_20__2023_08_224[[#This Row],[Q4_1]] = 3.5, 0.5, 0)))</f>
        <v>0</v>
      </c>
      <c r="AE59" t="s">
        <v>130</v>
      </c>
      <c r="AF59">
        <f>IF(Table_EH_Pre_Survey_May_20__2023_08_224[[#This Row],[Q5 ]]="PM &lt; 2.5 μm", 1, 0)</f>
        <v>0</v>
      </c>
      <c r="AG59" t="s">
        <v>141</v>
      </c>
      <c r="AH59">
        <f>IF(Table_EH_Pre_Survey_May_20__2023_08_224[[#This Row],[Q6]]="Particles of this size are generally absorbed in the respiratory tract and safely excreted in mucus.", 1, 0)</f>
        <v>0</v>
      </c>
      <c r="AI59" t="s">
        <v>156</v>
      </c>
      <c r="AJ59">
        <f>IF(ISNUMBER(SEARCH("Trucks", Table_EH_Pre_Survey_May_20__2023_08_224[[#This Row],[Q7 ]])) = TRUE, 1, 0) + IF(ISNUMBER(SEARCH("Cars", Table_EH_Pre_Survey_May_20__2023_08_224[[#This Row],[Q7 ]])) = TRUE, 1, 0) + IF(ISNUMBER(SEARCH("Fireplaces", Table_EH_Pre_Survey_May_20__2023_08_224[[#This Row],[Q7 ]])) = TRUE, 1, 0) + IF(ISNUMBER(SEARCH("Dirt Roads",Table_EH_Pre_Survey_May_20__2023_08_224[[#This Row],[Q7 ]])) = TRUE, 1, 0) - IF(ISNUMBER(SEARCH("Electric Vehicles",Table_EH_Pre_Survey_May_20__2023_08_224[[#This Row],[Q7 ]])) = TRUE, 1, 0) - IF(ISNUMBER(SEARCH("Pollen", Table_EH_Pre_Survey_May_20__2023_08_224[[#This Row],[Q7 ]])) = TRUE, 1, 0)</f>
        <v>4</v>
      </c>
      <c r="AK59">
        <v>5</v>
      </c>
      <c r="AL59">
        <v>5</v>
      </c>
      <c r="AM59">
        <v>5</v>
      </c>
      <c r="AN59">
        <v>5</v>
      </c>
      <c r="AO59">
        <v>5</v>
      </c>
      <c r="AP59">
        <v>3</v>
      </c>
      <c r="AQ59">
        <v>10</v>
      </c>
      <c r="AR59" t="s">
        <v>111</v>
      </c>
    </row>
    <row r="60" spans="1:44" x14ac:dyDescent="0.25">
      <c r="A60" t="s">
        <v>779</v>
      </c>
      <c r="B60" t="s">
        <v>780</v>
      </c>
      <c r="C60" t="s">
        <v>42</v>
      </c>
      <c r="D60" t="s">
        <v>389</v>
      </c>
      <c r="E60" t="s">
        <v>112</v>
      </c>
      <c r="F60">
        <f>_xlfn.NUMBERVALUE(Table_EH_Pre_Survey_May_20__2023_08_224[[#This Row],[Duration (in seconds) - Duration (in seconds)2]])</f>
        <v>5879</v>
      </c>
      <c r="G60" t="s">
        <v>781</v>
      </c>
      <c r="H60" t="s">
        <v>114</v>
      </c>
      <c r="I60" t="s">
        <v>780</v>
      </c>
      <c r="J60" t="s">
        <v>782</v>
      </c>
      <c r="K60" t="s">
        <v>111</v>
      </c>
      <c r="L60" t="s">
        <v>111</v>
      </c>
      <c r="M60" t="s">
        <v>111</v>
      </c>
      <c r="N60" t="s">
        <v>111</v>
      </c>
      <c r="O60" t="s">
        <v>392</v>
      </c>
      <c r="P60" t="s">
        <v>393</v>
      </c>
      <c r="Q60" t="s">
        <v>127</v>
      </c>
      <c r="R60" t="s">
        <v>117</v>
      </c>
      <c r="S60" t="s">
        <v>783</v>
      </c>
      <c r="T60" t="e">
        <f>VLOOKUP(Table_EH_Pre_Survey_May_20__2023_08_224[[#This Row],[Q1 - NetID Post-Survey]], 'Post-Survey Matched Set (36)'!S:S, 1,FALSE)</f>
        <v>#N/A</v>
      </c>
      <c r="U60" s="8">
        <v>4</v>
      </c>
      <c r="V60" s="4">
        <v>3</v>
      </c>
      <c r="W60" s="4">
        <v>2</v>
      </c>
      <c r="X60" s="4">
        <v>5</v>
      </c>
      <c r="Y60" s="4">
        <v>2</v>
      </c>
      <c r="Z60" s="4">
        <v>5</v>
      </c>
      <c r="AA60" s="4">
        <v>5</v>
      </c>
      <c r="AB60" s="4">
        <v>1</v>
      </c>
      <c r="AC60" s="2">
        <v>5</v>
      </c>
      <c r="AD60" s="2">
        <f>IF(Table_EH_Pre_Survey_May_20__2023_08_224[[#This Row],[Q4_1]] = 3, 1, IF(Table_EH_Pre_Survey_May_20__2023_08_224[[#This Row],[Q4_1]] = 2.5, 0.5, IF(Table_EH_Pre_Survey_May_20__2023_08_224[[#This Row],[Q4_1]] = 3.5, 0.5, 0)))</f>
        <v>0</v>
      </c>
      <c r="AE60" t="s">
        <v>130</v>
      </c>
      <c r="AF60">
        <f>IF(Table_EH_Pre_Survey_May_20__2023_08_224[[#This Row],[Q5 ]]="PM &lt; 2.5 μm", 1, 0)</f>
        <v>0</v>
      </c>
      <c r="AG60" t="s">
        <v>155</v>
      </c>
      <c r="AH60">
        <f>IF(Table_EH_Pre_Survey_May_20__2023_08_224[[#This Row],[Q6]]="Particles of this size are generally absorbed in the respiratory tract and safely excreted in mucus.", 1, 0)</f>
        <v>0</v>
      </c>
      <c r="AI60" t="s">
        <v>526</v>
      </c>
      <c r="AJ60">
        <f>IF(ISNUMBER(SEARCH("Trucks", Table_EH_Pre_Survey_May_20__2023_08_224[[#This Row],[Q7 ]])) = TRUE, 1, 0) + IF(ISNUMBER(SEARCH("Cars", Table_EH_Pre_Survey_May_20__2023_08_224[[#This Row],[Q7 ]])) = TRUE, 1, 0) + IF(ISNUMBER(SEARCH("Fireplaces", Table_EH_Pre_Survey_May_20__2023_08_224[[#This Row],[Q7 ]])) = TRUE, 1, 0) + IF(ISNUMBER(SEARCH("Dirt Roads",Table_EH_Pre_Survey_May_20__2023_08_224[[#This Row],[Q7 ]])) = TRUE, 1, 0) - IF(ISNUMBER(SEARCH("Electric Vehicles",Table_EH_Pre_Survey_May_20__2023_08_224[[#This Row],[Q7 ]])) = TRUE, 1, 0) - IF(ISNUMBER(SEARCH("Pollen", Table_EH_Pre_Survey_May_20__2023_08_224[[#This Row],[Q7 ]])) = TRUE, 1, 0)</f>
        <v>-1</v>
      </c>
      <c r="AK60">
        <v>5</v>
      </c>
      <c r="AL60">
        <v>3</v>
      </c>
      <c r="AM60">
        <v>1</v>
      </c>
      <c r="AN60">
        <v>1</v>
      </c>
      <c r="AO60">
        <v>2</v>
      </c>
      <c r="AP60">
        <v>5</v>
      </c>
      <c r="AQ60">
        <v>8</v>
      </c>
      <c r="AR60" t="s">
        <v>784</v>
      </c>
    </row>
    <row r="61" spans="1:44" x14ac:dyDescent="0.25">
      <c r="A61" t="s">
        <v>197</v>
      </c>
      <c r="B61" t="s">
        <v>198</v>
      </c>
      <c r="C61" t="s">
        <v>42</v>
      </c>
      <c r="D61" t="s">
        <v>199</v>
      </c>
      <c r="E61" t="s">
        <v>112</v>
      </c>
      <c r="F61">
        <f>_xlfn.NUMBERVALUE(Table_EH_Pre_Survey_May_20__2023_08_224[[#This Row],[Duration (in seconds) - Duration (in seconds)2]])</f>
        <v>234</v>
      </c>
      <c r="G61" t="s">
        <v>200</v>
      </c>
      <c r="H61" t="s">
        <v>114</v>
      </c>
      <c r="I61" t="s">
        <v>201</v>
      </c>
      <c r="J61" t="s">
        <v>202</v>
      </c>
      <c r="K61" t="s">
        <v>111</v>
      </c>
      <c r="L61" t="s">
        <v>111</v>
      </c>
      <c r="M61" t="s">
        <v>111</v>
      </c>
      <c r="N61" t="s">
        <v>111</v>
      </c>
      <c r="O61" t="s">
        <v>203</v>
      </c>
      <c r="P61" t="s">
        <v>204</v>
      </c>
      <c r="Q61" t="s">
        <v>127</v>
      </c>
      <c r="R61" t="s">
        <v>117</v>
      </c>
      <c r="S61" t="s">
        <v>205</v>
      </c>
      <c r="T61" t="e">
        <f>VLOOKUP(Table_EH_Pre_Survey_May_20__2023_08_224[[#This Row],[Q1 - NetID Post-Survey]], 'Post-Survey Matched Set (36)'!S:S, 1,FALSE)</f>
        <v>#N/A</v>
      </c>
      <c r="U61" s="8">
        <v>5</v>
      </c>
      <c r="V61" s="4">
        <v>5</v>
      </c>
      <c r="W61" s="4">
        <v>5</v>
      </c>
      <c r="X61" s="4">
        <v>5</v>
      </c>
      <c r="Y61" s="4">
        <v>4</v>
      </c>
      <c r="Z61" s="4">
        <v>4</v>
      </c>
      <c r="AA61" s="4">
        <v>5</v>
      </c>
      <c r="AB61" s="4">
        <v>5</v>
      </c>
      <c r="AC61" s="2">
        <v>3.5</v>
      </c>
      <c r="AD61" s="2">
        <f>IF(Table_EH_Pre_Survey_May_20__2023_08_224[[#This Row],[Q4_1]] = 3, 1, IF(Table_EH_Pre_Survey_May_20__2023_08_224[[#This Row],[Q4_1]] = 2.5, 0.5, IF(Table_EH_Pre_Survey_May_20__2023_08_224[[#This Row],[Q4_1]] = 3.5, 0.5, 0)))</f>
        <v>0.5</v>
      </c>
      <c r="AE61" t="s">
        <v>130</v>
      </c>
      <c r="AF61">
        <f>IF(Table_EH_Pre_Survey_May_20__2023_08_224[[#This Row],[Q5 ]]="PM &lt; 2.5 μm", 1, 0)</f>
        <v>0</v>
      </c>
      <c r="AG61" t="s">
        <v>141</v>
      </c>
      <c r="AH61">
        <f>IF(Table_EH_Pre_Survey_May_20__2023_08_224[[#This Row],[Q6]]="Particles of this size are generally absorbed in the respiratory tract and safely excreted in mucus.", 1, 0)</f>
        <v>0</v>
      </c>
      <c r="AI61" t="s">
        <v>206</v>
      </c>
      <c r="AJ61">
        <f>IF(ISNUMBER(SEARCH("Trucks", Table_EH_Pre_Survey_May_20__2023_08_224[[#This Row],[Q7 ]])) = TRUE, 1, 0) + IF(ISNUMBER(SEARCH("Cars", Table_EH_Pre_Survey_May_20__2023_08_224[[#This Row],[Q7 ]])) = TRUE, 1, 0) + IF(ISNUMBER(SEARCH("Fireplaces", Table_EH_Pre_Survey_May_20__2023_08_224[[#This Row],[Q7 ]])) = TRUE, 1, 0) + IF(ISNUMBER(SEARCH("Dirt Roads",Table_EH_Pre_Survey_May_20__2023_08_224[[#This Row],[Q7 ]])) = TRUE, 1, 0) - IF(ISNUMBER(SEARCH("Electric Vehicles",Table_EH_Pre_Survey_May_20__2023_08_224[[#This Row],[Q7 ]])) = TRUE, 1, 0) - IF(ISNUMBER(SEARCH("Pollen", Table_EH_Pre_Survey_May_20__2023_08_224[[#This Row],[Q7 ]])) = TRUE, 1, 0)</f>
        <v>2</v>
      </c>
      <c r="AK61">
        <v>5</v>
      </c>
      <c r="AL61">
        <v>4</v>
      </c>
      <c r="AM61">
        <v>5</v>
      </c>
      <c r="AN61">
        <v>4</v>
      </c>
      <c r="AO61">
        <v>5</v>
      </c>
      <c r="AP61">
        <v>4</v>
      </c>
      <c r="AQ61">
        <v>9</v>
      </c>
      <c r="AR61" t="s">
        <v>208</v>
      </c>
    </row>
    <row r="62" spans="1:44" x14ac:dyDescent="0.25">
      <c r="A62" t="s">
        <v>672</v>
      </c>
      <c r="B62" t="s">
        <v>673</v>
      </c>
      <c r="C62" t="s">
        <v>42</v>
      </c>
      <c r="D62" t="s">
        <v>674</v>
      </c>
      <c r="E62" t="s">
        <v>112</v>
      </c>
      <c r="F62">
        <f>_xlfn.NUMBERVALUE(Table_EH_Pre_Survey_May_20__2023_08_224[[#This Row],[Duration (in seconds) - Duration (in seconds)2]])</f>
        <v>320</v>
      </c>
      <c r="G62" t="s">
        <v>675</v>
      </c>
      <c r="H62" t="s">
        <v>114</v>
      </c>
      <c r="I62" t="s">
        <v>673</v>
      </c>
      <c r="J62" t="s">
        <v>676</v>
      </c>
      <c r="K62" t="s">
        <v>111</v>
      </c>
      <c r="L62" t="s">
        <v>111</v>
      </c>
      <c r="M62" t="s">
        <v>111</v>
      </c>
      <c r="N62" t="s">
        <v>111</v>
      </c>
      <c r="O62" t="s">
        <v>351</v>
      </c>
      <c r="P62" t="s">
        <v>352</v>
      </c>
      <c r="Q62" t="s">
        <v>487</v>
      </c>
      <c r="R62" t="s">
        <v>117</v>
      </c>
      <c r="S62" t="s">
        <v>677</v>
      </c>
      <c r="T62" t="e">
        <f>VLOOKUP(Table_EH_Pre_Survey_May_20__2023_08_224[[#This Row],[Q1 - NetID Post-Survey]], 'Post-Survey Matched Set (36)'!S:S, 1,FALSE)</f>
        <v>#N/A</v>
      </c>
      <c r="U62" s="8">
        <v>5</v>
      </c>
      <c r="V62" s="4">
        <v>3</v>
      </c>
      <c r="W62" s="4">
        <v>5</v>
      </c>
      <c r="X62" s="4">
        <v>5</v>
      </c>
      <c r="Y62" s="4">
        <v>3</v>
      </c>
      <c r="Z62" s="4">
        <v>4</v>
      </c>
      <c r="AA62" s="4">
        <v>5</v>
      </c>
      <c r="AB62" s="4">
        <v>5</v>
      </c>
      <c r="AC62" s="2">
        <v>3</v>
      </c>
      <c r="AD62" s="2">
        <f>IF(Table_EH_Pre_Survey_May_20__2023_08_224[[#This Row],[Q4_1]] = 3, 1, IF(Table_EH_Pre_Survey_May_20__2023_08_224[[#This Row],[Q4_1]] = 2.5, 0.5, IF(Table_EH_Pre_Survey_May_20__2023_08_224[[#This Row],[Q4_1]] = 3.5, 0.5, 0)))</f>
        <v>1</v>
      </c>
      <c r="AE62" t="s">
        <v>154</v>
      </c>
      <c r="AF62">
        <f>IF(Table_EH_Pre_Survey_May_20__2023_08_224[[#This Row],[Q5 ]]="PM &lt; 2.5 μm", 1, 0)</f>
        <v>0</v>
      </c>
      <c r="AG62" t="s">
        <v>175</v>
      </c>
      <c r="AH62">
        <f>IF(Table_EH_Pre_Survey_May_20__2023_08_224[[#This Row],[Q6]]="Particles of this size are generally absorbed in the respiratory tract and safely excreted in mucus.", 1, 0)</f>
        <v>1</v>
      </c>
      <c r="AI62" t="s">
        <v>186</v>
      </c>
      <c r="AJ62">
        <f>IF(ISNUMBER(SEARCH("Trucks", Table_EH_Pre_Survey_May_20__2023_08_224[[#This Row],[Q7 ]])) = TRUE, 1, 0) + IF(ISNUMBER(SEARCH("Cars", Table_EH_Pre_Survey_May_20__2023_08_224[[#This Row],[Q7 ]])) = TRUE, 1, 0) + IF(ISNUMBER(SEARCH("Fireplaces", Table_EH_Pre_Survey_May_20__2023_08_224[[#This Row],[Q7 ]])) = TRUE, 1, 0) + IF(ISNUMBER(SEARCH("Dirt Roads",Table_EH_Pre_Survey_May_20__2023_08_224[[#This Row],[Q7 ]])) = TRUE, 1, 0) - IF(ISNUMBER(SEARCH("Electric Vehicles",Table_EH_Pre_Survey_May_20__2023_08_224[[#This Row],[Q7 ]])) = TRUE, 1, 0) - IF(ISNUMBER(SEARCH("Pollen", Table_EH_Pre_Survey_May_20__2023_08_224[[#This Row],[Q7 ]])) = TRUE, 1, 0)</f>
        <v>3</v>
      </c>
      <c r="AK62">
        <v>3</v>
      </c>
      <c r="AL62">
        <v>4</v>
      </c>
      <c r="AM62">
        <v>4</v>
      </c>
      <c r="AN62">
        <v>4</v>
      </c>
      <c r="AO62">
        <v>4</v>
      </c>
      <c r="AP62">
        <v>4</v>
      </c>
      <c r="AQ62">
        <v>8</v>
      </c>
      <c r="AR62" t="s">
        <v>678</v>
      </c>
    </row>
    <row r="63" spans="1:44" x14ac:dyDescent="0.25">
      <c r="A63" t="s">
        <v>233</v>
      </c>
      <c r="B63" t="s">
        <v>234</v>
      </c>
      <c r="C63" t="s">
        <v>42</v>
      </c>
      <c r="D63" t="s">
        <v>235</v>
      </c>
      <c r="E63" t="s">
        <v>112</v>
      </c>
      <c r="F63">
        <f>_xlfn.NUMBERVALUE(Table_EH_Pre_Survey_May_20__2023_08_224[[#This Row],[Duration (in seconds) - Duration (in seconds)2]])</f>
        <v>174</v>
      </c>
      <c r="G63" t="s">
        <v>236</v>
      </c>
      <c r="H63" t="s">
        <v>114</v>
      </c>
      <c r="I63" t="s">
        <v>234</v>
      </c>
      <c r="J63" t="s">
        <v>237</v>
      </c>
      <c r="K63" t="s">
        <v>111</v>
      </c>
      <c r="L63" t="s">
        <v>111</v>
      </c>
      <c r="M63" t="s">
        <v>111</v>
      </c>
      <c r="N63" t="s">
        <v>111</v>
      </c>
      <c r="O63" t="s">
        <v>238</v>
      </c>
      <c r="P63" t="s">
        <v>239</v>
      </c>
      <c r="Q63" t="s">
        <v>127</v>
      </c>
      <c r="R63" t="s">
        <v>117</v>
      </c>
      <c r="S63" t="s">
        <v>240</v>
      </c>
      <c r="T63" t="e">
        <f>VLOOKUP(Table_EH_Pre_Survey_May_20__2023_08_224[[#This Row],[Q1 - NetID Post-Survey]], 'Post-Survey Matched Set (36)'!S:S, 1,FALSE)</f>
        <v>#N/A</v>
      </c>
      <c r="U63" s="8">
        <v>5</v>
      </c>
      <c r="V63" s="4">
        <v>4</v>
      </c>
      <c r="W63" s="4">
        <v>3</v>
      </c>
      <c r="X63" s="4">
        <v>4</v>
      </c>
      <c r="Y63" s="4">
        <v>3</v>
      </c>
      <c r="Z63" s="4">
        <v>4</v>
      </c>
      <c r="AA63" s="4">
        <v>5</v>
      </c>
      <c r="AB63" s="4">
        <v>2</v>
      </c>
      <c r="AC63" s="2">
        <v>4</v>
      </c>
      <c r="AD63" s="2">
        <f>IF(Table_EH_Pre_Survey_May_20__2023_08_224[[#This Row],[Q4_1]] = 3, 1, IF(Table_EH_Pre_Survey_May_20__2023_08_224[[#This Row],[Q4_1]] = 2.5, 0.5, IF(Table_EH_Pre_Survey_May_20__2023_08_224[[#This Row],[Q4_1]] = 3.5, 0.5, 0)))</f>
        <v>0</v>
      </c>
      <c r="AE63" t="s">
        <v>130</v>
      </c>
      <c r="AF63">
        <f>IF(Table_EH_Pre_Survey_May_20__2023_08_224[[#This Row],[Q5 ]]="PM &lt; 2.5 μm", 1, 0)</f>
        <v>0</v>
      </c>
      <c r="AG63" t="s">
        <v>131</v>
      </c>
      <c r="AH63">
        <f>IF(Table_EH_Pre_Survey_May_20__2023_08_224[[#This Row],[Q6]]="Particles of this size are generally absorbed in the respiratory tract and safely excreted in mucus.", 1, 0)</f>
        <v>0</v>
      </c>
      <c r="AI63" t="s">
        <v>167</v>
      </c>
      <c r="AJ63">
        <f>IF(ISNUMBER(SEARCH("Trucks", Table_EH_Pre_Survey_May_20__2023_08_224[[#This Row],[Q7 ]])) = TRUE, 1, 0) + IF(ISNUMBER(SEARCH("Cars", Table_EH_Pre_Survey_May_20__2023_08_224[[#This Row],[Q7 ]])) = TRUE, 1, 0) + IF(ISNUMBER(SEARCH("Fireplaces", Table_EH_Pre_Survey_May_20__2023_08_224[[#This Row],[Q7 ]])) = TRUE, 1, 0) + IF(ISNUMBER(SEARCH("Dirt Roads",Table_EH_Pre_Survey_May_20__2023_08_224[[#This Row],[Q7 ]])) = TRUE, 1, 0) - IF(ISNUMBER(SEARCH("Electric Vehicles",Table_EH_Pre_Survey_May_20__2023_08_224[[#This Row],[Q7 ]])) = TRUE, 1, 0) - IF(ISNUMBER(SEARCH("Pollen", Table_EH_Pre_Survey_May_20__2023_08_224[[#This Row],[Q7 ]])) = TRUE, 1, 0)</f>
        <v>3</v>
      </c>
      <c r="AK63">
        <v>4</v>
      </c>
      <c r="AL63">
        <v>3</v>
      </c>
      <c r="AM63">
        <v>4</v>
      </c>
      <c r="AN63">
        <v>3</v>
      </c>
      <c r="AO63">
        <v>4</v>
      </c>
      <c r="AP63">
        <v>4</v>
      </c>
      <c r="AQ63">
        <v>8</v>
      </c>
      <c r="AR63" t="s">
        <v>241</v>
      </c>
    </row>
    <row r="64" spans="1:44" x14ac:dyDescent="0.25">
      <c r="A64" t="s">
        <v>679</v>
      </c>
      <c r="B64" t="s">
        <v>680</v>
      </c>
      <c r="C64" t="s">
        <v>42</v>
      </c>
      <c r="D64" t="s">
        <v>681</v>
      </c>
      <c r="E64" t="s">
        <v>112</v>
      </c>
      <c r="F64">
        <f>_xlfn.NUMBERVALUE(Table_EH_Pre_Survey_May_20__2023_08_224[[#This Row],[Duration (in seconds) - Duration (in seconds)2]])</f>
        <v>343</v>
      </c>
      <c r="G64" t="s">
        <v>682</v>
      </c>
      <c r="H64" t="s">
        <v>114</v>
      </c>
      <c r="I64" t="s">
        <v>680</v>
      </c>
      <c r="J64" t="s">
        <v>683</v>
      </c>
      <c r="K64" t="s">
        <v>111</v>
      </c>
      <c r="L64" t="s">
        <v>111</v>
      </c>
      <c r="M64" t="s">
        <v>111</v>
      </c>
      <c r="N64" t="s">
        <v>111</v>
      </c>
      <c r="O64" t="s">
        <v>351</v>
      </c>
      <c r="P64" t="s">
        <v>352</v>
      </c>
      <c r="Q64" t="s">
        <v>127</v>
      </c>
      <c r="R64" t="s">
        <v>117</v>
      </c>
      <c r="S64" t="s">
        <v>684</v>
      </c>
      <c r="T64" t="e">
        <f>VLOOKUP(Table_EH_Pre_Survey_May_20__2023_08_224[[#This Row],[Q1 - NetID Post-Survey]], 'Post-Survey Matched Set (36)'!S:S, 1,FALSE)</f>
        <v>#N/A</v>
      </c>
      <c r="U64" s="8">
        <v>3</v>
      </c>
      <c r="V64" s="4">
        <v>4</v>
      </c>
      <c r="W64" s="4">
        <v>4</v>
      </c>
      <c r="X64" s="4">
        <v>3</v>
      </c>
      <c r="Y64" s="4">
        <v>3</v>
      </c>
      <c r="Z64" s="4">
        <v>2</v>
      </c>
      <c r="AA64" s="4">
        <v>5</v>
      </c>
      <c r="AB64" s="4">
        <v>3</v>
      </c>
      <c r="AC64" s="2">
        <v>3.5</v>
      </c>
      <c r="AD64" s="2">
        <f>IF(Table_EH_Pre_Survey_May_20__2023_08_224[[#This Row],[Q4_1]] = 3, 1, IF(Table_EH_Pre_Survey_May_20__2023_08_224[[#This Row],[Q4_1]] = 2.5, 0.5, IF(Table_EH_Pre_Survey_May_20__2023_08_224[[#This Row],[Q4_1]] = 3.5, 0.5, 0)))</f>
        <v>0.5</v>
      </c>
      <c r="AE64" t="s">
        <v>130</v>
      </c>
      <c r="AF64">
        <f>IF(Table_EH_Pre_Survey_May_20__2023_08_224[[#This Row],[Q5 ]]="PM &lt; 2.5 μm", 1, 0)</f>
        <v>0</v>
      </c>
      <c r="AG64" t="s">
        <v>141</v>
      </c>
      <c r="AH64">
        <f>IF(Table_EH_Pre_Survey_May_20__2023_08_224[[#This Row],[Q6]]="Particles of this size are generally absorbed in the respiratory tract and safely excreted in mucus.", 1, 0)</f>
        <v>0</v>
      </c>
      <c r="AI64" t="s">
        <v>258</v>
      </c>
      <c r="AJ64">
        <f>IF(ISNUMBER(SEARCH("Trucks", Table_EH_Pre_Survey_May_20__2023_08_224[[#This Row],[Q7 ]])) = TRUE, 1, 0) + IF(ISNUMBER(SEARCH("Cars", Table_EH_Pre_Survey_May_20__2023_08_224[[#This Row],[Q7 ]])) = TRUE, 1, 0) + IF(ISNUMBER(SEARCH("Fireplaces", Table_EH_Pre_Survey_May_20__2023_08_224[[#This Row],[Q7 ]])) = TRUE, 1, 0) + IF(ISNUMBER(SEARCH("Dirt Roads",Table_EH_Pre_Survey_May_20__2023_08_224[[#This Row],[Q7 ]])) = TRUE, 1, 0) - IF(ISNUMBER(SEARCH("Electric Vehicles",Table_EH_Pre_Survey_May_20__2023_08_224[[#This Row],[Q7 ]])) = TRUE, 1, 0) - IF(ISNUMBER(SEARCH("Pollen", Table_EH_Pre_Survey_May_20__2023_08_224[[#This Row],[Q7 ]])) = TRUE, 1, 0)</f>
        <v>1</v>
      </c>
      <c r="AK64">
        <v>3</v>
      </c>
      <c r="AL64">
        <v>3</v>
      </c>
      <c r="AM64">
        <v>3</v>
      </c>
      <c r="AN64">
        <v>3</v>
      </c>
      <c r="AO64">
        <v>3</v>
      </c>
      <c r="AP64">
        <v>3</v>
      </c>
      <c r="AQ64">
        <v>5</v>
      </c>
      <c r="AR64" t="s">
        <v>111</v>
      </c>
    </row>
    <row r="65" spans="1:44" x14ac:dyDescent="0.25">
      <c r="A65" t="s">
        <v>738</v>
      </c>
      <c r="B65" t="s">
        <v>739</v>
      </c>
      <c r="C65" t="s">
        <v>42</v>
      </c>
      <c r="D65" t="s">
        <v>389</v>
      </c>
      <c r="E65" t="s">
        <v>112</v>
      </c>
      <c r="F65">
        <f>_xlfn.NUMBERVALUE(Table_EH_Pre_Survey_May_20__2023_08_224[[#This Row],[Duration (in seconds) - Duration (in seconds)2]])</f>
        <v>136</v>
      </c>
      <c r="G65" t="s">
        <v>740</v>
      </c>
      <c r="H65" t="s">
        <v>114</v>
      </c>
      <c r="I65" t="s">
        <v>739</v>
      </c>
      <c r="J65" t="s">
        <v>741</v>
      </c>
      <c r="K65" t="s">
        <v>111</v>
      </c>
      <c r="L65" t="s">
        <v>111</v>
      </c>
      <c r="M65" t="s">
        <v>111</v>
      </c>
      <c r="N65" t="s">
        <v>111</v>
      </c>
      <c r="O65" t="s">
        <v>392</v>
      </c>
      <c r="P65" t="s">
        <v>393</v>
      </c>
      <c r="Q65" t="s">
        <v>127</v>
      </c>
      <c r="R65" t="s">
        <v>117</v>
      </c>
      <c r="S65" t="s">
        <v>742</v>
      </c>
      <c r="T65" t="e">
        <f>VLOOKUP(Table_EH_Pre_Survey_May_20__2023_08_224[[#This Row],[Q1 - NetID Post-Survey]], 'Post-Survey Matched Set (36)'!S:S, 1,FALSE)</f>
        <v>#N/A</v>
      </c>
      <c r="U65" s="8">
        <v>5</v>
      </c>
      <c r="V65" s="4">
        <v>4</v>
      </c>
      <c r="W65" s="4">
        <v>5</v>
      </c>
      <c r="X65" s="4">
        <v>5</v>
      </c>
      <c r="Y65" s="4">
        <v>5</v>
      </c>
      <c r="Z65" s="4">
        <v>5</v>
      </c>
      <c r="AA65" s="4">
        <v>5</v>
      </c>
      <c r="AB65" s="4">
        <v>3</v>
      </c>
      <c r="AC65" s="2">
        <v>3.5</v>
      </c>
      <c r="AD65" s="2">
        <f>IF(Table_EH_Pre_Survey_May_20__2023_08_224[[#This Row],[Q4_1]] = 3, 1, IF(Table_EH_Pre_Survey_May_20__2023_08_224[[#This Row],[Q4_1]] = 2.5, 0.5, IF(Table_EH_Pre_Survey_May_20__2023_08_224[[#This Row],[Q4_1]] = 3.5, 0.5, 0)))</f>
        <v>0.5</v>
      </c>
      <c r="AE65" t="s">
        <v>130</v>
      </c>
      <c r="AF65">
        <f>IF(Table_EH_Pre_Survey_May_20__2023_08_224[[#This Row],[Q5 ]]="PM &lt; 2.5 μm", 1, 0)</f>
        <v>0</v>
      </c>
      <c r="AG65" t="s">
        <v>131</v>
      </c>
      <c r="AH65">
        <f>IF(Table_EH_Pre_Survey_May_20__2023_08_224[[#This Row],[Q6]]="Particles of this size are generally absorbed in the respiratory tract and safely excreted in mucus.", 1, 0)</f>
        <v>0</v>
      </c>
      <c r="AI65" t="s">
        <v>420</v>
      </c>
      <c r="AJ65">
        <f>IF(ISNUMBER(SEARCH("Trucks", Table_EH_Pre_Survey_May_20__2023_08_224[[#This Row],[Q7 ]])) = TRUE, 1, 0) + IF(ISNUMBER(SEARCH("Cars", Table_EH_Pre_Survey_May_20__2023_08_224[[#This Row],[Q7 ]])) = TRUE, 1, 0) + IF(ISNUMBER(SEARCH("Fireplaces", Table_EH_Pre_Survey_May_20__2023_08_224[[#This Row],[Q7 ]])) = TRUE, 1, 0) + IF(ISNUMBER(SEARCH("Dirt Roads",Table_EH_Pre_Survey_May_20__2023_08_224[[#This Row],[Q7 ]])) = TRUE, 1, 0) - IF(ISNUMBER(SEARCH("Electric Vehicles",Table_EH_Pre_Survey_May_20__2023_08_224[[#This Row],[Q7 ]])) = TRUE, 1, 0) - IF(ISNUMBER(SEARCH("Pollen", Table_EH_Pre_Survey_May_20__2023_08_224[[#This Row],[Q7 ]])) = TRUE, 1, 0)</f>
        <v>1</v>
      </c>
      <c r="AK65">
        <v>4</v>
      </c>
      <c r="AL65">
        <v>3</v>
      </c>
      <c r="AM65">
        <v>3</v>
      </c>
      <c r="AN65">
        <v>5</v>
      </c>
      <c r="AO65">
        <v>5</v>
      </c>
      <c r="AP65">
        <v>5</v>
      </c>
      <c r="AQ65">
        <v>7</v>
      </c>
      <c r="AR65" t="s">
        <v>111</v>
      </c>
    </row>
    <row r="66" spans="1:44" x14ac:dyDescent="0.25">
      <c r="A66" t="s">
        <v>632</v>
      </c>
      <c r="B66" t="s">
        <v>633</v>
      </c>
      <c r="C66" t="s">
        <v>42</v>
      </c>
      <c r="D66" t="s">
        <v>389</v>
      </c>
      <c r="E66" t="s">
        <v>112</v>
      </c>
      <c r="F66">
        <f>_xlfn.NUMBERVALUE(Table_EH_Pre_Survey_May_20__2023_08_224[[#This Row],[Duration (in seconds) - Duration (in seconds)2]])</f>
        <v>267</v>
      </c>
      <c r="G66" t="s">
        <v>634</v>
      </c>
      <c r="H66" t="s">
        <v>114</v>
      </c>
      <c r="I66" t="s">
        <v>635</v>
      </c>
      <c r="J66" t="s">
        <v>636</v>
      </c>
      <c r="K66" t="s">
        <v>111</v>
      </c>
      <c r="L66" t="s">
        <v>111</v>
      </c>
      <c r="M66" t="s">
        <v>111</v>
      </c>
      <c r="N66" t="s">
        <v>111</v>
      </c>
      <c r="O66" t="s">
        <v>392</v>
      </c>
      <c r="P66" t="s">
        <v>393</v>
      </c>
      <c r="Q66" t="s">
        <v>487</v>
      </c>
      <c r="R66" t="s">
        <v>117</v>
      </c>
      <c r="S66" t="s">
        <v>637</v>
      </c>
      <c r="T66" t="e">
        <f>VLOOKUP(Table_EH_Pre_Survey_May_20__2023_08_224[[#This Row],[Q1 - NetID Post-Survey]], 'Post-Survey Matched Set (36)'!S:S, 1,FALSE)</f>
        <v>#N/A</v>
      </c>
      <c r="U66" s="8">
        <v>4</v>
      </c>
      <c r="V66" s="4">
        <v>4</v>
      </c>
      <c r="W66" s="4">
        <v>3</v>
      </c>
      <c r="X66" s="4">
        <v>5</v>
      </c>
      <c r="Y66" s="4">
        <v>3</v>
      </c>
      <c r="Z66" s="4">
        <v>3</v>
      </c>
      <c r="AA66" s="4">
        <v>4</v>
      </c>
      <c r="AB66" s="4">
        <v>3</v>
      </c>
      <c r="AC66" s="2">
        <v>4</v>
      </c>
      <c r="AD66" s="2">
        <f>IF(Table_EH_Pre_Survey_May_20__2023_08_224[[#This Row],[Q4_1]] = 3, 1, IF(Table_EH_Pre_Survey_May_20__2023_08_224[[#This Row],[Q4_1]] = 2.5, 0.5, IF(Table_EH_Pre_Survey_May_20__2023_08_224[[#This Row],[Q4_1]] = 3.5, 0.5, 0)))</f>
        <v>0</v>
      </c>
      <c r="AE66" t="s">
        <v>130</v>
      </c>
      <c r="AF66">
        <f>IF(Table_EH_Pre_Survey_May_20__2023_08_224[[#This Row],[Q5 ]]="PM &lt; 2.5 μm", 1, 0)</f>
        <v>0</v>
      </c>
      <c r="AG66" t="s">
        <v>175</v>
      </c>
      <c r="AH66">
        <f>IF(Table_EH_Pre_Survey_May_20__2023_08_224[[#This Row],[Q6]]="Particles of this size are generally absorbed in the respiratory tract and safely excreted in mucus.", 1, 0)</f>
        <v>1</v>
      </c>
      <c r="AI66" t="s">
        <v>327</v>
      </c>
      <c r="AJ66">
        <f>IF(ISNUMBER(SEARCH("Trucks", Table_EH_Pre_Survey_May_20__2023_08_224[[#This Row],[Q7 ]])) = TRUE, 1, 0) + IF(ISNUMBER(SEARCH("Cars", Table_EH_Pre_Survey_May_20__2023_08_224[[#This Row],[Q7 ]])) = TRUE, 1, 0) + IF(ISNUMBER(SEARCH("Fireplaces", Table_EH_Pre_Survey_May_20__2023_08_224[[#This Row],[Q7 ]])) = TRUE, 1, 0) + IF(ISNUMBER(SEARCH("Dirt Roads",Table_EH_Pre_Survey_May_20__2023_08_224[[#This Row],[Q7 ]])) = TRUE, 1, 0) - IF(ISNUMBER(SEARCH("Electric Vehicles",Table_EH_Pre_Survey_May_20__2023_08_224[[#This Row],[Q7 ]])) = TRUE, 1, 0) - IF(ISNUMBER(SEARCH("Pollen", Table_EH_Pre_Survey_May_20__2023_08_224[[#This Row],[Q7 ]])) = TRUE, 1, 0)</f>
        <v>1</v>
      </c>
      <c r="AK66">
        <v>5</v>
      </c>
      <c r="AL66">
        <v>3</v>
      </c>
      <c r="AM66">
        <v>2</v>
      </c>
      <c r="AN66">
        <v>2</v>
      </c>
      <c r="AO66">
        <v>4</v>
      </c>
      <c r="AP66">
        <v>3</v>
      </c>
      <c r="AQ66">
        <v>6</v>
      </c>
      <c r="AR66" t="s">
        <v>638</v>
      </c>
    </row>
    <row r="67" spans="1:44" x14ac:dyDescent="0.25">
      <c r="E67" t="s">
        <v>1315</v>
      </c>
      <c r="F67" s="4">
        <f>AVERAGE(F2:F66)</f>
        <v>391.5846153846154</v>
      </c>
      <c r="U67" s="5">
        <f t="shared" ref="U67:AR67" si="0">AVERAGE(U2:U66)</f>
        <v>4.0307692307692307</v>
      </c>
      <c r="V67" s="9">
        <f t="shared" si="0"/>
        <v>3.7076923076923078</v>
      </c>
      <c r="W67" s="9">
        <f t="shared" si="0"/>
        <v>4.046153846153846</v>
      </c>
      <c r="X67" s="9">
        <f t="shared" si="0"/>
        <v>4.430769230769231</v>
      </c>
      <c r="Y67" s="9">
        <f t="shared" si="0"/>
        <v>3.03125</v>
      </c>
      <c r="Z67" s="9">
        <f t="shared" si="0"/>
        <v>3.4920634920634921</v>
      </c>
      <c r="AA67" s="9">
        <f t="shared" si="0"/>
        <v>4.5846153846153843</v>
      </c>
      <c r="AB67" s="9">
        <f t="shared" si="0"/>
        <v>2.806451612903226</v>
      </c>
      <c r="AC67" s="9">
        <f t="shared" si="0"/>
        <v>3.523076923076923</v>
      </c>
      <c r="AD67" s="9"/>
      <c r="AE67" s="9" t="e">
        <f t="shared" si="0"/>
        <v>#DIV/0!</v>
      </c>
      <c r="AF67" s="9"/>
      <c r="AG67" s="9" t="e">
        <f t="shared" si="0"/>
        <v>#DIV/0!</v>
      </c>
      <c r="AH67" s="9"/>
      <c r="AI67" s="9" t="e">
        <f t="shared" si="0"/>
        <v>#DIV/0!</v>
      </c>
      <c r="AJ67" s="9"/>
      <c r="AK67" s="9">
        <f t="shared" si="0"/>
        <v>3.25</v>
      </c>
      <c r="AL67" s="9">
        <f t="shared" si="0"/>
        <v>2.532258064516129</v>
      </c>
      <c r="AM67" s="9">
        <f t="shared" si="0"/>
        <v>3.2063492063492065</v>
      </c>
      <c r="AN67" s="9">
        <f t="shared" si="0"/>
        <v>2.7619047619047619</v>
      </c>
      <c r="AO67" s="9">
        <f t="shared" si="0"/>
        <v>3.59375</v>
      </c>
      <c r="AP67" s="9">
        <f t="shared" si="0"/>
        <v>3.6190476190476191</v>
      </c>
      <c r="AQ67" s="9">
        <f t="shared" si="0"/>
        <v>7.3076923076923075</v>
      </c>
      <c r="AR67" s="9" t="e">
        <f t="shared" si="0"/>
        <v>#DIV/0!</v>
      </c>
    </row>
    <row r="68" spans="1:44" x14ac:dyDescent="0.25">
      <c r="E68" t="s">
        <v>1316</v>
      </c>
      <c r="F68" s="2">
        <f>TRIMMEAN(F2:F66, 0.1)</f>
        <v>196.93220338983051</v>
      </c>
      <c r="U68" s="8">
        <f t="shared" ref="U68:AR68" si="1">COUNT(U2:U66)</f>
        <v>65</v>
      </c>
      <c r="V68" s="8">
        <f t="shared" si="1"/>
        <v>65</v>
      </c>
      <c r="W68" s="8">
        <f t="shared" si="1"/>
        <v>65</v>
      </c>
      <c r="X68" s="8">
        <f t="shared" si="1"/>
        <v>65</v>
      </c>
      <c r="Y68" s="8">
        <f t="shared" si="1"/>
        <v>64</v>
      </c>
      <c r="Z68" s="8">
        <f t="shared" si="1"/>
        <v>63</v>
      </c>
      <c r="AA68" s="8">
        <f t="shared" si="1"/>
        <v>65</v>
      </c>
      <c r="AB68" s="8">
        <f t="shared" si="1"/>
        <v>62</v>
      </c>
      <c r="AC68" s="8">
        <f t="shared" si="1"/>
        <v>65</v>
      </c>
      <c r="AD68" s="8"/>
      <c r="AE68" s="8">
        <f t="shared" si="1"/>
        <v>0</v>
      </c>
      <c r="AF68" s="8"/>
      <c r="AG68" s="8">
        <f t="shared" si="1"/>
        <v>0</v>
      </c>
      <c r="AH68" s="8"/>
      <c r="AI68" s="8">
        <f t="shared" si="1"/>
        <v>0</v>
      </c>
      <c r="AJ68" s="8"/>
      <c r="AK68" s="8">
        <f t="shared" si="1"/>
        <v>64</v>
      </c>
      <c r="AL68" s="8">
        <f t="shared" si="1"/>
        <v>62</v>
      </c>
      <c r="AM68" s="8">
        <f t="shared" si="1"/>
        <v>63</v>
      </c>
      <c r="AN68" s="8">
        <f t="shared" si="1"/>
        <v>63</v>
      </c>
      <c r="AO68" s="8">
        <f t="shared" si="1"/>
        <v>64</v>
      </c>
      <c r="AP68" s="8">
        <f t="shared" si="1"/>
        <v>63</v>
      </c>
      <c r="AQ68" s="8">
        <f t="shared" si="1"/>
        <v>65</v>
      </c>
      <c r="AR68" s="8">
        <f t="shared" si="1"/>
        <v>0</v>
      </c>
    </row>
    <row r="69" spans="1:44" x14ac:dyDescent="0.25">
      <c r="U69" s="10"/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07335-A04A-0243-86D3-1D3D15074902}">
  <dimension ref="A1:AS53"/>
  <sheetViews>
    <sheetView topLeftCell="F1" zoomScale="80" zoomScaleNormal="80" workbookViewId="0">
      <selection activeCell="AD4" sqref="AD4"/>
    </sheetView>
  </sheetViews>
  <sheetFormatPr defaultColWidth="10.625" defaultRowHeight="15.75" x14ac:dyDescent="0.25"/>
  <cols>
    <col min="1" max="1" width="50.375" hidden="1" customWidth="1"/>
    <col min="2" max="2" width="49.5" hidden="1" customWidth="1"/>
    <col min="3" max="3" width="18.5" hidden="1" customWidth="1"/>
    <col min="4" max="4" width="21.625" hidden="1" customWidth="1"/>
    <col min="5" max="5" width="10.875" customWidth="1"/>
    <col min="6" max="6" width="20.375" bestFit="1" customWidth="1"/>
    <col min="7" max="7" width="20.375" hidden="1" customWidth="1"/>
    <col min="8" max="8" width="20" hidden="1" customWidth="1"/>
    <col min="9" max="9" width="53.875" hidden="1" customWidth="1"/>
    <col min="10" max="10" width="21.125" hidden="1" customWidth="1"/>
    <col min="11" max="11" width="29.375" hidden="1" customWidth="1"/>
    <col min="12" max="12" width="29.625" hidden="1" customWidth="1"/>
    <col min="13" max="13" width="25.5" hidden="1" customWidth="1"/>
    <col min="14" max="14" width="32.875" hidden="1" customWidth="1"/>
    <col min="15" max="15" width="27" hidden="1" customWidth="1"/>
    <col min="16" max="16" width="28.375" hidden="1" customWidth="1"/>
    <col min="17" max="17" width="29.625" hidden="1" customWidth="1"/>
    <col min="18" max="18" width="25" hidden="1" customWidth="1"/>
    <col min="19" max="19" width="13.25" customWidth="1"/>
    <col min="20" max="20" width="15.375" customWidth="1"/>
    <col min="21" max="21" width="5.875" bestFit="1" customWidth="1"/>
    <col min="22" max="29" width="7.875" bestFit="1" customWidth="1"/>
    <col min="30" max="30" width="12.875" customWidth="1"/>
    <col min="31" max="31" width="12.125" bestFit="1" customWidth="1"/>
    <col min="32" max="32" width="12.375" bestFit="1" customWidth="1"/>
    <col min="33" max="33" width="18.625" customWidth="1"/>
    <col min="34" max="34" width="12.375" bestFit="1" customWidth="1"/>
    <col min="35" max="35" width="14.125" customWidth="1"/>
    <col min="36" max="36" width="13.25" customWidth="1"/>
    <col min="37" max="43" width="7.875" bestFit="1" customWidth="1"/>
    <col min="44" max="44" width="25.875" customWidth="1"/>
    <col min="45" max="45" width="16.875" customWidth="1"/>
  </cols>
  <sheetData>
    <row r="1" spans="1:45" s="1" customFormat="1" ht="31.5" x14ac:dyDescent="0.25">
      <c r="A1" s="1" t="s">
        <v>913</v>
      </c>
      <c r="B1" s="1" t="s">
        <v>914</v>
      </c>
      <c r="C1" s="1" t="s">
        <v>915</v>
      </c>
      <c r="D1" s="1" t="s">
        <v>916</v>
      </c>
      <c r="E1" s="1" t="s">
        <v>917</v>
      </c>
      <c r="F1" s="1" t="s">
        <v>918</v>
      </c>
      <c r="G1" s="1" t="s">
        <v>0</v>
      </c>
      <c r="H1" s="1" t="s">
        <v>919</v>
      </c>
      <c r="I1" s="1" t="s">
        <v>920</v>
      </c>
      <c r="J1" s="1" t="s">
        <v>921</v>
      </c>
      <c r="K1" s="1" t="s">
        <v>922</v>
      </c>
      <c r="L1" s="1" t="s">
        <v>923</v>
      </c>
      <c r="M1" s="1" t="s">
        <v>924</v>
      </c>
      <c r="N1" s="1" t="s">
        <v>925</v>
      </c>
      <c r="O1" s="1" t="s">
        <v>926</v>
      </c>
      <c r="P1" s="1" t="s">
        <v>927</v>
      </c>
      <c r="Q1" s="1" t="s">
        <v>928</v>
      </c>
      <c r="R1" s="1" t="s">
        <v>929</v>
      </c>
      <c r="S1" s="1" t="s">
        <v>1375</v>
      </c>
      <c r="T1" s="1" t="s">
        <v>1376</v>
      </c>
      <c r="U1" s="1" t="s">
        <v>1364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1391</v>
      </c>
      <c r="AE1" s="1" t="s">
        <v>1366</v>
      </c>
      <c r="AF1" s="1" t="s">
        <v>1373</v>
      </c>
      <c r="AG1" s="1" t="s">
        <v>29</v>
      </c>
      <c r="AH1" s="1" t="s">
        <v>1374</v>
      </c>
      <c r="AI1" s="1" t="s">
        <v>1368</v>
      </c>
      <c r="AJ1" s="1" t="s">
        <v>1380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1370</v>
      </c>
      <c r="AS1" s="1" t="s">
        <v>1377</v>
      </c>
    </row>
    <row r="2" spans="1:45" x14ac:dyDescent="0.25">
      <c r="A2" t="s">
        <v>1035</v>
      </c>
      <c r="B2" t="s">
        <v>1036</v>
      </c>
      <c r="C2" t="s">
        <v>42</v>
      </c>
      <c r="D2" t="s">
        <v>398</v>
      </c>
      <c r="E2" t="s">
        <v>112</v>
      </c>
      <c r="F2" s="3">
        <v>409</v>
      </c>
      <c r="G2" s="3">
        <f>_xlfn.NUMBERVALUE(Table_EH_Post_Survey_May_22__2023_11_005[[#This Row],[Duration (in seconds) - Duration (in seconds)]])</f>
        <v>409</v>
      </c>
      <c r="H2" t="s">
        <v>114</v>
      </c>
      <c r="I2" t="s">
        <v>1037</v>
      </c>
      <c r="J2" t="s">
        <v>1038</v>
      </c>
      <c r="K2" t="s">
        <v>111</v>
      </c>
      <c r="L2" t="s">
        <v>111</v>
      </c>
      <c r="M2" t="s">
        <v>111</v>
      </c>
      <c r="N2" t="s">
        <v>111</v>
      </c>
      <c r="O2" t="s">
        <v>351</v>
      </c>
      <c r="P2" t="s">
        <v>352</v>
      </c>
      <c r="Q2" t="s">
        <v>487</v>
      </c>
      <c r="R2" t="s">
        <v>117</v>
      </c>
      <c r="S2" s="17" t="s">
        <v>480</v>
      </c>
      <c r="T2" s="17" t="str">
        <f>VLOOKUP(Table_EH_Post_Survey_May_22__2023_11_005[[#This Row],[Q1 - NetID Post Survey]], Table_EH_Pre_Survey_May_20__2023_08_224[Q1 - NetID Post-Survey], 1, FALSE)</f>
        <v>aac195</v>
      </c>
      <c r="U2">
        <v>5</v>
      </c>
      <c r="V2">
        <v>4</v>
      </c>
      <c r="W2">
        <v>5</v>
      </c>
      <c r="X2">
        <v>5</v>
      </c>
      <c r="Y2">
        <v>2</v>
      </c>
      <c r="Z2">
        <v>4</v>
      </c>
      <c r="AA2">
        <v>5</v>
      </c>
      <c r="AB2">
        <v>4</v>
      </c>
      <c r="AC2">
        <v>3</v>
      </c>
      <c r="AD2">
        <f>IF(Table_EH_Post_Survey_May_22__2023_11_005[[#This Row],[Q4_1]] = 3, 1, IF(Table_EH_Post_Survey_May_22__2023_11_005[[#This Row],[Q4_1]] = 2.5, 0.5, IF(Table_EH_Post_Survey_May_22__2023_11_005[[#This Row],[Q4_1]] = 3.5, 0.5, 0)))</f>
        <v>1</v>
      </c>
      <c r="AE2" t="s">
        <v>154</v>
      </c>
      <c r="AF2" s="1">
        <f>IF(Table_EH_Post_Survey_May_22__2023_11_005[[#This Row],[Q5 ]]="PM &lt; 2.5 μm", 1, 0)</f>
        <v>0</v>
      </c>
      <c r="AG2" t="s">
        <v>175</v>
      </c>
      <c r="AH2">
        <f>IF(Table_EH_Post_Survey_May_22__2023_11_005[[#This Row],[Q6]]="Particles of this size are generally absorbed in the respiratory tract and safely excreted in mucus.", 1, 0)</f>
        <v>1</v>
      </c>
      <c r="AI2" t="s">
        <v>1019</v>
      </c>
      <c r="AJ2">
        <f>IF(ISNUMBER(SEARCH("Trucks", Table_EH_Post_Survey_May_22__2023_11_005[[#This Row],[Q7 ]])) = TRUE, 1, 0) + IF(ISNUMBER(SEARCH("Cars", Table_EH_Post_Survey_May_22__2023_11_005[[#This Row],[Q7 ]])) = TRUE, 1, 0) + IF(ISNUMBER(SEARCH("Fireplaces", Table_EH_Post_Survey_May_22__2023_11_005[[#This Row],[Q7 ]])) = TRUE, 1, 0) + IF(ISNUMBER(SEARCH("Dirt Roads",Table_EH_Post_Survey_May_22__2023_11_005[[#This Row],[Q7 ]])) = TRUE, 1, 0) - IF(ISNUMBER(SEARCH("Electric Vehicles",Table_EH_Post_Survey_May_22__2023_11_005[[#This Row],[Q7 ]])) = TRUE, 1, 0) - IF(ISNUMBER(SEARCH("Pollen", Table_EH_Post_Survey_May_22__2023_11_005[[#This Row],[Q7 ]])) = TRUE, 1, 0)</f>
        <v>2</v>
      </c>
      <c r="AK2">
        <v>4</v>
      </c>
      <c r="AL2">
        <v>4</v>
      </c>
      <c r="AM2">
        <v>5</v>
      </c>
      <c r="AN2">
        <v>4</v>
      </c>
      <c r="AO2">
        <v>5</v>
      </c>
      <c r="AP2">
        <v>5</v>
      </c>
      <c r="AQ2">
        <v>10</v>
      </c>
      <c r="AR2" t="s">
        <v>1039</v>
      </c>
      <c r="AS2" t="s">
        <v>1378</v>
      </c>
    </row>
    <row r="3" spans="1:45" x14ac:dyDescent="0.25">
      <c r="A3" t="s">
        <v>1184</v>
      </c>
      <c r="B3" t="s">
        <v>1185</v>
      </c>
      <c r="C3" t="s">
        <v>42</v>
      </c>
      <c r="D3" t="s">
        <v>307</v>
      </c>
      <c r="E3" t="s">
        <v>112</v>
      </c>
      <c r="F3" s="3">
        <v>77</v>
      </c>
      <c r="G3" s="3">
        <f>_xlfn.NUMBERVALUE(Table_EH_Post_Survey_May_22__2023_11_005[[#This Row],[Duration (in seconds) - Duration (in seconds)]])</f>
        <v>77</v>
      </c>
      <c r="H3" t="s">
        <v>114</v>
      </c>
      <c r="I3" t="s">
        <v>1186</v>
      </c>
      <c r="J3" t="s">
        <v>1187</v>
      </c>
      <c r="K3" t="s">
        <v>111</v>
      </c>
      <c r="L3" t="s">
        <v>111</v>
      </c>
      <c r="M3" t="s">
        <v>111</v>
      </c>
      <c r="N3" t="s">
        <v>111</v>
      </c>
      <c r="O3" t="s">
        <v>311</v>
      </c>
      <c r="P3" t="s">
        <v>312</v>
      </c>
      <c r="Q3" t="s">
        <v>127</v>
      </c>
      <c r="R3" t="s">
        <v>117</v>
      </c>
      <c r="S3" s="17" t="s">
        <v>313</v>
      </c>
      <c r="T3" s="17" t="str">
        <f>VLOOKUP(Table_EH_Post_Survey_May_22__2023_11_005[[#This Row],[Q1 - NetID Post Survey]], Table_EH_Pre_Survey_May_20__2023_08_224[Q1 - NetID Post-Survey], 1, FALSE)</f>
        <v>aar258</v>
      </c>
      <c r="U3">
        <v>5</v>
      </c>
      <c r="V3">
        <v>5</v>
      </c>
      <c r="W3">
        <v>5</v>
      </c>
      <c r="X3">
        <v>5</v>
      </c>
      <c r="Y3">
        <v>5</v>
      </c>
      <c r="Z3">
        <v>5</v>
      </c>
      <c r="AA3">
        <v>5</v>
      </c>
      <c r="AB3">
        <v>5</v>
      </c>
      <c r="AC3">
        <v>4.5</v>
      </c>
      <c r="AD3">
        <f>IF(Table_EH_Post_Survey_May_22__2023_11_005[[#This Row],[Q4_1]] = 3, 1, IF(Table_EH_Post_Survey_May_22__2023_11_005[[#This Row],[Q4_1]] = 2.5, 0.5, IF(Table_EH_Post_Survey_May_22__2023_11_005[[#This Row],[Q4_1]] = 3.5, 0.5, 0)))</f>
        <v>0</v>
      </c>
      <c r="AE3" t="s">
        <v>140</v>
      </c>
      <c r="AF3">
        <f>IF(Table_EH_Post_Survey_May_22__2023_11_005[[#This Row],[Q5 ]]="PM &lt; 2.5 μm", 1, 0)</f>
        <v>1</v>
      </c>
      <c r="AG3" t="s">
        <v>131</v>
      </c>
      <c r="AH3">
        <f>IF(Table_EH_Post_Survey_May_22__2023_11_005[[#This Row],[Q6]]="Particles of this size are generally absorbed in the respiratory tract and safely excreted in mucus.", 1, 0)</f>
        <v>0</v>
      </c>
      <c r="AI3" t="s">
        <v>167</v>
      </c>
      <c r="AJ3">
        <f>IF(ISNUMBER(SEARCH("Trucks", Table_EH_Post_Survey_May_22__2023_11_005[[#This Row],[Q7 ]])) = TRUE, 1, 0) + IF(ISNUMBER(SEARCH("Cars", Table_EH_Post_Survey_May_22__2023_11_005[[#This Row],[Q7 ]])) = TRUE, 1, 0) + IF(ISNUMBER(SEARCH("Fireplaces", Table_EH_Post_Survey_May_22__2023_11_005[[#This Row],[Q7 ]])) = TRUE, 1, 0) + IF(ISNUMBER(SEARCH("Dirt Roads",Table_EH_Post_Survey_May_22__2023_11_005[[#This Row],[Q7 ]])) = TRUE, 1, 0) - IF(ISNUMBER(SEARCH("Electric Vehicles",Table_EH_Post_Survey_May_22__2023_11_005[[#This Row],[Q7 ]])) = TRUE, 1, 0) - IF(ISNUMBER(SEARCH("Pollen", Table_EH_Post_Survey_May_22__2023_11_005[[#This Row],[Q7 ]])) = TRUE, 1, 0)</f>
        <v>3</v>
      </c>
      <c r="AK3">
        <v>5</v>
      </c>
      <c r="AL3">
        <v>5</v>
      </c>
      <c r="AM3">
        <v>5</v>
      </c>
      <c r="AN3">
        <v>5</v>
      </c>
      <c r="AO3">
        <v>5</v>
      </c>
      <c r="AP3">
        <v>5</v>
      </c>
      <c r="AQ3">
        <v>10</v>
      </c>
      <c r="AR3" t="s">
        <v>1188</v>
      </c>
      <c r="AS3" t="s">
        <v>1326</v>
      </c>
    </row>
    <row r="4" spans="1:45" x14ac:dyDescent="0.25">
      <c r="A4" t="s">
        <v>1132</v>
      </c>
      <c r="B4" t="s">
        <v>1133</v>
      </c>
      <c r="C4" t="s">
        <v>42</v>
      </c>
      <c r="D4" t="s">
        <v>307</v>
      </c>
      <c r="E4" t="s">
        <v>112</v>
      </c>
      <c r="F4" s="3">
        <v>53</v>
      </c>
      <c r="G4" s="3">
        <f>_xlfn.NUMBERVALUE(Table_EH_Post_Survey_May_22__2023_11_005[[#This Row],[Duration (in seconds) - Duration (in seconds)]])</f>
        <v>53</v>
      </c>
      <c r="H4" t="s">
        <v>114</v>
      </c>
      <c r="I4" t="s">
        <v>1133</v>
      </c>
      <c r="J4" t="s">
        <v>1134</v>
      </c>
      <c r="K4" t="s">
        <v>111</v>
      </c>
      <c r="L4" t="s">
        <v>111</v>
      </c>
      <c r="M4" t="s">
        <v>111</v>
      </c>
      <c r="N4" t="s">
        <v>111</v>
      </c>
      <c r="O4" t="s">
        <v>311</v>
      </c>
      <c r="P4" t="s">
        <v>312</v>
      </c>
      <c r="Q4" t="s">
        <v>127</v>
      </c>
      <c r="R4" t="s">
        <v>117</v>
      </c>
      <c r="S4" s="17" t="s">
        <v>1135</v>
      </c>
      <c r="T4" s="17" t="str">
        <f>VLOOKUP(Table_EH_Post_Survey_May_22__2023_11_005[[#This Row],[Q1 - NetID Post Survey]], Table_EH_Pre_Survey_May_20__2023_08_224[Q1 - NetID Post-Survey], 1, FALSE)</f>
        <v>Agg108</v>
      </c>
      <c r="U4">
        <v>5</v>
      </c>
      <c r="V4">
        <v>3</v>
      </c>
      <c r="W4">
        <v>4</v>
      </c>
      <c r="X4">
        <v>4</v>
      </c>
      <c r="Y4">
        <v>2</v>
      </c>
      <c r="Z4">
        <v>2</v>
      </c>
      <c r="AA4">
        <v>5</v>
      </c>
      <c r="AB4">
        <v>2</v>
      </c>
      <c r="AC4">
        <v>2.5</v>
      </c>
      <c r="AD4">
        <f>IF(Table_EH_Post_Survey_May_22__2023_11_005[[#This Row],[Q4_1]] = 3, 1, IF(Table_EH_Post_Survey_May_22__2023_11_005[[#This Row],[Q4_1]] = 2.5, 0.5, IF(Table_EH_Post_Survey_May_22__2023_11_005[[#This Row],[Q4_1]] = 3.5, 0.5, 0)))</f>
        <v>0.5</v>
      </c>
      <c r="AE4" t="s">
        <v>185</v>
      </c>
      <c r="AF4">
        <f>IF(Table_EH_Post_Survey_May_22__2023_11_005[[#This Row],[Q5 ]]="PM &lt; 2.5 μm", 1, 0)</f>
        <v>0</v>
      </c>
      <c r="AG4" t="s">
        <v>175</v>
      </c>
      <c r="AH4">
        <f>IF(Table_EH_Post_Survey_May_22__2023_11_005[[#This Row],[Q6]]="Particles of this size are generally absorbed in the respiratory tract and safely excreted in mucus.", 1, 0)</f>
        <v>1</v>
      </c>
      <c r="AI4" t="s">
        <v>142</v>
      </c>
      <c r="AJ4">
        <f>IF(ISNUMBER(SEARCH("Trucks", Table_EH_Post_Survey_May_22__2023_11_005[[#This Row],[Q7 ]])) = TRUE, 1, 0) + IF(ISNUMBER(SEARCH("Cars", Table_EH_Post_Survey_May_22__2023_11_005[[#This Row],[Q7 ]])) = TRUE, 1, 0) + IF(ISNUMBER(SEARCH("Fireplaces", Table_EH_Post_Survey_May_22__2023_11_005[[#This Row],[Q7 ]])) = TRUE, 1, 0) + IF(ISNUMBER(SEARCH("Dirt Roads",Table_EH_Post_Survey_May_22__2023_11_005[[#This Row],[Q7 ]])) = TRUE, 1, 0) - IF(ISNUMBER(SEARCH("Electric Vehicles",Table_EH_Post_Survey_May_22__2023_11_005[[#This Row],[Q7 ]])) = TRUE, 1, 0) - IF(ISNUMBER(SEARCH("Pollen", Table_EH_Post_Survey_May_22__2023_11_005[[#This Row],[Q7 ]])) = TRUE, 1, 0)</f>
        <v>2</v>
      </c>
      <c r="AK4">
        <v>4</v>
      </c>
      <c r="AL4">
        <v>4</v>
      </c>
      <c r="AM4">
        <v>4</v>
      </c>
      <c r="AN4">
        <v>4</v>
      </c>
      <c r="AO4">
        <v>4</v>
      </c>
      <c r="AP4">
        <v>4</v>
      </c>
      <c r="AQ4">
        <v>8</v>
      </c>
      <c r="AR4" t="s">
        <v>1136</v>
      </c>
      <c r="AS4" t="s">
        <v>1378</v>
      </c>
    </row>
    <row r="5" spans="1:45" x14ac:dyDescent="0.25">
      <c r="A5" t="s">
        <v>984</v>
      </c>
      <c r="B5" t="s">
        <v>985</v>
      </c>
      <c r="C5" t="s">
        <v>42</v>
      </c>
      <c r="D5" t="s">
        <v>986</v>
      </c>
      <c r="E5" s="2" t="s">
        <v>112</v>
      </c>
      <c r="F5" s="3">
        <v>93</v>
      </c>
      <c r="G5" s="3">
        <f>_xlfn.NUMBERVALUE(Table_EH_Post_Survey_May_22__2023_11_005[[#This Row],[Duration (in seconds) - Duration (in seconds)]])</f>
        <v>93</v>
      </c>
      <c r="H5" t="s">
        <v>114</v>
      </c>
      <c r="I5" t="s">
        <v>985</v>
      </c>
      <c r="J5" t="s">
        <v>987</v>
      </c>
      <c r="K5" t="s">
        <v>111</v>
      </c>
      <c r="L5" t="s">
        <v>111</v>
      </c>
      <c r="M5" t="s">
        <v>111</v>
      </c>
      <c r="N5" t="s">
        <v>111</v>
      </c>
      <c r="O5" t="s">
        <v>988</v>
      </c>
      <c r="P5" t="s">
        <v>989</v>
      </c>
      <c r="Q5" t="s">
        <v>487</v>
      </c>
      <c r="R5" t="s">
        <v>117</v>
      </c>
      <c r="S5" s="17" t="s">
        <v>990</v>
      </c>
      <c r="T5" s="17" t="str">
        <f>VLOOKUP(Table_EH_Post_Survey_May_22__2023_11_005[[#This Row],[Q1 - NetID Post Survey]], Table_EH_Pre_Survey_May_20__2023_08_224[Q1 - NetID Post-Survey], 1, FALSE)</f>
        <v>amc754</v>
      </c>
      <c r="U5">
        <v>5</v>
      </c>
      <c r="V5">
        <v>5</v>
      </c>
      <c r="W5">
        <v>5</v>
      </c>
      <c r="X5">
        <v>5</v>
      </c>
      <c r="Y5">
        <v>4</v>
      </c>
      <c r="Z5">
        <v>4</v>
      </c>
      <c r="AA5">
        <v>5</v>
      </c>
      <c r="AB5">
        <v>4</v>
      </c>
      <c r="AC5">
        <v>2.5</v>
      </c>
      <c r="AD5">
        <f>IF(Table_EH_Post_Survey_May_22__2023_11_005[[#This Row],[Q4_1]] = 3, 1, IF(Table_EH_Post_Survey_May_22__2023_11_005[[#This Row],[Q4_1]] = 2.5, 0.5, IF(Table_EH_Post_Survey_May_22__2023_11_005[[#This Row],[Q4_1]] = 3.5, 0.5, 0)))</f>
        <v>0.5</v>
      </c>
      <c r="AE5" t="s">
        <v>140</v>
      </c>
      <c r="AF5">
        <f>IF(Table_EH_Post_Survey_May_22__2023_11_005[[#This Row],[Q5 ]]="PM &lt; 2.5 μm", 1, 0)</f>
        <v>1</v>
      </c>
      <c r="AG5" t="s">
        <v>175</v>
      </c>
      <c r="AH5">
        <f>IF(Table_EH_Post_Survey_May_22__2023_11_005[[#This Row],[Q6]]="Particles of this size are generally absorbed in the respiratory tract and safely excreted in mucus.", 1, 0)</f>
        <v>1</v>
      </c>
      <c r="AI5" t="s">
        <v>142</v>
      </c>
      <c r="AJ5">
        <f>IF(ISNUMBER(SEARCH("Trucks", Table_EH_Post_Survey_May_22__2023_11_005[[#This Row],[Q7 ]])) = TRUE, 1, 0) + IF(ISNUMBER(SEARCH("Cars", Table_EH_Post_Survey_May_22__2023_11_005[[#This Row],[Q7 ]])) = TRUE, 1, 0) + IF(ISNUMBER(SEARCH("Fireplaces", Table_EH_Post_Survey_May_22__2023_11_005[[#This Row],[Q7 ]])) = TRUE, 1, 0) + IF(ISNUMBER(SEARCH("Dirt Roads",Table_EH_Post_Survey_May_22__2023_11_005[[#This Row],[Q7 ]])) = TRUE, 1, 0) - IF(ISNUMBER(SEARCH("Electric Vehicles",Table_EH_Post_Survey_May_22__2023_11_005[[#This Row],[Q7 ]])) = TRUE, 1, 0) - IF(ISNUMBER(SEARCH("Pollen", Table_EH_Post_Survey_May_22__2023_11_005[[#This Row],[Q7 ]])) = TRUE, 1, 0)</f>
        <v>2</v>
      </c>
      <c r="AK5">
        <v>5</v>
      </c>
      <c r="AL5">
        <v>5</v>
      </c>
      <c r="AM5">
        <v>5</v>
      </c>
      <c r="AN5">
        <v>5</v>
      </c>
      <c r="AO5">
        <v>5</v>
      </c>
      <c r="AP5">
        <v>5</v>
      </c>
      <c r="AQ5">
        <v>10</v>
      </c>
      <c r="AR5" t="s">
        <v>111</v>
      </c>
      <c r="AS5" t="s">
        <v>1378</v>
      </c>
    </row>
    <row r="6" spans="1:45" x14ac:dyDescent="0.25">
      <c r="A6" t="s">
        <v>972</v>
      </c>
      <c r="B6" t="s">
        <v>973</v>
      </c>
      <c r="C6" t="s">
        <v>42</v>
      </c>
      <c r="D6" t="s">
        <v>398</v>
      </c>
      <c r="E6" t="s">
        <v>112</v>
      </c>
      <c r="F6" s="3">
        <v>77</v>
      </c>
      <c r="G6" s="3">
        <f>_xlfn.NUMBERVALUE(Table_EH_Post_Survey_May_22__2023_11_005[[#This Row],[Duration (in seconds) - Duration (in seconds)]])</f>
        <v>77</v>
      </c>
      <c r="H6" t="s">
        <v>114</v>
      </c>
      <c r="I6" t="s">
        <v>973</v>
      </c>
      <c r="J6" t="s">
        <v>974</v>
      </c>
      <c r="K6" t="s">
        <v>111</v>
      </c>
      <c r="L6" t="s">
        <v>111</v>
      </c>
      <c r="M6" t="s">
        <v>111</v>
      </c>
      <c r="N6" t="s">
        <v>111</v>
      </c>
      <c r="O6" t="s">
        <v>351</v>
      </c>
      <c r="P6" t="s">
        <v>352</v>
      </c>
      <c r="Q6" t="s">
        <v>487</v>
      </c>
      <c r="R6" t="s">
        <v>117</v>
      </c>
      <c r="S6" s="17" t="s">
        <v>401</v>
      </c>
      <c r="T6" s="17" t="str">
        <f>VLOOKUP(Table_EH_Post_Survey_May_22__2023_11_005[[#This Row],[Q1 - NetID Post Survey]], Table_EH_Pre_Survey_May_20__2023_08_224[Q1 - NetID Post-Survey], 1, FALSE)</f>
        <v>ar1522</v>
      </c>
      <c r="U6">
        <v>5</v>
      </c>
      <c r="V6">
        <v>5</v>
      </c>
      <c r="W6">
        <v>5</v>
      </c>
      <c r="X6">
        <v>5</v>
      </c>
      <c r="Y6">
        <v>3</v>
      </c>
      <c r="Z6">
        <v>3</v>
      </c>
      <c r="AA6">
        <v>5</v>
      </c>
      <c r="AB6">
        <v>3</v>
      </c>
      <c r="AC6">
        <v>5</v>
      </c>
      <c r="AD6">
        <f>IF(Table_EH_Post_Survey_May_22__2023_11_005[[#This Row],[Q4_1]] = 3, 1, IF(Table_EH_Post_Survey_May_22__2023_11_005[[#This Row],[Q4_1]] = 2.5, 0.5, IF(Table_EH_Post_Survey_May_22__2023_11_005[[#This Row],[Q4_1]] = 3.5, 0.5, 0)))</f>
        <v>0</v>
      </c>
      <c r="AE6" t="s">
        <v>140</v>
      </c>
      <c r="AF6">
        <f>IF(Table_EH_Post_Survey_May_22__2023_11_005[[#This Row],[Q5 ]]="PM &lt; 2.5 μm", 1, 0)</f>
        <v>1</v>
      </c>
      <c r="AG6" t="s">
        <v>175</v>
      </c>
      <c r="AH6">
        <f>IF(Table_EH_Post_Survey_May_22__2023_11_005[[#This Row],[Q6]]="Particles of this size are generally absorbed in the respiratory tract and safely excreted in mucus.", 1, 0)</f>
        <v>1</v>
      </c>
      <c r="AI6" t="s">
        <v>142</v>
      </c>
      <c r="AJ6">
        <f>IF(ISNUMBER(SEARCH("Trucks", Table_EH_Post_Survey_May_22__2023_11_005[[#This Row],[Q7 ]])) = TRUE, 1, 0) + IF(ISNUMBER(SEARCH("Cars", Table_EH_Post_Survey_May_22__2023_11_005[[#This Row],[Q7 ]])) = TRUE, 1, 0) + IF(ISNUMBER(SEARCH("Fireplaces", Table_EH_Post_Survey_May_22__2023_11_005[[#This Row],[Q7 ]])) = TRUE, 1, 0) + IF(ISNUMBER(SEARCH("Dirt Roads",Table_EH_Post_Survey_May_22__2023_11_005[[#This Row],[Q7 ]])) = TRUE, 1, 0) - IF(ISNUMBER(SEARCH("Electric Vehicles",Table_EH_Post_Survey_May_22__2023_11_005[[#This Row],[Q7 ]])) = TRUE, 1, 0) - IF(ISNUMBER(SEARCH("Pollen", Table_EH_Post_Survey_May_22__2023_11_005[[#This Row],[Q7 ]])) = TRUE, 1, 0)</f>
        <v>2</v>
      </c>
      <c r="AK6">
        <v>5</v>
      </c>
      <c r="AL6">
        <v>5</v>
      </c>
      <c r="AM6">
        <v>5</v>
      </c>
      <c r="AN6">
        <v>5</v>
      </c>
      <c r="AO6">
        <v>5</v>
      </c>
      <c r="AP6">
        <v>5</v>
      </c>
      <c r="AQ6">
        <v>10</v>
      </c>
      <c r="AR6" t="s">
        <v>975</v>
      </c>
      <c r="AS6" t="s">
        <v>1378</v>
      </c>
    </row>
    <row r="7" spans="1:45" x14ac:dyDescent="0.25">
      <c r="A7" t="s">
        <v>1087</v>
      </c>
      <c r="B7" t="s">
        <v>1088</v>
      </c>
      <c r="C7" t="s">
        <v>42</v>
      </c>
      <c r="D7" t="s">
        <v>307</v>
      </c>
      <c r="E7" t="s">
        <v>112</v>
      </c>
      <c r="F7" s="3">
        <v>177</v>
      </c>
      <c r="G7" s="3">
        <f>_xlfn.NUMBERVALUE(Table_EH_Post_Survey_May_22__2023_11_005[[#This Row],[Duration (in seconds) - Duration (in seconds)]])</f>
        <v>177</v>
      </c>
      <c r="H7" t="s">
        <v>114</v>
      </c>
      <c r="I7" t="s">
        <v>1089</v>
      </c>
      <c r="J7" t="s">
        <v>1090</v>
      </c>
      <c r="K7" t="s">
        <v>111</v>
      </c>
      <c r="L7" t="s">
        <v>111</v>
      </c>
      <c r="M7" t="s">
        <v>111</v>
      </c>
      <c r="N7" t="s">
        <v>111</v>
      </c>
      <c r="O7" t="s">
        <v>311</v>
      </c>
      <c r="P7" t="s">
        <v>312</v>
      </c>
      <c r="Q7" t="s">
        <v>127</v>
      </c>
      <c r="R7" t="s">
        <v>117</v>
      </c>
      <c r="S7" s="17" t="s">
        <v>1091</v>
      </c>
      <c r="T7" s="17" t="str">
        <f>VLOOKUP(Table_EH_Post_Survey_May_22__2023_11_005[[#This Row],[Q1 - NetID Post Survey]], Table_EH_Pre_Survey_May_20__2023_08_224[Q1 - NetID Post-Survey], 1, FALSE)</f>
        <v>crk117</v>
      </c>
      <c r="U7">
        <v>5</v>
      </c>
      <c r="V7">
        <v>5</v>
      </c>
      <c r="W7">
        <v>5</v>
      </c>
      <c r="X7">
        <v>5</v>
      </c>
      <c r="Y7">
        <v>5</v>
      </c>
      <c r="Z7">
        <v>5</v>
      </c>
      <c r="AA7">
        <v>5</v>
      </c>
      <c r="AB7">
        <v>4</v>
      </c>
      <c r="AC7">
        <v>3</v>
      </c>
      <c r="AD7">
        <f>IF(Table_EH_Post_Survey_May_22__2023_11_005[[#This Row],[Q4_1]] = 3, 1, IF(Table_EH_Post_Survey_May_22__2023_11_005[[#This Row],[Q4_1]] = 2.5, 0.5, IF(Table_EH_Post_Survey_May_22__2023_11_005[[#This Row],[Q4_1]] = 3.5, 0.5, 0)))</f>
        <v>1</v>
      </c>
      <c r="AE7" t="s">
        <v>154</v>
      </c>
      <c r="AF7">
        <f>IF(Table_EH_Post_Survey_May_22__2023_11_005[[#This Row],[Q5 ]]="PM &lt; 2.5 μm", 1, 0)</f>
        <v>0</v>
      </c>
      <c r="AG7" t="s">
        <v>175</v>
      </c>
      <c r="AH7">
        <f>IF(Table_EH_Post_Survey_May_22__2023_11_005[[#This Row],[Q6]]="Particles of this size are generally absorbed in the respiratory tract and safely excreted in mucus.", 1, 0)</f>
        <v>1</v>
      </c>
      <c r="AI7" t="s">
        <v>206</v>
      </c>
      <c r="AJ7">
        <f>IF(ISNUMBER(SEARCH("Trucks", Table_EH_Post_Survey_May_22__2023_11_005[[#This Row],[Q7 ]])) = TRUE, 1, 0) + IF(ISNUMBER(SEARCH("Cars", Table_EH_Post_Survey_May_22__2023_11_005[[#This Row],[Q7 ]])) = TRUE, 1, 0) + IF(ISNUMBER(SEARCH("Fireplaces", Table_EH_Post_Survey_May_22__2023_11_005[[#This Row],[Q7 ]])) = TRUE, 1, 0) + IF(ISNUMBER(SEARCH("Dirt Roads",Table_EH_Post_Survey_May_22__2023_11_005[[#This Row],[Q7 ]])) = TRUE, 1, 0) - IF(ISNUMBER(SEARCH("Electric Vehicles",Table_EH_Post_Survey_May_22__2023_11_005[[#This Row],[Q7 ]])) = TRUE, 1, 0) - IF(ISNUMBER(SEARCH("Pollen", Table_EH_Post_Survey_May_22__2023_11_005[[#This Row],[Q7 ]])) = TRUE, 1, 0)</f>
        <v>2</v>
      </c>
      <c r="AK7">
        <v>4</v>
      </c>
      <c r="AL7">
        <v>5</v>
      </c>
      <c r="AM7">
        <v>5</v>
      </c>
      <c r="AN7">
        <v>4</v>
      </c>
      <c r="AO7">
        <v>5</v>
      </c>
      <c r="AP7">
        <v>5</v>
      </c>
      <c r="AQ7">
        <v>10</v>
      </c>
      <c r="AR7" t="s">
        <v>1092</v>
      </c>
      <c r="AS7" t="s">
        <v>1378</v>
      </c>
    </row>
    <row r="8" spans="1:45" x14ac:dyDescent="0.25">
      <c r="A8" t="s">
        <v>1242</v>
      </c>
      <c r="B8" t="s">
        <v>1243</v>
      </c>
      <c r="C8" t="s">
        <v>42</v>
      </c>
      <c r="D8" t="s">
        <v>1244</v>
      </c>
      <c r="E8" t="s">
        <v>112</v>
      </c>
      <c r="F8" s="3">
        <v>90</v>
      </c>
      <c r="G8" s="3">
        <f>_xlfn.NUMBERVALUE(Table_EH_Post_Survey_May_22__2023_11_005[[#This Row],[Duration (in seconds) - Duration (in seconds)]])</f>
        <v>90</v>
      </c>
      <c r="H8" t="s">
        <v>114</v>
      </c>
      <c r="I8" t="s">
        <v>1243</v>
      </c>
      <c r="J8" t="s">
        <v>1245</v>
      </c>
      <c r="K8" t="s">
        <v>111</v>
      </c>
      <c r="L8" t="s">
        <v>111</v>
      </c>
      <c r="M8" t="s">
        <v>111</v>
      </c>
      <c r="N8" t="s">
        <v>111</v>
      </c>
      <c r="O8" t="s">
        <v>351</v>
      </c>
      <c r="P8" t="s">
        <v>352</v>
      </c>
      <c r="Q8" t="s">
        <v>127</v>
      </c>
      <c r="R8" t="s">
        <v>117</v>
      </c>
      <c r="S8" s="17" t="s">
        <v>449</v>
      </c>
      <c r="T8" s="17" t="str">
        <f>VLOOKUP(Table_EH_Post_Survey_May_22__2023_11_005[[#This Row],[Q1 - NetID Post Survey]], Table_EH_Pre_Survey_May_20__2023_08_224[Q1 - NetID Post-Survey], 1, FALSE)</f>
        <v>djs481</v>
      </c>
      <c r="U8">
        <v>5</v>
      </c>
      <c r="V8">
        <v>4</v>
      </c>
      <c r="W8">
        <v>4</v>
      </c>
      <c r="X8">
        <v>5</v>
      </c>
      <c r="Y8">
        <v>3</v>
      </c>
      <c r="Z8">
        <v>3</v>
      </c>
      <c r="AA8">
        <v>5</v>
      </c>
      <c r="AB8">
        <v>2</v>
      </c>
      <c r="AC8">
        <v>3.5</v>
      </c>
      <c r="AD8">
        <f>IF(Table_EH_Post_Survey_May_22__2023_11_005[[#This Row],[Q4_1]] = 3, 1, IF(Table_EH_Post_Survey_May_22__2023_11_005[[#This Row],[Q4_1]] = 2.5, 0.5, IF(Table_EH_Post_Survey_May_22__2023_11_005[[#This Row],[Q4_1]] = 3.5, 0.5, 0)))</f>
        <v>0.5</v>
      </c>
      <c r="AE8" t="s">
        <v>154</v>
      </c>
      <c r="AF8">
        <f>IF(Table_EH_Post_Survey_May_22__2023_11_005[[#This Row],[Q5 ]]="PM &lt; 2.5 μm", 1, 0)</f>
        <v>0</v>
      </c>
      <c r="AG8" t="s">
        <v>175</v>
      </c>
      <c r="AH8">
        <f>IF(Table_EH_Post_Survey_May_22__2023_11_005[[#This Row],[Q6]]="Particles of this size are generally absorbed in the respiratory tract and safely excreted in mucus.", 1, 0)</f>
        <v>1</v>
      </c>
      <c r="AI8" t="s">
        <v>327</v>
      </c>
      <c r="AJ8">
        <f>IF(ISNUMBER(SEARCH("Trucks", Table_EH_Post_Survey_May_22__2023_11_005[[#This Row],[Q7 ]])) = TRUE, 1, 0) + IF(ISNUMBER(SEARCH("Cars", Table_EH_Post_Survey_May_22__2023_11_005[[#This Row],[Q7 ]])) = TRUE, 1, 0) + IF(ISNUMBER(SEARCH("Fireplaces", Table_EH_Post_Survey_May_22__2023_11_005[[#This Row],[Q7 ]])) = TRUE, 1, 0) + IF(ISNUMBER(SEARCH("Dirt Roads",Table_EH_Post_Survey_May_22__2023_11_005[[#This Row],[Q7 ]])) = TRUE, 1, 0) - IF(ISNUMBER(SEARCH("Electric Vehicles",Table_EH_Post_Survey_May_22__2023_11_005[[#This Row],[Q7 ]])) = TRUE, 1, 0) - IF(ISNUMBER(SEARCH("Pollen", Table_EH_Post_Survey_May_22__2023_11_005[[#This Row],[Q7 ]])) = TRUE, 1, 0)</f>
        <v>1</v>
      </c>
      <c r="AK8">
        <v>2</v>
      </c>
      <c r="AL8">
        <v>2</v>
      </c>
      <c r="AM8">
        <v>2</v>
      </c>
      <c r="AN8">
        <v>1</v>
      </c>
      <c r="AO8">
        <v>2</v>
      </c>
      <c r="AP8">
        <v>3</v>
      </c>
      <c r="AQ8">
        <v>6</v>
      </c>
      <c r="AR8" t="s">
        <v>111</v>
      </c>
      <c r="AS8" t="s">
        <v>1378</v>
      </c>
    </row>
    <row r="9" spans="1:45" x14ac:dyDescent="0.25">
      <c r="A9" t="s">
        <v>1227</v>
      </c>
      <c r="B9" t="s">
        <v>1228</v>
      </c>
      <c r="C9" t="s">
        <v>42</v>
      </c>
      <c r="D9" t="s">
        <v>389</v>
      </c>
      <c r="E9" t="s">
        <v>112</v>
      </c>
      <c r="F9" s="3">
        <v>81</v>
      </c>
      <c r="G9" s="3">
        <f>_xlfn.NUMBERVALUE(Table_EH_Post_Survey_May_22__2023_11_005[[#This Row],[Duration (in seconds) - Duration (in seconds)]])</f>
        <v>81</v>
      </c>
      <c r="H9" t="s">
        <v>114</v>
      </c>
      <c r="I9" t="s">
        <v>1228</v>
      </c>
      <c r="J9" t="s">
        <v>1229</v>
      </c>
      <c r="K9" t="s">
        <v>111</v>
      </c>
      <c r="L9" t="s">
        <v>111</v>
      </c>
      <c r="M9" t="s">
        <v>111</v>
      </c>
      <c r="N9" t="s">
        <v>111</v>
      </c>
      <c r="O9" t="s">
        <v>392</v>
      </c>
      <c r="P9" t="s">
        <v>393</v>
      </c>
      <c r="Q9" t="s">
        <v>127</v>
      </c>
      <c r="R9" t="s">
        <v>117</v>
      </c>
      <c r="S9" s="17" t="s">
        <v>731</v>
      </c>
      <c r="T9" s="17" t="str">
        <f>VLOOKUP(Table_EH_Post_Survey_May_22__2023_11_005[[#This Row],[Q1 - NetID Post Survey]], Table_EH_Pre_Survey_May_20__2023_08_224[Q1 - NetID Post-Survey], 1, FALSE)</f>
        <v>ebm87</v>
      </c>
      <c r="U9">
        <v>5</v>
      </c>
      <c r="V9">
        <v>5</v>
      </c>
      <c r="W9">
        <v>5</v>
      </c>
      <c r="X9">
        <v>5</v>
      </c>
      <c r="Y9">
        <v>5</v>
      </c>
      <c r="Z9">
        <v>5</v>
      </c>
      <c r="AA9">
        <v>5</v>
      </c>
      <c r="AB9">
        <v>5</v>
      </c>
      <c r="AC9">
        <v>3</v>
      </c>
      <c r="AD9">
        <f>IF(Table_EH_Post_Survey_May_22__2023_11_005[[#This Row],[Q4_1]] = 3, 1, IF(Table_EH_Post_Survey_May_22__2023_11_005[[#This Row],[Q4_1]] = 2.5, 0.5, IF(Table_EH_Post_Survey_May_22__2023_11_005[[#This Row],[Q4_1]] = 3.5, 0.5, 0)))</f>
        <v>1</v>
      </c>
      <c r="AE9" t="s">
        <v>140</v>
      </c>
      <c r="AF9">
        <f>IF(Table_EH_Post_Survey_May_22__2023_11_005[[#This Row],[Q5 ]]="PM &lt; 2.5 μm", 1, 0)</f>
        <v>1</v>
      </c>
      <c r="AG9" t="s">
        <v>175</v>
      </c>
      <c r="AH9">
        <f>IF(Table_EH_Post_Survey_May_22__2023_11_005[[#This Row],[Q6]]="Particles of this size are generally absorbed in the respiratory tract and safely excreted in mucus.", 1, 0)</f>
        <v>1</v>
      </c>
      <c r="AI9" t="s">
        <v>186</v>
      </c>
      <c r="AJ9">
        <f>IF(ISNUMBER(SEARCH("Trucks", Table_EH_Post_Survey_May_22__2023_11_005[[#This Row],[Q7 ]])) = TRUE, 1, 0) + IF(ISNUMBER(SEARCH("Cars", Table_EH_Post_Survey_May_22__2023_11_005[[#This Row],[Q7 ]])) = TRUE, 1, 0) + IF(ISNUMBER(SEARCH("Fireplaces", Table_EH_Post_Survey_May_22__2023_11_005[[#This Row],[Q7 ]])) = TRUE, 1, 0) + IF(ISNUMBER(SEARCH("Dirt Roads",Table_EH_Post_Survey_May_22__2023_11_005[[#This Row],[Q7 ]])) = TRUE, 1, 0) - IF(ISNUMBER(SEARCH("Electric Vehicles",Table_EH_Post_Survey_May_22__2023_11_005[[#This Row],[Q7 ]])) = TRUE, 1, 0) - IF(ISNUMBER(SEARCH("Pollen", Table_EH_Post_Survey_May_22__2023_11_005[[#This Row],[Q7 ]])) = TRUE, 1, 0)</f>
        <v>3</v>
      </c>
      <c r="AK9">
        <v>5</v>
      </c>
      <c r="AL9">
        <v>5</v>
      </c>
      <c r="AM9">
        <v>5</v>
      </c>
      <c r="AN9">
        <v>5</v>
      </c>
      <c r="AO9">
        <v>5</v>
      </c>
      <c r="AP9">
        <v>5</v>
      </c>
      <c r="AQ9">
        <v>10</v>
      </c>
      <c r="AR9" t="s">
        <v>111</v>
      </c>
      <c r="AS9" t="s">
        <v>1378</v>
      </c>
    </row>
    <row r="10" spans="1:45" x14ac:dyDescent="0.25">
      <c r="A10" t="s">
        <v>1251</v>
      </c>
      <c r="B10" t="s">
        <v>1252</v>
      </c>
      <c r="C10" t="s">
        <v>42</v>
      </c>
      <c r="D10" t="s">
        <v>1253</v>
      </c>
      <c r="E10" t="s">
        <v>112</v>
      </c>
      <c r="F10" s="3">
        <v>176</v>
      </c>
      <c r="G10" s="3">
        <f>_xlfn.NUMBERVALUE(Table_EH_Post_Survey_May_22__2023_11_005[[#This Row],[Duration (in seconds) - Duration (in seconds)]])</f>
        <v>176</v>
      </c>
      <c r="H10" t="s">
        <v>114</v>
      </c>
      <c r="I10" t="s">
        <v>1254</v>
      </c>
      <c r="J10" t="s">
        <v>1255</v>
      </c>
      <c r="K10" t="s">
        <v>111</v>
      </c>
      <c r="L10" t="s">
        <v>111</v>
      </c>
      <c r="M10" t="s">
        <v>111</v>
      </c>
      <c r="N10" t="s">
        <v>111</v>
      </c>
      <c r="O10" t="s">
        <v>351</v>
      </c>
      <c r="P10" t="s">
        <v>352</v>
      </c>
      <c r="Q10" t="s">
        <v>127</v>
      </c>
      <c r="R10" t="s">
        <v>117</v>
      </c>
      <c r="S10" s="17" t="s">
        <v>1256</v>
      </c>
      <c r="T10" s="17" t="str">
        <f>VLOOKUP(Table_EH_Post_Survey_May_22__2023_11_005[[#This Row],[Q1 - NetID Post Survey]], Table_EH_Pre_Survey_May_20__2023_08_224[Q1 - NetID Post-Survey], 1, FALSE)</f>
        <v>Eia16</v>
      </c>
      <c r="U10">
        <v>5</v>
      </c>
      <c r="V10">
        <v>5</v>
      </c>
      <c r="W10">
        <v>5</v>
      </c>
      <c r="X10">
        <v>5</v>
      </c>
      <c r="Y10">
        <v>5</v>
      </c>
      <c r="Z10">
        <v>5</v>
      </c>
      <c r="AA10">
        <v>5</v>
      </c>
      <c r="AB10">
        <v>5</v>
      </c>
      <c r="AC10">
        <v>3</v>
      </c>
      <c r="AD10">
        <f>IF(Table_EH_Post_Survey_May_22__2023_11_005[[#This Row],[Q4_1]] = 3, 1, IF(Table_EH_Post_Survey_May_22__2023_11_005[[#This Row],[Q4_1]] = 2.5, 0.5, IF(Table_EH_Post_Survey_May_22__2023_11_005[[#This Row],[Q4_1]] = 3.5, 0.5, 0)))</f>
        <v>1</v>
      </c>
      <c r="AE10" t="s">
        <v>185</v>
      </c>
      <c r="AF10">
        <f>IF(Table_EH_Post_Survey_May_22__2023_11_005[[#This Row],[Q5 ]]="PM &lt; 2.5 μm", 1, 0)</f>
        <v>0</v>
      </c>
      <c r="AG10" t="s">
        <v>175</v>
      </c>
      <c r="AH10">
        <f>IF(Table_EH_Post_Survey_May_22__2023_11_005[[#This Row],[Q6]]="Particles of this size are generally absorbed in the respiratory tract and safely excreted in mucus.", 1, 0)</f>
        <v>1</v>
      </c>
      <c r="AI10" t="s">
        <v>156</v>
      </c>
      <c r="AJ10">
        <f>IF(ISNUMBER(SEARCH("Trucks", Table_EH_Post_Survey_May_22__2023_11_005[[#This Row],[Q7 ]])) = TRUE, 1, 0) + IF(ISNUMBER(SEARCH("Cars", Table_EH_Post_Survey_May_22__2023_11_005[[#This Row],[Q7 ]])) = TRUE, 1, 0) + IF(ISNUMBER(SEARCH("Fireplaces", Table_EH_Post_Survey_May_22__2023_11_005[[#This Row],[Q7 ]])) = TRUE, 1, 0) + IF(ISNUMBER(SEARCH("Dirt Roads",Table_EH_Post_Survey_May_22__2023_11_005[[#This Row],[Q7 ]])) = TRUE, 1, 0) - IF(ISNUMBER(SEARCH("Electric Vehicles",Table_EH_Post_Survey_May_22__2023_11_005[[#This Row],[Q7 ]])) = TRUE, 1, 0) - IF(ISNUMBER(SEARCH("Pollen", Table_EH_Post_Survey_May_22__2023_11_005[[#This Row],[Q7 ]])) = TRUE, 1, 0)</f>
        <v>4</v>
      </c>
      <c r="AK10">
        <v>5</v>
      </c>
      <c r="AL10">
        <v>3</v>
      </c>
      <c r="AM10">
        <v>4</v>
      </c>
      <c r="AN10">
        <v>4</v>
      </c>
      <c r="AO10">
        <v>5</v>
      </c>
      <c r="AP10">
        <v>5</v>
      </c>
      <c r="AQ10">
        <v>10</v>
      </c>
      <c r="AR10" t="s">
        <v>1257</v>
      </c>
      <c r="AS10" t="s">
        <v>1378</v>
      </c>
    </row>
    <row r="11" spans="1:45" x14ac:dyDescent="0.25">
      <c r="A11" t="s">
        <v>1272</v>
      </c>
      <c r="B11" t="s">
        <v>1273</v>
      </c>
      <c r="C11" t="s">
        <v>42</v>
      </c>
      <c r="D11" t="s">
        <v>284</v>
      </c>
      <c r="E11" t="s">
        <v>112</v>
      </c>
      <c r="F11" s="3">
        <v>341</v>
      </c>
      <c r="G11" s="3">
        <f>_xlfn.NUMBERVALUE(Table_EH_Post_Survey_May_22__2023_11_005[[#This Row],[Duration (in seconds) - Duration (in seconds)]])</f>
        <v>341</v>
      </c>
      <c r="H11" t="s">
        <v>114</v>
      </c>
      <c r="I11" t="s">
        <v>1273</v>
      </c>
      <c r="J11" t="s">
        <v>1274</v>
      </c>
      <c r="K11" t="s">
        <v>111</v>
      </c>
      <c r="L11" t="s">
        <v>111</v>
      </c>
      <c r="M11" t="s">
        <v>111</v>
      </c>
      <c r="N11" t="s">
        <v>111</v>
      </c>
      <c r="O11" t="s">
        <v>288</v>
      </c>
      <c r="P11" t="s">
        <v>289</v>
      </c>
      <c r="Q11" t="s">
        <v>127</v>
      </c>
      <c r="R11" t="s">
        <v>117</v>
      </c>
      <c r="S11" s="17" t="s">
        <v>1275</v>
      </c>
      <c r="T11" s="17" t="str">
        <f>VLOOKUP(Table_EH_Post_Survey_May_22__2023_11_005[[#This Row],[Q1 - NetID Post Survey]], Table_EH_Pre_Survey_May_20__2023_08_224[Q1 - NetID Post-Survey], 1, FALSE)</f>
        <v>ep692</v>
      </c>
      <c r="U11">
        <v>5</v>
      </c>
      <c r="V11">
        <v>4</v>
      </c>
      <c r="W11">
        <v>3</v>
      </c>
      <c r="X11">
        <v>5</v>
      </c>
      <c r="Y11">
        <v>4</v>
      </c>
      <c r="Z11">
        <v>3</v>
      </c>
      <c r="AA11">
        <v>5</v>
      </c>
      <c r="AB11">
        <v>2</v>
      </c>
      <c r="AC11">
        <v>3</v>
      </c>
      <c r="AD11">
        <f>IF(Table_EH_Post_Survey_May_22__2023_11_005[[#This Row],[Q4_1]] = 3, 1, IF(Table_EH_Post_Survey_May_22__2023_11_005[[#This Row],[Q4_1]] = 2.5, 0.5, IF(Table_EH_Post_Survey_May_22__2023_11_005[[#This Row],[Q4_1]] = 3.5, 0.5, 0)))</f>
        <v>1</v>
      </c>
      <c r="AE11" t="s">
        <v>140</v>
      </c>
      <c r="AF11">
        <f>IF(Table_EH_Post_Survey_May_22__2023_11_005[[#This Row],[Q5 ]]="PM &lt; 2.5 μm", 1, 0)</f>
        <v>1</v>
      </c>
      <c r="AG11" t="s">
        <v>141</v>
      </c>
      <c r="AH11">
        <f>IF(Table_EH_Post_Survey_May_22__2023_11_005[[#This Row],[Q6]]="Particles of this size are generally absorbed in the respiratory tract and safely excreted in mucus.", 1, 0)</f>
        <v>0</v>
      </c>
      <c r="AI11" t="s">
        <v>156</v>
      </c>
      <c r="AJ11">
        <f>IF(ISNUMBER(SEARCH("Trucks", Table_EH_Post_Survey_May_22__2023_11_005[[#This Row],[Q7 ]])) = TRUE, 1, 0) + IF(ISNUMBER(SEARCH("Cars", Table_EH_Post_Survey_May_22__2023_11_005[[#This Row],[Q7 ]])) = TRUE, 1, 0) + IF(ISNUMBER(SEARCH("Fireplaces", Table_EH_Post_Survey_May_22__2023_11_005[[#This Row],[Q7 ]])) = TRUE, 1, 0) + IF(ISNUMBER(SEARCH("Dirt Roads",Table_EH_Post_Survey_May_22__2023_11_005[[#This Row],[Q7 ]])) = TRUE, 1, 0) - IF(ISNUMBER(SEARCH("Electric Vehicles",Table_EH_Post_Survey_May_22__2023_11_005[[#This Row],[Q7 ]])) = TRUE, 1, 0) - IF(ISNUMBER(SEARCH("Pollen", Table_EH_Post_Survey_May_22__2023_11_005[[#This Row],[Q7 ]])) = TRUE, 1, 0)</f>
        <v>4</v>
      </c>
      <c r="AK11">
        <v>2</v>
      </c>
      <c r="AL11">
        <v>5</v>
      </c>
      <c r="AM11">
        <v>5</v>
      </c>
      <c r="AN11">
        <v>3</v>
      </c>
      <c r="AO11">
        <v>3</v>
      </c>
      <c r="AP11">
        <v>4</v>
      </c>
      <c r="AQ11">
        <v>8</v>
      </c>
      <c r="AR11" t="s">
        <v>1276</v>
      </c>
      <c r="AS11" t="s">
        <v>1378</v>
      </c>
    </row>
    <row r="12" spans="1:45" x14ac:dyDescent="0.25">
      <c r="A12" t="s">
        <v>1121</v>
      </c>
      <c r="B12" t="s">
        <v>1122</v>
      </c>
      <c r="C12" t="s">
        <v>42</v>
      </c>
      <c r="D12" t="s">
        <v>1123</v>
      </c>
      <c r="E12" t="s">
        <v>112</v>
      </c>
      <c r="F12" s="3">
        <v>858</v>
      </c>
      <c r="G12" s="3">
        <f>_xlfn.NUMBERVALUE(Table_EH_Post_Survey_May_22__2023_11_005[[#This Row],[Duration (in seconds) - Duration (in seconds)]])</f>
        <v>858</v>
      </c>
      <c r="H12" t="s">
        <v>114</v>
      </c>
      <c r="I12" t="s">
        <v>1124</v>
      </c>
      <c r="J12" t="s">
        <v>1125</v>
      </c>
      <c r="K12" t="s">
        <v>111</v>
      </c>
      <c r="L12" t="s">
        <v>111</v>
      </c>
      <c r="M12" t="s">
        <v>111</v>
      </c>
      <c r="N12" t="s">
        <v>111</v>
      </c>
      <c r="O12" t="s">
        <v>193</v>
      </c>
      <c r="P12" t="s">
        <v>194</v>
      </c>
      <c r="Q12" t="s">
        <v>127</v>
      </c>
      <c r="R12" t="s">
        <v>117</v>
      </c>
      <c r="S12" s="17" t="s">
        <v>799</v>
      </c>
      <c r="T12" s="17" t="str">
        <f>VLOOKUP(Table_EH_Post_Survey_May_22__2023_11_005[[#This Row],[Q1 - NetID Post Survey]], Table_EH_Pre_Survey_May_20__2023_08_224[Q1 - NetID Post-Survey], 1, FALSE)</f>
        <v>gmh100</v>
      </c>
      <c r="U12">
        <v>4</v>
      </c>
      <c r="V12">
        <v>3</v>
      </c>
      <c r="W12">
        <v>5</v>
      </c>
      <c r="X12">
        <v>5</v>
      </c>
      <c r="Y12">
        <v>5</v>
      </c>
      <c r="Z12">
        <v>4</v>
      </c>
      <c r="AA12">
        <v>5</v>
      </c>
      <c r="AB12">
        <v>5</v>
      </c>
      <c r="AC12">
        <v>3</v>
      </c>
      <c r="AD12">
        <f>IF(Table_EH_Post_Survey_May_22__2023_11_005[[#This Row],[Q4_1]] = 3, 1, IF(Table_EH_Post_Survey_May_22__2023_11_005[[#This Row],[Q4_1]] = 2.5, 0.5, IF(Table_EH_Post_Survey_May_22__2023_11_005[[#This Row],[Q4_1]] = 3.5, 0.5, 0)))</f>
        <v>1</v>
      </c>
      <c r="AE12" t="s">
        <v>140</v>
      </c>
      <c r="AF12">
        <f>IF(Table_EH_Post_Survey_May_22__2023_11_005[[#This Row],[Q5 ]]="PM &lt; 2.5 μm", 1, 0)</f>
        <v>1</v>
      </c>
      <c r="AG12" t="s">
        <v>175</v>
      </c>
      <c r="AH12">
        <f>IF(Table_EH_Post_Survey_May_22__2023_11_005[[#This Row],[Q6]]="Particles of this size are generally absorbed in the respiratory tract and safely excreted in mucus.", 1, 0)</f>
        <v>1</v>
      </c>
      <c r="AI12" t="s">
        <v>402</v>
      </c>
      <c r="AJ12">
        <f>IF(ISNUMBER(SEARCH("Trucks", Table_EH_Post_Survey_May_22__2023_11_005[[#This Row],[Q7 ]])) = TRUE, 1, 0) + IF(ISNUMBER(SEARCH("Cars", Table_EH_Post_Survey_May_22__2023_11_005[[#This Row],[Q7 ]])) = TRUE, 1, 0) + IF(ISNUMBER(SEARCH("Fireplaces", Table_EH_Post_Survey_May_22__2023_11_005[[#This Row],[Q7 ]])) = TRUE, 1, 0) + IF(ISNUMBER(SEARCH("Dirt Roads",Table_EH_Post_Survey_May_22__2023_11_005[[#This Row],[Q7 ]])) = TRUE, 1, 0) - IF(ISNUMBER(SEARCH("Electric Vehicles",Table_EH_Post_Survey_May_22__2023_11_005[[#This Row],[Q7 ]])) = TRUE, 1, 0) - IF(ISNUMBER(SEARCH("Pollen", Table_EH_Post_Survey_May_22__2023_11_005[[#This Row],[Q7 ]])) = TRUE, 1, 0)</f>
        <v>1</v>
      </c>
      <c r="AK12">
        <v>1</v>
      </c>
      <c r="AM12">
        <v>1</v>
      </c>
      <c r="AN12">
        <v>1</v>
      </c>
      <c r="AO12">
        <v>1</v>
      </c>
      <c r="AP12">
        <v>2</v>
      </c>
      <c r="AQ12">
        <v>7</v>
      </c>
      <c r="AR12" t="s">
        <v>1126</v>
      </c>
      <c r="AS12" t="s">
        <v>1378</v>
      </c>
    </row>
    <row r="13" spans="1:45" x14ac:dyDescent="0.25">
      <c r="A13" t="s">
        <v>1262</v>
      </c>
      <c r="B13" t="s">
        <v>1263</v>
      </c>
      <c r="C13" t="s">
        <v>42</v>
      </c>
      <c r="D13" t="s">
        <v>1264</v>
      </c>
      <c r="E13" t="s">
        <v>112</v>
      </c>
      <c r="F13" s="3">
        <v>68</v>
      </c>
      <c r="G13" s="3">
        <f>_xlfn.NUMBERVALUE(Table_EH_Post_Survey_May_22__2023_11_005[[#This Row],[Duration (in seconds) - Duration (in seconds)]])</f>
        <v>68</v>
      </c>
      <c r="H13" t="s">
        <v>114</v>
      </c>
      <c r="I13" t="s">
        <v>1265</v>
      </c>
      <c r="J13" t="s">
        <v>1266</v>
      </c>
      <c r="K13" t="s">
        <v>111</v>
      </c>
      <c r="L13" t="s">
        <v>111</v>
      </c>
      <c r="M13" t="s">
        <v>111</v>
      </c>
      <c r="N13" t="s">
        <v>111</v>
      </c>
      <c r="O13" t="s">
        <v>351</v>
      </c>
      <c r="P13" t="s">
        <v>352</v>
      </c>
      <c r="Q13" t="s">
        <v>127</v>
      </c>
      <c r="R13" t="s">
        <v>117</v>
      </c>
      <c r="S13" s="17" t="s">
        <v>437</v>
      </c>
      <c r="T13" s="17" t="str">
        <f>VLOOKUP(Table_EH_Post_Survey_May_22__2023_11_005[[#This Row],[Q1 - NetID Post Survey]], Table_EH_Pre_Survey_May_20__2023_08_224[Q1 - NetID Post-Survey], 1, FALSE)</f>
        <v>hg295</v>
      </c>
      <c r="U13">
        <v>4</v>
      </c>
      <c r="V13">
        <v>5</v>
      </c>
      <c r="W13">
        <v>5</v>
      </c>
      <c r="X13">
        <v>5</v>
      </c>
      <c r="Y13">
        <v>5</v>
      </c>
      <c r="Z13">
        <v>4</v>
      </c>
      <c r="AA13">
        <v>5</v>
      </c>
      <c r="AB13">
        <v>4</v>
      </c>
      <c r="AC13">
        <v>3</v>
      </c>
      <c r="AD13">
        <f>IF(Table_EH_Post_Survey_May_22__2023_11_005[[#This Row],[Q4_1]] = 3, 1, IF(Table_EH_Post_Survey_May_22__2023_11_005[[#This Row],[Q4_1]] = 2.5, 0.5, IF(Table_EH_Post_Survey_May_22__2023_11_005[[#This Row],[Q4_1]] = 3.5, 0.5, 0)))</f>
        <v>1</v>
      </c>
      <c r="AE13" t="s">
        <v>140</v>
      </c>
      <c r="AF13">
        <f>IF(Table_EH_Post_Survey_May_22__2023_11_005[[#This Row],[Q5 ]]="PM &lt; 2.5 μm", 1, 0)</f>
        <v>1</v>
      </c>
      <c r="AG13" t="s">
        <v>175</v>
      </c>
      <c r="AH13">
        <f>IF(Table_EH_Post_Survey_May_22__2023_11_005[[#This Row],[Q6]]="Particles of this size are generally absorbed in the respiratory tract and safely excreted in mucus.", 1, 0)</f>
        <v>1</v>
      </c>
      <c r="AI13" t="s">
        <v>142</v>
      </c>
      <c r="AJ13">
        <f>IF(ISNUMBER(SEARCH("Trucks", Table_EH_Post_Survey_May_22__2023_11_005[[#This Row],[Q7 ]])) = TRUE, 1, 0) + IF(ISNUMBER(SEARCH("Cars", Table_EH_Post_Survey_May_22__2023_11_005[[#This Row],[Q7 ]])) = TRUE, 1, 0) + IF(ISNUMBER(SEARCH("Fireplaces", Table_EH_Post_Survey_May_22__2023_11_005[[#This Row],[Q7 ]])) = TRUE, 1, 0) + IF(ISNUMBER(SEARCH("Dirt Roads",Table_EH_Post_Survey_May_22__2023_11_005[[#This Row],[Q7 ]])) = TRUE, 1, 0) - IF(ISNUMBER(SEARCH("Electric Vehicles",Table_EH_Post_Survey_May_22__2023_11_005[[#This Row],[Q7 ]])) = TRUE, 1, 0) - IF(ISNUMBER(SEARCH("Pollen", Table_EH_Post_Survey_May_22__2023_11_005[[#This Row],[Q7 ]])) = TRUE, 1, 0)</f>
        <v>2</v>
      </c>
      <c r="AK13">
        <v>5</v>
      </c>
      <c r="AL13">
        <v>5</v>
      </c>
      <c r="AM13">
        <v>5</v>
      </c>
      <c r="AN13">
        <v>5</v>
      </c>
      <c r="AO13">
        <v>5</v>
      </c>
      <c r="AP13">
        <v>5</v>
      </c>
      <c r="AQ13">
        <v>10</v>
      </c>
      <c r="AR13" t="s">
        <v>111</v>
      </c>
      <c r="AS13" t="s">
        <v>1378</v>
      </c>
    </row>
    <row r="14" spans="1:45" x14ac:dyDescent="0.25">
      <c r="A14" t="s">
        <v>1211</v>
      </c>
      <c r="B14" t="s">
        <v>1212</v>
      </c>
      <c r="C14" t="s">
        <v>42</v>
      </c>
      <c r="D14" t="s">
        <v>389</v>
      </c>
      <c r="E14" t="s">
        <v>112</v>
      </c>
      <c r="F14" s="3">
        <v>375</v>
      </c>
      <c r="G14" s="3">
        <f>_xlfn.NUMBERVALUE(Table_EH_Post_Survey_May_22__2023_11_005[[#This Row],[Duration (in seconds) - Duration (in seconds)]])</f>
        <v>375</v>
      </c>
      <c r="H14" t="s">
        <v>114</v>
      </c>
      <c r="I14" t="s">
        <v>1212</v>
      </c>
      <c r="J14" t="s">
        <v>1213</v>
      </c>
      <c r="K14" t="s">
        <v>111</v>
      </c>
      <c r="L14" t="s">
        <v>111</v>
      </c>
      <c r="M14" t="s">
        <v>111</v>
      </c>
      <c r="N14" t="s">
        <v>111</v>
      </c>
      <c r="O14" t="s">
        <v>392</v>
      </c>
      <c r="P14" t="s">
        <v>393</v>
      </c>
      <c r="Q14" t="s">
        <v>127</v>
      </c>
      <c r="R14" t="s">
        <v>117</v>
      </c>
      <c r="S14" s="17" t="s">
        <v>473</v>
      </c>
      <c r="T14" s="17" t="str">
        <f>VLOOKUP(Table_EH_Post_Survey_May_22__2023_11_005[[#This Row],[Q1 - NetID Post Survey]], Table_EH_Pre_Survey_May_20__2023_08_224[Q1 - NetID Post-Survey], 1, FALSE)</f>
        <v>ht372</v>
      </c>
      <c r="U14">
        <v>5</v>
      </c>
      <c r="V14">
        <v>3</v>
      </c>
      <c r="W14">
        <v>5</v>
      </c>
      <c r="X14">
        <v>3</v>
      </c>
      <c r="Y14">
        <v>2</v>
      </c>
      <c r="Z14">
        <v>2</v>
      </c>
      <c r="AA14">
        <v>5</v>
      </c>
      <c r="AB14">
        <v>2</v>
      </c>
      <c r="AC14">
        <v>3</v>
      </c>
      <c r="AD14">
        <f>IF(Table_EH_Post_Survey_May_22__2023_11_005[[#This Row],[Q4_1]] = 3, 1, IF(Table_EH_Post_Survey_May_22__2023_11_005[[#This Row],[Q4_1]] = 2.5, 0.5, IF(Table_EH_Post_Survey_May_22__2023_11_005[[#This Row],[Q4_1]] = 3.5, 0.5, 0)))</f>
        <v>1</v>
      </c>
      <c r="AE14" t="s">
        <v>140</v>
      </c>
      <c r="AF14">
        <f>IF(Table_EH_Post_Survey_May_22__2023_11_005[[#This Row],[Q5 ]]="PM &lt; 2.5 μm", 1, 0)</f>
        <v>1</v>
      </c>
      <c r="AG14" t="s">
        <v>141</v>
      </c>
      <c r="AH14">
        <f>IF(Table_EH_Post_Survey_May_22__2023_11_005[[#This Row],[Q6]]="Particles of this size are generally absorbed in the respiratory tract and safely excreted in mucus.", 1, 0)</f>
        <v>0</v>
      </c>
      <c r="AI14" t="s">
        <v>186</v>
      </c>
      <c r="AJ14">
        <f>IF(ISNUMBER(SEARCH("Trucks", Table_EH_Post_Survey_May_22__2023_11_005[[#This Row],[Q7 ]])) = TRUE, 1, 0) + IF(ISNUMBER(SEARCH("Cars", Table_EH_Post_Survey_May_22__2023_11_005[[#This Row],[Q7 ]])) = TRUE, 1, 0) + IF(ISNUMBER(SEARCH("Fireplaces", Table_EH_Post_Survey_May_22__2023_11_005[[#This Row],[Q7 ]])) = TRUE, 1, 0) + IF(ISNUMBER(SEARCH("Dirt Roads",Table_EH_Post_Survey_May_22__2023_11_005[[#This Row],[Q7 ]])) = TRUE, 1, 0) - IF(ISNUMBER(SEARCH("Electric Vehicles",Table_EH_Post_Survey_May_22__2023_11_005[[#This Row],[Q7 ]])) = TRUE, 1, 0) - IF(ISNUMBER(SEARCH("Pollen", Table_EH_Post_Survey_May_22__2023_11_005[[#This Row],[Q7 ]])) = TRUE, 1, 0)</f>
        <v>3</v>
      </c>
      <c r="AK14">
        <v>3</v>
      </c>
      <c r="AL14">
        <v>4</v>
      </c>
      <c r="AM14">
        <v>4</v>
      </c>
      <c r="AN14">
        <v>2</v>
      </c>
      <c r="AO14">
        <v>3</v>
      </c>
      <c r="AP14">
        <v>5</v>
      </c>
      <c r="AQ14">
        <v>8</v>
      </c>
      <c r="AR14" t="s">
        <v>1214</v>
      </c>
      <c r="AS14" t="s">
        <v>1326</v>
      </c>
    </row>
    <row r="15" spans="1:45" x14ac:dyDescent="0.25">
      <c r="A15" t="s">
        <v>1014</v>
      </c>
      <c r="B15" t="s">
        <v>1070</v>
      </c>
      <c r="C15" t="s">
        <v>42</v>
      </c>
      <c r="D15" t="s">
        <v>389</v>
      </c>
      <c r="E15" t="s">
        <v>112</v>
      </c>
      <c r="F15" s="3">
        <v>1323</v>
      </c>
      <c r="G15" s="3">
        <f>_xlfn.NUMBERVALUE(Table_EH_Post_Survey_May_22__2023_11_005[[#This Row],[Duration (in seconds) - Duration (in seconds)]])</f>
        <v>1323</v>
      </c>
      <c r="H15" t="s">
        <v>114</v>
      </c>
      <c r="I15" t="s">
        <v>1071</v>
      </c>
      <c r="J15" t="s">
        <v>1072</v>
      </c>
      <c r="K15" t="s">
        <v>111</v>
      </c>
      <c r="L15" t="s">
        <v>111</v>
      </c>
      <c r="M15" t="s">
        <v>111</v>
      </c>
      <c r="N15" t="s">
        <v>111</v>
      </c>
      <c r="O15" t="s">
        <v>392</v>
      </c>
      <c r="P15" t="s">
        <v>393</v>
      </c>
      <c r="Q15" t="s">
        <v>487</v>
      </c>
      <c r="R15" t="s">
        <v>117</v>
      </c>
      <c r="S15" s="17" t="s">
        <v>1073</v>
      </c>
      <c r="T15" s="17" t="str">
        <f>VLOOKUP(Table_EH_Post_Survey_May_22__2023_11_005[[#This Row],[Q1 - NetID Post Survey]], Table_EH_Pre_Survey_May_20__2023_08_224[Q1 - NetID Post-Survey], 1, FALSE)</f>
        <v>ige8</v>
      </c>
      <c r="U15">
        <v>5</v>
      </c>
      <c r="V15">
        <v>4</v>
      </c>
      <c r="W15">
        <v>5</v>
      </c>
      <c r="X15">
        <v>5</v>
      </c>
      <c r="Y15">
        <v>2</v>
      </c>
      <c r="Z15">
        <v>3</v>
      </c>
      <c r="AA15">
        <v>5</v>
      </c>
      <c r="AB15">
        <v>2</v>
      </c>
      <c r="AC15">
        <v>3</v>
      </c>
      <c r="AD15">
        <f>IF(Table_EH_Post_Survey_May_22__2023_11_005[[#This Row],[Q4_1]] = 3, 1, IF(Table_EH_Post_Survey_May_22__2023_11_005[[#This Row],[Q4_1]] = 2.5, 0.5, IF(Table_EH_Post_Survey_May_22__2023_11_005[[#This Row],[Q4_1]] = 3.5, 0.5, 0)))</f>
        <v>1</v>
      </c>
      <c r="AE15" t="s">
        <v>140</v>
      </c>
      <c r="AF15">
        <f>IF(Table_EH_Post_Survey_May_22__2023_11_005[[#This Row],[Q5 ]]="PM &lt; 2.5 μm", 1, 0)</f>
        <v>1</v>
      </c>
      <c r="AG15" t="s">
        <v>131</v>
      </c>
      <c r="AH15">
        <f>IF(Table_EH_Post_Survey_May_22__2023_11_005[[#This Row],[Q6]]="Particles of this size are generally absorbed in the respiratory tract and safely excreted in mucus.", 1, 0)</f>
        <v>0</v>
      </c>
      <c r="AI15" t="s">
        <v>353</v>
      </c>
      <c r="AJ15">
        <f>IF(ISNUMBER(SEARCH("Trucks", Table_EH_Post_Survey_May_22__2023_11_005[[#This Row],[Q7 ]])) = TRUE, 1, 0) + IF(ISNUMBER(SEARCH("Cars", Table_EH_Post_Survey_May_22__2023_11_005[[#This Row],[Q7 ]])) = TRUE, 1, 0) + IF(ISNUMBER(SEARCH("Fireplaces", Table_EH_Post_Survey_May_22__2023_11_005[[#This Row],[Q7 ]])) = TRUE, 1, 0) + IF(ISNUMBER(SEARCH("Dirt Roads",Table_EH_Post_Survey_May_22__2023_11_005[[#This Row],[Q7 ]])) = TRUE, 1, 0) - IF(ISNUMBER(SEARCH("Electric Vehicles",Table_EH_Post_Survey_May_22__2023_11_005[[#This Row],[Q7 ]])) = TRUE, 1, 0) - IF(ISNUMBER(SEARCH("Pollen", Table_EH_Post_Survey_May_22__2023_11_005[[#This Row],[Q7 ]])) = TRUE, 1, 0)</f>
        <v>3</v>
      </c>
      <c r="AK15">
        <v>5</v>
      </c>
      <c r="AL15">
        <v>5</v>
      </c>
      <c r="AM15">
        <v>3</v>
      </c>
      <c r="AN15">
        <v>3</v>
      </c>
      <c r="AO15">
        <v>3</v>
      </c>
      <c r="AP15">
        <v>3</v>
      </c>
      <c r="AQ15">
        <v>10</v>
      </c>
      <c r="AR15" t="s">
        <v>1074</v>
      </c>
      <c r="AS15" t="s">
        <v>1378</v>
      </c>
    </row>
    <row r="16" spans="1:45" x14ac:dyDescent="0.25">
      <c r="A16" t="s">
        <v>984</v>
      </c>
      <c r="B16" t="s">
        <v>1047</v>
      </c>
      <c r="C16" t="s">
        <v>42</v>
      </c>
      <c r="D16" t="s">
        <v>389</v>
      </c>
      <c r="E16" t="s">
        <v>112</v>
      </c>
      <c r="F16" s="3">
        <v>551</v>
      </c>
      <c r="G16" s="3">
        <f>_xlfn.NUMBERVALUE(Table_EH_Post_Survey_May_22__2023_11_005[[#This Row],[Duration (in seconds) - Duration (in seconds)]])</f>
        <v>551</v>
      </c>
      <c r="H16" t="s">
        <v>114</v>
      </c>
      <c r="I16" t="s">
        <v>1048</v>
      </c>
      <c r="J16" t="s">
        <v>1049</v>
      </c>
      <c r="K16" t="s">
        <v>111</v>
      </c>
      <c r="L16" t="s">
        <v>111</v>
      </c>
      <c r="M16" t="s">
        <v>111</v>
      </c>
      <c r="N16" t="s">
        <v>111</v>
      </c>
      <c r="O16" t="s">
        <v>392</v>
      </c>
      <c r="P16" t="s">
        <v>393</v>
      </c>
      <c r="Q16" t="s">
        <v>487</v>
      </c>
      <c r="R16" t="s">
        <v>117</v>
      </c>
      <c r="S16" s="17" t="s">
        <v>128</v>
      </c>
      <c r="T16" s="17" t="str">
        <f>VLOOKUP(Table_EH_Post_Survey_May_22__2023_11_005[[#This Row],[Q1 - NetID Post Survey]], Table_EH_Pre_Survey_May_20__2023_08_224[Q1 - NetID Post-Survey], 1, FALSE)</f>
        <v>Jm2722</v>
      </c>
      <c r="U16">
        <v>4</v>
      </c>
      <c r="V16">
        <v>5</v>
      </c>
      <c r="W16">
        <v>4</v>
      </c>
      <c r="X16">
        <v>5</v>
      </c>
      <c r="Y16">
        <v>3</v>
      </c>
      <c r="Z16">
        <v>3</v>
      </c>
      <c r="AA16">
        <v>5</v>
      </c>
      <c r="AB16">
        <v>2</v>
      </c>
      <c r="AC16">
        <v>3</v>
      </c>
      <c r="AD16">
        <f>IF(Table_EH_Post_Survey_May_22__2023_11_005[[#This Row],[Q4_1]] = 3, 1, IF(Table_EH_Post_Survey_May_22__2023_11_005[[#This Row],[Q4_1]] = 2.5, 0.5, IF(Table_EH_Post_Survey_May_22__2023_11_005[[#This Row],[Q4_1]] = 3.5, 0.5, 0)))</f>
        <v>1</v>
      </c>
      <c r="AE16" t="s">
        <v>140</v>
      </c>
      <c r="AF16">
        <f>IF(Table_EH_Post_Survey_May_22__2023_11_005[[#This Row],[Q5 ]]="PM &lt; 2.5 μm", 1, 0)</f>
        <v>1</v>
      </c>
      <c r="AG16" t="s">
        <v>175</v>
      </c>
      <c r="AH16">
        <f>IF(Table_EH_Post_Survey_May_22__2023_11_005[[#This Row],[Q6]]="Particles of this size are generally absorbed in the respiratory tract and safely excreted in mucus.", 1, 0)</f>
        <v>1</v>
      </c>
      <c r="AI16" t="s">
        <v>402</v>
      </c>
      <c r="AJ16">
        <f>IF(ISNUMBER(SEARCH("Trucks", Table_EH_Post_Survey_May_22__2023_11_005[[#This Row],[Q7 ]])) = TRUE, 1, 0) + IF(ISNUMBER(SEARCH("Cars", Table_EH_Post_Survey_May_22__2023_11_005[[#This Row],[Q7 ]])) = TRUE, 1, 0) + IF(ISNUMBER(SEARCH("Fireplaces", Table_EH_Post_Survey_May_22__2023_11_005[[#This Row],[Q7 ]])) = TRUE, 1, 0) + IF(ISNUMBER(SEARCH("Dirt Roads",Table_EH_Post_Survey_May_22__2023_11_005[[#This Row],[Q7 ]])) = TRUE, 1, 0) - IF(ISNUMBER(SEARCH("Electric Vehicles",Table_EH_Post_Survey_May_22__2023_11_005[[#This Row],[Q7 ]])) = TRUE, 1, 0) - IF(ISNUMBER(SEARCH("Pollen", Table_EH_Post_Survey_May_22__2023_11_005[[#This Row],[Q7 ]])) = TRUE, 1, 0)</f>
        <v>1</v>
      </c>
      <c r="AK16">
        <v>3</v>
      </c>
      <c r="AL16">
        <v>1</v>
      </c>
      <c r="AM16">
        <v>3</v>
      </c>
      <c r="AN16">
        <v>5</v>
      </c>
      <c r="AO16">
        <v>5</v>
      </c>
      <c r="AP16">
        <v>5</v>
      </c>
      <c r="AQ16">
        <v>8</v>
      </c>
      <c r="AR16" t="s">
        <v>1050</v>
      </c>
      <c r="AS16" t="s">
        <v>1378</v>
      </c>
    </row>
    <row r="17" spans="1:45" x14ac:dyDescent="0.25">
      <c r="A17" t="s">
        <v>958</v>
      </c>
      <c r="B17" t="s">
        <v>959</v>
      </c>
      <c r="C17" t="s">
        <v>42</v>
      </c>
      <c r="D17" t="s">
        <v>389</v>
      </c>
      <c r="E17" t="s">
        <v>112</v>
      </c>
      <c r="F17" s="3">
        <v>113</v>
      </c>
      <c r="G17" s="3">
        <f>_xlfn.NUMBERVALUE(Table_EH_Post_Survey_May_22__2023_11_005[[#This Row],[Duration (in seconds) - Duration (in seconds)]])</f>
        <v>113</v>
      </c>
      <c r="H17" t="s">
        <v>114</v>
      </c>
      <c r="I17" t="s">
        <v>960</v>
      </c>
      <c r="J17" t="s">
        <v>961</v>
      </c>
      <c r="K17" t="s">
        <v>111</v>
      </c>
      <c r="L17" t="s">
        <v>111</v>
      </c>
      <c r="M17" t="s">
        <v>111</v>
      </c>
      <c r="N17" t="s">
        <v>111</v>
      </c>
      <c r="O17" t="s">
        <v>392</v>
      </c>
      <c r="P17" t="s">
        <v>393</v>
      </c>
      <c r="Q17" t="s">
        <v>487</v>
      </c>
      <c r="R17" t="s">
        <v>117</v>
      </c>
      <c r="S17" s="17" t="s">
        <v>616</v>
      </c>
      <c r="T17" s="17" t="str">
        <f>VLOOKUP(Table_EH_Post_Survey_May_22__2023_11_005[[#This Row],[Q1 - NetID Post Survey]], Table_EH_Pre_Survey_May_20__2023_08_224[Q1 - NetID Post-Survey], 1, FALSE)</f>
        <v>kf511</v>
      </c>
      <c r="U17">
        <v>3</v>
      </c>
      <c r="V17">
        <v>2</v>
      </c>
      <c r="W17">
        <v>2</v>
      </c>
      <c r="X17">
        <v>4</v>
      </c>
      <c r="Y17">
        <v>1</v>
      </c>
      <c r="Z17">
        <v>4</v>
      </c>
      <c r="AA17">
        <v>5</v>
      </c>
      <c r="AB17">
        <v>1</v>
      </c>
      <c r="AC17">
        <v>3</v>
      </c>
      <c r="AD17">
        <f>IF(Table_EH_Post_Survey_May_22__2023_11_005[[#This Row],[Q4_1]] = 3, 1, IF(Table_EH_Post_Survey_May_22__2023_11_005[[#This Row],[Q4_1]] = 2.5, 0.5, IF(Table_EH_Post_Survey_May_22__2023_11_005[[#This Row],[Q4_1]] = 3.5, 0.5, 0)))</f>
        <v>1</v>
      </c>
      <c r="AE17" t="s">
        <v>140</v>
      </c>
      <c r="AF17">
        <f>IF(Table_EH_Post_Survey_May_22__2023_11_005[[#This Row],[Q5 ]]="PM &lt; 2.5 μm", 1, 0)</f>
        <v>1</v>
      </c>
      <c r="AG17" t="s">
        <v>155</v>
      </c>
      <c r="AH17">
        <f>IF(Table_EH_Post_Survey_May_22__2023_11_005[[#This Row],[Q6]]="Particles of this size are generally absorbed in the respiratory tract and safely excreted in mucus.", 1, 0)</f>
        <v>0</v>
      </c>
      <c r="AI17" t="s">
        <v>167</v>
      </c>
      <c r="AJ17">
        <f>IF(ISNUMBER(SEARCH("Trucks", Table_EH_Post_Survey_May_22__2023_11_005[[#This Row],[Q7 ]])) = TRUE, 1, 0) + IF(ISNUMBER(SEARCH("Cars", Table_EH_Post_Survey_May_22__2023_11_005[[#This Row],[Q7 ]])) = TRUE, 1, 0) + IF(ISNUMBER(SEARCH("Fireplaces", Table_EH_Post_Survey_May_22__2023_11_005[[#This Row],[Q7 ]])) = TRUE, 1, 0) + IF(ISNUMBER(SEARCH("Dirt Roads",Table_EH_Post_Survey_May_22__2023_11_005[[#This Row],[Q7 ]])) = TRUE, 1, 0) - IF(ISNUMBER(SEARCH("Electric Vehicles",Table_EH_Post_Survey_May_22__2023_11_005[[#This Row],[Q7 ]])) = TRUE, 1, 0) - IF(ISNUMBER(SEARCH("Pollen", Table_EH_Post_Survey_May_22__2023_11_005[[#This Row],[Q7 ]])) = TRUE, 1, 0)</f>
        <v>3</v>
      </c>
      <c r="AK17">
        <v>4</v>
      </c>
      <c r="AL17">
        <v>3</v>
      </c>
      <c r="AM17">
        <v>4</v>
      </c>
      <c r="AN17">
        <v>1</v>
      </c>
      <c r="AO17">
        <v>4</v>
      </c>
      <c r="AP17">
        <v>5</v>
      </c>
      <c r="AQ17">
        <v>8</v>
      </c>
      <c r="AR17" t="s">
        <v>962</v>
      </c>
      <c r="AS17" t="s">
        <v>1378</v>
      </c>
    </row>
    <row r="18" spans="1:45" x14ac:dyDescent="0.25">
      <c r="A18" t="s">
        <v>976</v>
      </c>
      <c r="B18" t="s">
        <v>977</v>
      </c>
      <c r="C18" t="s">
        <v>42</v>
      </c>
      <c r="D18" t="s">
        <v>601</v>
      </c>
      <c r="E18" t="s">
        <v>112</v>
      </c>
      <c r="F18" s="3">
        <v>94</v>
      </c>
      <c r="G18" s="3">
        <f>_xlfn.NUMBERVALUE(Table_EH_Post_Survey_May_22__2023_11_005[[#This Row],[Duration (in seconds) - Duration (in seconds)]])</f>
        <v>94</v>
      </c>
      <c r="H18" t="s">
        <v>114</v>
      </c>
      <c r="I18" t="s">
        <v>977</v>
      </c>
      <c r="J18" t="s">
        <v>978</v>
      </c>
      <c r="K18" t="s">
        <v>111</v>
      </c>
      <c r="L18" t="s">
        <v>111</v>
      </c>
      <c r="M18" t="s">
        <v>111</v>
      </c>
      <c r="N18" t="s">
        <v>111</v>
      </c>
      <c r="O18" t="s">
        <v>351</v>
      </c>
      <c r="P18" t="s">
        <v>352</v>
      </c>
      <c r="Q18" t="s">
        <v>487</v>
      </c>
      <c r="R18" t="s">
        <v>117</v>
      </c>
      <c r="S18" s="17" t="s">
        <v>604</v>
      </c>
      <c r="T18" s="17" t="str">
        <f>VLOOKUP(Table_EH_Post_Survey_May_22__2023_11_005[[#This Row],[Q1 - NetID Post Survey]], Table_EH_Pre_Survey_May_20__2023_08_224[Q1 - NetID Post-Survey], 1, FALSE)</f>
        <v>Krb195</v>
      </c>
      <c r="U18">
        <v>5</v>
      </c>
      <c r="V18">
        <v>5</v>
      </c>
      <c r="W18">
        <v>5</v>
      </c>
      <c r="X18">
        <v>5</v>
      </c>
      <c r="Y18">
        <v>5</v>
      </c>
      <c r="Z18">
        <v>5</v>
      </c>
      <c r="AA18">
        <v>5</v>
      </c>
      <c r="AB18">
        <v>2</v>
      </c>
      <c r="AC18">
        <v>5</v>
      </c>
      <c r="AD18">
        <f>IF(Table_EH_Post_Survey_May_22__2023_11_005[[#This Row],[Q4_1]] = 3, 1, IF(Table_EH_Post_Survey_May_22__2023_11_005[[#This Row],[Q4_1]] = 2.5, 0.5, IF(Table_EH_Post_Survey_May_22__2023_11_005[[#This Row],[Q4_1]] = 3.5, 0.5, 0)))</f>
        <v>0</v>
      </c>
      <c r="AE18" t="s">
        <v>140</v>
      </c>
      <c r="AF18">
        <f>IF(Table_EH_Post_Survey_May_22__2023_11_005[[#This Row],[Q5 ]]="PM &lt; 2.5 μm", 1, 0)</f>
        <v>1</v>
      </c>
      <c r="AG18" t="s">
        <v>155</v>
      </c>
      <c r="AH18">
        <f>IF(Table_EH_Post_Survey_May_22__2023_11_005[[#This Row],[Q6]]="Particles of this size are generally absorbed in the respiratory tract and safely excreted in mucus.", 1, 0)</f>
        <v>0</v>
      </c>
      <c r="AI18" t="s">
        <v>167</v>
      </c>
      <c r="AJ18">
        <f>IF(ISNUMBER(SEARCH("Trucks", Table_EH_Post_Survey_May_22__2023_11_005[[#This Row],[Q7 ]])) = TRUE, 1, 0) + IF(ISNUMBER(SEARCH("Cars", Table_EH_Post_Survey_May_22__2023_11_005[[#This Row],[Q7 ]])) = TRUE, 1, 0) + IF(ISNUMBER(SEARCH("Fireplaces", Table_EH_Post_Survey_May_22__2023_11_005[[#This Row],[Q7 ]])) = TRUE, 1, 0) + IF(ISNUMBER(SEARCH("Dirt Roads",Table_EH_Post_Survey_May_22__2023_11_005[[#This Row],[Q7 ]])) = TRUE, 1, 0) - IF(ISNUMBER(SEARCH("Electric Vehicles",Table_EH_Post_Survey_May_22__2023_11_005[[#This Row],[Q7 ]])) = TRUE, 1, 0) - IF(ISNUMBER(SEARCH("Pollen", Table_EH_Post_Survey_May_22__2023_11_005[[#This Row],[Q7 ]])) = TRUE, 1, 0)</f>
        <v>3</v>
      </c>
      <c r="AK18">
        <v>5</v>
      </c>
      <c r="AL18">
        <v>5</v>
      </c>
      <c r="AM18">
        <v>5</v>
      </c>
      <c r="AN18">
        <v>5</v>
      </c>
      <c r="AO18">
        <v>5</v>
      </c>
      <c r="AP18">
        <v>5</v>
      </c>
      <c r="AQ18">
        <v>10</v>
      </c>
      <c r="AR18" t="s">
        <v>979</v>
      </c>
      <c r="AS18" t="s">
        <v>1378</v>
      </c>
    </row>
    <row r="19" spans="1:45" x14ac:dyDescent="0.25">
      <c r="A19" t="s">
        <v>1004</v>
      </c>
      <c r="B19" t="s">
        <v>1005</v>
      </c>
      <c r="C19" t="s">
        <v>42</v>
      </c>
      <c r="D19" t="s">
        <v>1006</v>
      </c>
      <c r="E19" t="s">
        <v>112</v>
      </c>
      <c r="F19" s="3">
        <v>109</v>
      </c>
      <c r="G19" s="3">
        <f>_xlfn.NUMBERVALUE(Table_EH_Post_Survey_May_22__2023_11_005[[#This Row],[Duration (in seconds) - Duration (in seconds)]])</f>
        <v>109</v>
      </c>
      <c r="H19" t="s">
        <v>114</v>
      </c>
      <c r="I19" t="s">
        <v>1007</v>
      </c>
      <c r="J19" t="s">
        <v>1008</v>
      </c>
      <c r="K19" t="s">
        <v>111</v>
      </c>
      <c r="L19" t="s">
        <v>111</v>
      </c>
      <c r="M19" t="s">
        <v>111</v>
      </c>
      <c r="N19" t="s">
        <v>111</v>
      </c>
      <c r="O19" t="s">
        <v>351</v>
      </c>
      <c r="P19" t="s">
        <v>352</v>
      </c>
      <c r="Q19" t="s">
        <v>487</v>
      </c>
      <c r="R19" t="s">
        <v>117</v>
      </c>
      <c r="S19" s="17" t="s">
        <v>319</v>
      </c>
      <c r="T19" s="17" t="str">
        <f>VLOOKUP(Table_EH_Post_Survey_May_22__2023_11_005[[#This Row],[Q1 - NetID Post Survey]], Table_EH_Pre_Survey_May_20__2023_08_224[Q1 - NetID Post-Survey], 1, FALSE)</f>
        <v>ks1403</v>
      </c>
      <c r="U19">
        <v>5</v>
      </c>
      <c r="V19">
        <v>5</v>
      </c>
      <c r="W19">
        <v>4</v>
      </c>
      <c r="X19">
        <v>4</v>
      </c>
      <c r="Y19">
        <v>5</v>
      </c>
      <c r="Z19">
        <v>5</v>
      </c>
      <c r="AA19">
        <v>5</v>
      </c>
      <c r="AB19">
        <v>4</v>
      </c>
      <c r="AC19">
        <v>3</v>
      </c>
      <c r="AD19">
        <f>IF(Table_EH_Post_Survey_May_22__2023_11_005[[#This Row],[Q4_1]] = 3, 1, IF(Table_EH_Post_Survey_May_22__2023_11_005[[#This Row],[Q4_1]] = 2.5, 0.5, IF(Table_EH_Post_Survey_May_22__2023_11_005[[#This Row],[Q4_1]] = 3.5, 0.5, 0)))</f>
        <v>1</v>
      </c>
      <c r="AE19" t="s">
        <v>140</v>
      </c>
      <c r="AF19">
        <f>IF(Table_EH_Post_Survey_May_22__2023_11_005[[#This Row],[Q5 ]]="PM &lt; 2.5 μm", 1, 0)</f>
        <v>1</v>
      </c>
      <c r="AG19" t="s">
        <v>175</v>
      </c>
      <c r="AH19">
        <f>IF(Table_EH_Post_Survey_May_22__2023_11_005[[#This Row],[Q6]]="Particles of this size are generally absorbed in the respiratory tract and safely excreted in mucus.", 1, 0)</f>
        <v>1</v>
      </c>
      <c r="AI19" t="s">
        <v>142</v>
      </c>
      <c r="AJ19">
        <f>IF(ISNUMBER(SEARCH("Trucks", Table_EH_Post_Survey_May_22__2023_11_005[[#This Row],[Q7 ]])) = TRUE, 1, 0) + IF(ISNUMBER(SEARCH("Cars", Table_EH_Post_Survey_May_22__2023_11_005[[#This Row],[Q7 ]])) = TRUE, 1, 0) + IF(ISNUMBER(SEARCH("Fireplaces", Table_EH_Post_Survey_May_22__2023_11_005[[#This Row],[Q7 ]])) = TRUE, 1, 0) + IF(ISNUMBER(SEARCH("Dirt Roads",Table_EH_Post_Survey_May_22__2023_11_005[[#This Row],[Q7 ]])) = TRUE, 1, 0) - IF(ISNUMBER(SEARCH("Electric Vehicles",Table_EH_Post_Survey_May_22__2023_11_005[[#This Row],[Q7 ]])) = TRUE, 1, 0) - IF(ISNUMBER(SEARCH("Pollen", Table_EH_Post_Survey_May_22__2023_11_005[[#This Row],[Q7 ]])) = TRUE, 1, 0)</f>
        <v>2</v>
      </c>
      <c r="AK19">
        <v>2</v>
      </c>
      <c r="AL19">
        <v>3</v>
      </c>
      <c r="AM19">
        <v>2</v>
      </c>
      <c r="AN19">
        <v>1</v>
      </c>
      <c r="AO19">
        <v>2</v>
      </c>
      <c r="AP19">
        <v>3</v>
      </c>
      <c r="AQ19">
        <v>8</v>
      </c>
      <c r="AR19" t="s">
        <v>1009</v>
      </c>
      <c r="AS19" t="s">
        <v>1327</v>
      </c>
    </row>
    <row r="20" spans="1:45" x14ac:dyDescent="0.25">
      <c r="A20" t="s">
        <v>1078</v>
      </c>
      <c r="B20" t="s">
        <v>1079</v>
      </c>
      <c r="C20" t="s">
        <v>42</v>
      </c>
      <c r="D20" t="s">
        <v>389</v>
      </c>
      <c r="E20" t="s">
        <v>112</v>
      </c>
      <c r="F20" s="3">
        <v>3436</v>
      </c>
      <c r="G20" s="3">
        <f>_xlfn.NUMBERVALUE(Table_EH_Post_Survey_May_22__2023_11_005[[#This Row],[Duration (in seconds) - Duration (in seconds)]])</f>
        <v>3436</v>
      </c>
      <c r="H20" t="s">
        <v>114</v>
      </c>
      <c r="I20" t="s">
        <v>1079</v>
      </c>
      <c r="J20" t="s">
        <v>1080</v>
      </c>
      <c r="K20" t="s">
        <v>111</v>
      </c>
      <c r="L20" t="s">
        <v>111</v>
      </c>
      <c r="M20" t="s">
        <v>111</v>
      </c>
      <c r="N20" t="s">
        <v>111</v>
      </c>
      <c r="O20" t="s">
        <v>392</v>
      </c>
      <c r="P20" t="s">
        <v>393</v>
      </c>
      <c r="Q20" t="s">
        <v>487</v>
      </c>
      <c r="R20" t="s">
        <v>117</v>
      </c>
      <c r="S20" s="17" t="s">
        <v>748</v>
      </c>
      <c r="T20" s="17" t="str">
        <f>VLOOKUP(Table_EH_Post_Survey_May_22__2023_11_005[[#This Row],[Q1 - NetID Post Survey]], Table_EH_Pre_Survey_May_20__2023_08_224[Q1 - NetID Post-Survey], 1, FALSE)</f>
        <v>Lma216</v>
      </c>
      <c r="U20">
        <v>5</v>
      </c>
      <c r="V20">
        <v>5</v>
      </c>
      <c r="W20">
        <v>5</v>
      </c>
      <c r="X20">
        <v>5</v>
      </c>
      <c r="Y20">
        <v>4</v>
      </c>
      <c r="Z20">
        <v>3</v>
      </c>
      <c r="AA20">
        <v>5</v>
      </c>
      <c r="AB20">
        <v>2</v>
      </c>
      <c r="AC20">
        <v>3</v>
      </c>
      <c r="AD20">
        <f>IF(Table_EH_Post_Survey_May_22__2023_11_005[[#This Row],[Q4_1]] = 3, 1, IF(Table_EH_Post_Survey_May_22__2023_11_005[[#This Row],[Q4_1]] = 2.5, 0.5, IF(Table_EH_Post_Survey_May_22__2023_11_005[[#This Row],[Q4_1]] = 3.5, 0.5, 0)))</f>
        <v>1</v>
      </c>
      <c r="AE20" t="s">
        <v>140</v>
      </c>
      <c r="AF20">
        <f>IF(Table_EH_Post_Survey_May_22__2023_11_005[[#This Row],[Q5 ]]="PM &lt; 2.5 μm", 1, 0)</f>
        <v>1</v>
      </c>
      <c r="AG20" t="s">
        <v>131</v>
      </c>
      <c r="AH20">
        <f>IF(Table_EH_Post_Survey_May_22__2023_11_005[[#This Row],[Q6]]="Particles of this size are generally absorbed in the respiratory tract and safely excreted in mucus.", 1, 0)</f>
        <v>0</v>
      </c>
      <c r="AI20" t="s">
        <v>280</v>
      </c>
      <c r="AJ20">
        <f>IF(ISNUMBER(SEARCH("Trucks", Table_EH_Post_Survey_May_22__2023_11_005[[#This Row],[Q7 ]])) = TRUE, 1, 0) + IF(ISNUMBER(SEARCH("Cars", Table_EH_Post_Survey_May_22__2023_11_005[[#This Row],[Q7 ]])) = TRUE, 1, 0) + IF(ISNUMBER(SEARCH("Fireplaces", Table_EH_Post_Survey_May_22__2023_11_005[[#This Row],[Q7 ]])) = TRUE, 1, 0) + IF(ISNUMBER(SEARCH("Dirt Roads",Table_EH_Post_Survey_May_22__2023_11_005[[#This Row],[Q7 ]])) = TRUE, 1, 0) - IF(ISNUMBER(SEARCH("Electric Vehicles",Table_EH_Post_Survey_May_22__2023_11_005[[#This Row],[Q7 ]])) = TRUE, 1, 0) - IF(ISNUMBER(SEARCH("Pollen", Table_EH_Post_Survey_May_22__2023_11_005[[#This Row],[Q7 ]])) = TRUE, 1, 0)</f>
        <v>2</v>
      </c>
      <c r="AK20">
        <v>4</v>
      </c>
      <c r="AL20">
        <v>4</v>
      </c>
      <c r="AM20">
        <v>2</v>
      </c>
      <c r="AN20">
        <v>3</v>
      </c>
      <c r="AO20">
        <v>5</v>
      </c>
      <c r="AP20">
        <v>4</v>
      </c>
      <c r="AQ20">
        <v>10</v>
      </c>
      <c r="AR20" t="s">
        <v>1081</v>
      </c>
      <c r="AS20" t="s">
        <v>1328</v>
      </c>
    </row>
    <row r="21" spans="1:45" x14ac:dyDescent="0.25">
      <c r="A21" t="s">
        <v>1146</v>
      </c>
      <c r="B21" t="s">
        <v>1147</v>
      </c>
      <c r="C21" t="s">
        <v>42</v>
      </c>
      <c r="D21" t="s">
        <v>190</v>
      </c>
      <c r="E21" t="s">
        <v>112</v>
      </c>
      <c r="F21" s="3">
        <v>76</v>
      </c>
      <c r="G21" s="3">
        <f>_xlfn.NUMBERVALUE(Table_EH_Post_Survey_May_22__2023_11_005[[#This Row],[Duration (in seconds) - Duration (in seconds)]])</f>
        <v>76</v>
      </c>
      <c r="H21" t="s">
        <v>114</v>
      </c>
      <c r="I21" t="s">
        <v>1148</v>
      </c>
      <c r="J21" t="s">
        <v>1149</v>
      </c>
      <c r="K21" t="s">
        <v>111</v>
      </c>
      <c r="L21" t="s">
        <v>111</v>
      </c>
      <c r="M21" t="s">
        <v>111</v>
      </c>
      <c r="N21" t="s">
        <v>111</v>
      </c>
      <c r="O21" t="s">
        <v>193</v>
      </c>
      <c r="P21" t="s">
        <v>194</v>
      </c>
      <c r="Q21" t="s">
        <v>127</v>
      </c>
      <c r="R21" t="s">
        <v>117</v>
      </c>
      <c r="S21" s="17" t="s">
        <v>297</v>
      </c>
      <c r="T21" s="17" t="str">
        <f>VLOOKUP(Table_EH_Post_Survey_May_22__2023_11_005[[#This Row],[Q1 - NetID Post Survey]], Table_EH_Pre_Survey_May_20__2023_08_224[Q1 - NetID Post-Survey], 1, FALSE)</f>
        <v>mmm564</v>
      </c>
      <c r="U21">
        <v>4</v>
      </c>
      <c r="V21">
        <v>4</v>
      </c>
      <c r="W21">
        <v>3</v>
      </c>
      <c r="X21">
        <v>3</v>
      </c>
      <c r="Y21">
        <v>2</v>
      </c>
      <c r="Z21">
        <v>3</v>
      </c>
      <c r="AA21">
        <v>4</v>
      </c>
      <c r="AB21">
        <v>2</v>
      </c>
      <c r="AC21">
        <v>4</v>
      </c>
      <c r="AD21">
        <f>IF(Table_EH_Post_Survey_May_22__2023_11_005[[#This Row],[Q4_1]] = 3, 1, IF(Table_EH_Post_Survey_May_22__2023_11_005[[#This Row],[Q4_1]] = 2.5, 0.5, IF(Table_EH_Post_Survey_May_22__2023_11_005[[#This Row],[Q4_1]] = 3.5, 0.5, 0)))</f>
        <v>0</v>
      </c>
      <c r="AE21" t="s">
        <v>525</v>
      </c>
      <c r="AF21">
        <f>IF(Table_EH_Post_Survey_May_22__2023_11_005[[#This Row],[Q5 ]]="PM &lt; 2.5 μm", 1, 0)</f>
        <v>0</v>
      </c>
      <c r="AG21" t="s">
        <v>141</v>
      </c>
      <c r="AH21">
        <f>IF(Table_EH_Post_Survey_May_22__2023_11_005[[#This Row],[Q6]]="Particles of this size are generally absorbed in the respiratory tract and safely excreted in mucus.", 1, 0)</f>
        <v>0</v>
      </c>
      <c r="AI21" t="s">
        <v>280</v>
      </c>
      <c r="AJ21">
        <f>IF(ISNUMBER(SEARCH("Trucks", Table_EH_Post_Survey_May_22__2023_11_005[[#This Row],[Q7 ]])) = TRUE, 1, 0) + IF(ISNUMBER(SEARCH("Cars", Table_EH_Post_Survey_May_22__2023_11_005[[#This Row],[Q7 ]])) = TRUE, 1, 0) + IF(ISNUMBER(SEARCH("Fireplaces", Table_EH_Post_Survey_May_22__2023_11_005[[#This Row],[Q7 ]])) = TRUE, 1, 0) + IF(ISNUMBER(SEARCH("Dirt Roads",Table_EH_Post_Survey_May_22__2023_11_005[[#This Row],[Q7 ]])) = TRUE, 1, 0) - IF(ISNUMBER(SEARCH("Electric Vehicles",Table_EH_Post_Survey_May_22__2023_11_005[[#This Row],[Q7 ]])) = TRUE, 1, 0) - IF(ISNUMBER(SEARCH("Pollen", Table_EH_Post_Survey_May_22__2023_11_005[[#This Row],[Q7 ]])) = TRUE, 1, 0)</f>
        <v>2</v>
      </c>
      <c r="AK21">
        <v>4</v>
      </c>
      <c r="AL21">
        <v>2</v>
      </c>
      <c r="AM21">
        <v>2</v>
      </c>
      <c r="AN21">
        <v>2</v>
      </c>
      <c r="AO21">
        <v>3</v>
      </c>
      <c r="AP21">
        <v>4</v>
      </c>
      <c r="AQ21">
        <v>7</v>
      </c>
      <c r="AR21" t="s">
        <v>111</v>
      </c>
      <c r="AS21" t="s">
        <v>1378</v>
      </c>
    </row>
    <row r="22" spans="1:45" x14ac:dyDescent="0.25">
      <c r="A22" t="s">
        <v>1093</v>
      </c>
      <c r="B22" t="s">
        <v>1094</v>
      </c>
      <c r="C22" t="s">
        <v>42</v>
      </c>
      <c r="D22" t="s">
        <v>389</v>
      </c>
      <c r="E22" t="s">
        <v>112</v>
      </c>
      <c r="F22" s="3">
        <v>256</v>
      </c>
      <c r="G22" s="3">
        <f>_xlfn.NUMBERVALUE(Table_EH_Post_Survey_May_22__2023_11_005[[#This Row],[Duration (in seconds) - Duration (in seconds)]])</f>
        <v>256</v>
      </c>
      <c r="H22" t="s">
        <v>114</v>
      </c>
      <c r="I22" t="s">
        <v>1094</v>
      </c>
      <c r="J22" t="s">
        <v>1095</v>
      </c>
      <c r="K22" t="s">
        <v>111</v>
      </c>
      <c r="L22" t="s">
        <v>111</v>
      </c>
      <c r="M22" t="s">
        <v>111</v>
      </c>
      <c r="N22" t="s">
        <v>111</v>
      </c>
      <c r="O22" t="s">
        <v>392</v>
      </c>
      <c r="P22" t="s">
        <v>393</v>
      </c>
      <c r="Q22" t="s">
        <v>127</v>
      </c>
      <c r="R22" t="s">
        <v>117</v>
      </c>
      <c r="S22" s="17" t="s">
        <v>139</v>
      </c>
      <c r="T22" s="17" t="str">
        <f>VLOOKUP(Table_EH_Post_Survey_May_22__2023_11_005[[#This Row],[Q1 - NetID Post Survey]], Table_EH_Pre_Survey_May_20__2023_08_224[Q1 - NetID Post-Survey], 1, FALSE)</f>
        <v>Nsa86</v>
      </c>
      <c r="U22">
        <v>5</v>
      </c>
      <c r="V22">
        <v>5</v>
      </c>
      <c r="W22">
        <v>5</v>
      </c>
      <c r="X22">
        <v>5</v>
      </c>
      <c r="Y22">
        <v>4</v>
      </c>
      <c r="Z22">
        <v>4</v>
      </c>
      <c r="AA22">
        <v>5</v>
      </c>
      <c r="AB22">
        <v>4</v>
      </c>
      <c r="AC22">
        <v>3</v>
      </c>
      <c r="AD22">
        <f>IF(Table_EH_Post_Survey_May_22__2023_11_005[[#This Row],[Q4_1]] = 3, 1, IF(Table_EH_Post_Survey_May_22__2023_11_005[[#This Row],[Q4_1]] = 2.5, 0.5, IF(Table_EH_Post_Survey_May_22__2023_11_005[[#This Row],[Q4_1]] = 3.5, 0.5, 0)))</f>
        <v>1</v>
      </c>
      <c r="AE22" t="s">
        <v>140</v>
      </c>
      <c r="AF22">
        <f>IF(Table_EH_Post_Survey_May_22__2023_11_005[[#This Row],[Q5 ]]="PM &lt; 2.5 μm", 1, 0)</f>
        <v>1</v>
      </c>
      <c r="AG22" t="s">
        <v>141</v>
      </c>
      <c r="AH22">
        <f>IF(Table_EH_Post_Survey_May_22__2023_11_005[[#This Row],[Q6]]="Particles of this size are generally absorbed in the respiratory tract and safely excreted in mucus.", 1, 0)</f>
        <v>0</v>
      </c>
      <c r="AI22" t="s">
        <v>280</v>
      </c>
      <c r="AJ22">
        <f>IF(ISNUMBER(SEARCH("Trucks", Table_EH_Post_Survey_May_22__2023_11_005[[#This Row],[Q7 ]])) = TRUE, 1, 0) + IF(ISNUMBER(SEARCH("Cars", Table_EH_Post_Survey_May_22__2023_11_005[[#This Row],[Q7 ]])) = TRUE, 1, 0) + IF(ISNUMBER(SEARCH("Fireplaces", Table_EH_Post_Survey_May_22__2023_11_005[[#This Row],[Q7 ]])) = TRUE, 1, 0) + IF(ISNUMBER(SEARCH("Dirt Roads",Table_EH_Post_Survey_May_22__2023_11_005[[#This Row],[Q7 ]])) = TRUE, 1, 0) - IF(ISNUMBER(SEARCH("Electric Vehicles",Table_EH_Post_Survey_May_22__2023_11_005[[#This Row],[Q7 ]])) = TRUE, 1, 0) - IF(ISNUMBER(SEARCH("Pollen", Table_EH_Post_Survey_May_22__2023_11_005[[#This Row],[Q7 ]])) = TRUE, 1, 0)</f>
        <v>2</v>
      </c>
      <c r="AK22">
        <v>5</v>
      </c>
      <c r="AL22">
        <v>5</v>
      </c>
      <c r="AM22">
        <v>4</v>
      </c>
      <c r="AN22">
        <v>4</v>
      </c>
      <c r="AO22">
        <v>4</v>
      </c>
      <c r="AP22">
        <v>5</v>
      </c>
      <c r="AQ22">
        <v>8</v>
      </c>
      <c r="AR22" t="s">
        <v>1096</v>
      </c>
      <c r="AS22" t="s">
        <v>1328</v>
      </c>
    </row>
    <row r="23" spans="1:45" x14ac:dyDescent="0.25">
      <c r="A23" t="s">
        <v>1142</v>
      </c>
      <c r="B23" t="s">
        <v>1143</v>
      </c>
      <c r="C23" t="s">
        <v>42</v>
      </c>
      <c r="D23" t="s">
        <v>389</v>
      </c>
      <c r="E23" t="s">
        <v>112</v>
      </c>
      <c r="F23" s="3">
        <v>139</v>
      </c>
      <c r="G23" s="3">
        <f>_xlfn.NUMBERVALUE(Table_EH_Post_Survey_May_22__2023_11_005[[#This Row],[Duration (in seconds) - Duration (in seconds)]])</f>
        <v>139</v>
      </c>
      <c r="H23" t="s">
        <v>114</v>
      </c>
      <c r="I23" t="s">
        <v>1143</v>
      </c>
      <c r="J23" t="s">
        <v>1144</v>
      </c>
      <c r="K23" t="s">
        <v>111</v>
      </c>
      <c r="L23" t="s">
        <v>111</v>
      </c>
      <c r="M23" t="s">
        <v>111</v>
      </c>
      <c r="N23" t="s">
        <v>111</v>
      </c>
      <c r="O23" t="s">
        <v>392</v>
      </c>
      <c r="P23" t="s">
        <v>393</v>
      </c>
      <c r="Q23" t="s">
        <v>127</v>
      </c>
      <c r="R23" t="s">
        <v>117</v>
      </c>
      <c r="S23" s="17" t="s">
        <v>1145</v>
      </c>
      <c r="T23" s="17" t="str">
        <f>VLOOKUP(Table_EH_Post_Survey_May_22__2023_11_005[[#This Row],[Q1 - NetID Post Survey]], Table_EH_Pre_Survey_May_20__2023_08_224[Q1 - NetID Post-Survey], 1, FALSE)</f>
        <v>Oam38</v>
      </c>
      <c r="U23">
        <v>4</v>
      </c>
      <c r="V23">
        <v>5</v>
      </c>
      <c r="W23">
        <v>4</v>
      </c>
      <c r="X23">
        <v>3</v>
      </c>
      <c r="Y23">
        <v>5</v>
      </c>
      <c r="Z23">
        <v>4</v>
      </c>
      <c r="AA23">
        <v>5</v>
      </c>
      <c r="AB23">
        <v>3</v>
      </c>
      <c r="AC23">
        <v>3</v>
      </c>
      <c r="AD23">
        <f>IF(Table_EH_Post_Survey_May_22__2023_11_005[[#This Row],[Q4_1]] = 3, 1, IF(Table_EH_Post_Survey_May_22__2023_11_005[[#This Row],[Q4_1]] = 2.5, 0.5, IF(Table_EH_Post_Survey_May_22__2023_11_005[[#This Row],[Q4_1]] = 3.5, 0.5, 0)))</f>
        <v>1</v>
      </c>
      <c r="AE23" t="s">
        <v>140</v>
      </c>
      <c r="AF23">
        <f>IF(Table_EH_Post_Survey_May_22__2023_11_005[[#This Row],[Q5 ]]="PM &lt; 2.5 μm", 1, 0)</f>
        <v>1</v>
      </c>
      <c r="AG23" t="s">
        <v>175</v>
      </c>
      <c r="AH23">
        <f>IF(Table_EH_Post_Survey_May_22__2023_11_005[[#This Row],[Q6]]="Particles of this size are generally absorbed in the respiratory tract and safely excreted in mucus.", 1, 0)</f>
        <v>1</v>
      </c>
      <c r="AI23" t="s">
        <v>186</v>
      </c>
      <c r="AJ23">
        <f>IF(ISNUMBER(SEARCH("Trucks", Table_EH_Post_Survey_May_22__2023_11_005[[#This Row],[Q7 ]])) = TRUE, 1, 0) + IF(ISNUMBER(SEARCH("Cars", Table_EH_Post_Survey_May_22__2023_11_005[[#This Row],[Q7 ]])) = TRUE, 1, 0) + IF(ISNUMBER(SEARCH("Fireplaces", Table_EH_Post_Survey_May_22__2023_11_005[[#This Row],[Q7 ]])) = TRUE, 1, 0) + IF(ISNUMBER(SEARCH("Dirt Roads",Table_EH_Post_Survey_May_22__2023_11_005[[#This Row],[Q7 ]])) = TRUE, 1, 0) - IF(ISNUMBER(SEARCH("Electric Vehicles",Table_EH_Post_Survey_May_22__2023_11_005[[#This Row],[Q7 ]])) = TRUE, 1, 0) - IF(ISNUMBER(SEARCH("Pollen", Table_EH_Post_Survey_May_22__2023_11_005[[#This Row],[Q7 ]])) = TRUE, 1, 0)</f>
        <v>3</v>
      </c>
      <c r="AK23">
        <v>5</v>
      </c>
      <c r="AL23">
        <v>4</v>
      </c>
      <c r="AM23">
        <v>4</v>
      </c>
      <c r="AN23">
        <v>4</v>
      </c>
      <c r="AO23">
        <v>4</v>
      </c>
      <c r="AP23">
        <v>5</v>
      </c>
      <c r="AQ23">
        <v>10</v>
      </c>
      <c r="AR23" t="s">
        <v>111</v>
      </c>
      <c r="AS23" t="s">
        <v>1378</v>
      </c>
    </row>
    <row r="24" spans="1:45" x14ac:dyDescent="0.25">
      <c r="A24" t="s">
        <v>1014</v>
      </c>
      <c r="B24" t="s">
        <v>1011</v>
      </c>
      <c r="C24" t="s">
        <v>42</v>
      </c>
      <c r="D24" t="s">
        <v>1015</v>
      </c>
      <c r="E24" t="s">
        <v>112</v>
      </c>
      <c r="F24" s="3">
        <v>233</v>
      </c>
      <c r="G24" s="3">
        <f>_xlfn.NUMBERVALUE(Table_EH_Post_Survey_May_22__2023_11_005[[#This Row],[Duration (in seconds) - Duration (in seconds)]])</f>
        <v>233</v>
      </c>
      <c r="H24" t="s">
        <v>114</v>
      </c>
      <c r="I24" t="s">
        <v>1016</v>
      </c>
      <c r="J24" t="s">
        <v>1017</v>
      </c>
      <c r="K24" t="s">
        <v>111</v>
      </c>
      <c r="L24" t="s">
        <v>111</v>
      </c>
      <c r="M24" t="s">
        <v>111</v>
      </c>
      <c r="N24" t="s">
        <v>111</v>
      </c>
      <c r="O24" t="s">
        <v>351</v>
      </c>
      <c r="P24" t="s">
        <v>352</v>
      </c>
      <c r="Q24" t="s">
        <v>487</v>
      </c>
      <c r="R24" t="s">
        <v>117</v>
      </c>
      <c r="S24" s="17" t="s">
        <v>1018</v>
      </c>
      <c r="T24" s="17" t="str">
        <f>VLOOKUP(Table_EH_Post_Survey_May_22__2023_11_005[[#This Row],[Q1 - NetID Post Survey]], Table_EH_Pre_Survey_May_20__2023_08_224[Q1 - NetID Post-Survey], 1, FALSE)</f>
        <v>pb658</v>
      </c>
      <c r="U24">
        <v>3</v>
      </c>
      <c r="V24">
        <v>4</v>
      </c>
      <c r="W24">
        <v>4</v>
      </c>
      <c r="X24">
        <v>5</v>
      </c>
      <c r="AA24">
        <v>5</v>
      </c>
      <c r="AC24">
        <v>4</v>
      </c>
      <c r="AD24">
        <f>IF(Table_EH_Post_Survey_May_22__2023_11_005[[#This Row],[Q4_1]] = 3, 1, IF(Table_EH_Post_Survey_May_22__2023_11_005[[#This Row],[Q4_1]] = 2.5, 0.5, IF(Table_EH_Post_Survey_May_22__2023_11_005[[#This Row],[Q4_1]] = 3.5, 0.5, 0)))</f>
        <v>0</v>
      </c>
      <c r="AE24" t="s">
        <v>140</v>
      </c>
      <c r="AF24">
        <f>IF(Table_EH_Post_Survey_May_22__2023_11_005[[#This Row],[Q5 ]]="PM &lt; 2.5 μm", 1, 0)</f>
        <v>1</v>
      </c>
      <c r="AG24" t="s">
        <v>175</v>
      </c>
      <c r="AH24">
        <f>IF(Table_EH_Post_Survey_May_22__2023_11_005[[#This Row],[Q6]]="Particles of this size are generally absorbed in the respiratory tract and safely excreted in mucus.", 1, 0)</f>
        <v>1</v>
      </c>
      <c r="AI24" t="s">
        <v>1019</v>
      </c>
      <c r="AJ24">
        <f>IF(ISNUMBER(SEARCH("Trucks", Table_EH_Post_Survey_May_22__2023_11_005[[#This Row],[Q7 ]])) = TRUE, 1, 0) + IF(ISNUMBER(SEARCH("Cars", Table_EH_Post_Survey_May_22__2023_11_005[[#This Row],[Q7 ]])) = TRUE, 1, 0) + IF(ISNUMBER(SEARCH("Fireplaces", Table_EH_Post_Survey_May_22__2023_11_005[[#This Row],[Q7 ]])) = TRUE, 1, 0) + IF(ISNUMBER(SEARCH("Dirt Roads",Table_EH_Post_Survey_May_22__2023_11_005[[#This Row],[Q7 ]])) = TRUE, 1, 0) - IF(ISNUMBER(SEARCH("Electric Vehicles",Table_EH_Post_Survey_May_22__2023_11_005[[#This Row],[Q7 ]])) = TRUE, 1, 0) - IF(ISNUMBER(SEARCH("Pollen", Table_EH_Post_Survey_May_22__2023_11_005[[#This Row],[Q7 ]])) = TRUE, 1, 0)</f>
        <v>2</v>
      </c>
      <c r="AK24">
        <v>4</v>
      </c>
      <c r="AL24">
        <v>4</v>
      </c>
      <c r="AM24">
        <v>4</v>
      </c>
      <c r="AN24">
        <v>4</v>
      </c>
      <c r="AO24">
        <v>4</v>
      </c>
      <c r="AP24">
        <v>4</v>
      </c>
      <c r="AQ24">
        <v>6</v>
      </c>
      <c r="AR24" t="s">
        <v>111</v>
      </c>
      <c r="AS24" t="s">
        <v>1378</v>
      </c>
    </row>
    <row r="25" spans="1:45" x14ac:dyDescent="0.25">
      <c r="A25" t="s">
        <v>1137</v>
      </c>
      <c r="B25" t="s">
        <v>1138</v>
      </c>
      <c r="C25" t="s">
        <v>42</v>
      </c>
      <c r="D25" t="s">
        <v>826</v>
      </c>
      <c r="E25" t="s">
        <v>112</v>
      </c>
      <c r="F25" s="3">
        <v>184</v>
      </c>
      <c r="G25" s="3">
        <f>_xlfn.NUMBERVALUE(Table_EH_Post_Survey_May_22__2023_11_005[[#This Row],[Duration (in seconds) - Duration (in seconds)]])</f>
        <v>184</v>
      </c>
      <c r="H25" t="s">
        <v>114</v>
      </c>
      <c r="I25" t="s">
        <v>1139</v>
      </c>
      <c r="J25" t="s">
        <v>1140</v>
      </c>
      <c r="K25" t="s">
        <v>111</v>
      </c>
      <c r="L25" t="s">
        <v>111</v>
      </c>
      <c r="M25" t="s">
        <v>111</v>
      </c>
      <c r="N25" t="s">
        <v>111</v>
      </c>
      <c r="O25" t="s">
        <v>115</v>
      </c>
      <c r="P25" t="s">
        <v>116</v>
      </c>
      <c r="Q25" t="s">
        <v>127</v>
      </c>
      <c r="R25" t="s">
        <v>117</v>
      </c>
      <c r="S25" s="17" t="s">
        <v>496</v>
      </c>
      <c r="T25" s="17" t="str">
        <f>VLOOKUP(Table_EH_Post_Survey_May_22__2023_11_005[[#This Row],[Q1 - NetID Post Survey]], Table_EH_Pre_Survey_May_20__2023_08_224[Q1 - NetID Post-Survey], 1, FALSE)</f>
        <v>Pfa13</v>
      </c>
      <c r="U25">
        <v>4</v>
      </c>
      <c r="V25">
        <v>5</v>
      </c>
      <c r="W25">
        <v>3</v>
      </c>
      <c r="X25">
        <v>4</v>
      </c>
      <c r="Y25">
        <v>1</v>
      </c>
      <c r="Z25">
        <v>1</v>
      </c>
      <c r="AA25">
        <v>4</v>
      </c>
      <c r="AB25">
        <v>1</v>
      </c>
      <c r="AC25">
        <v>2.5</v>
      </c>
      <c r="AD25">
        <f>IF(Table_EH_Post_Survey_May_22__2023_11_005[[#This Row],[Q4_1]] = 3, 1, IF(Table_EH_Post_Survey_May_22__2023_11_005[[#This Row],[Q4_1]] = 2.5, 0.5, IF(Table_EH_Post_Survey_May_22__2023_11_005[[#This Row],[Q4_1]] = 3.5, 0.5, 0)))</f>
        <v>0.5</v>
      </c>
      <c r="AE25" t="s">
        <v>140</v>
      </c>
      <c r="AF25">
        <f>IF(Table_EH_Post_Survey_May_22__2023_11_005[[#This Row],[Q5 ]]="PM &lt; 2.5 μm", 1, 0)</f>
        <v>1</v>
      </c>
      <c r="AG25" t="s">
        <v>175</v>
      </c>
      <c r="AH25">
        <f>IF(Table_EH_Post_Survey_May_22__2023_11_005[[#This Row],[Q6]]="Particles of this size are generally absorbed in the respiratory tract and safely excreted in mucus.", 1, 0)</f>
        <v>1</v>
      </c>
      <c r="AI25" t="s">
        <v>224</v>
      </c>
      <c r="AJ25">
        <f>IF(ISNUMBER(SEARCH("Trucks", Table_EH_Post_Survey_May_22__2023_11_005[[#This Row],[Q7 ]])) = TRUE, 1, 0) + IF(ISNUMBER(SEARCH("Cars", Table_EH_Post_Survey_May_22__2023_11_005[[#This Row],[Q7 ]])) = TRUE, 1, 0) + IF(ISNUMBER(SEARCH("Fireplaces", Table_EH_Post_Survey_May_22__2023_11_005[[#This Row],[Q7 ]])) = TRUE, 1, 0) + IF(ISNUMBER(SEARCH("Dirt Roads",Table_EH_Post_Survey_May_22__2023_11_005[[#This Row],[Q7 ]])) = TRUE, 1, 0) - IF(ISNUMBER(SEARCH("Electric Vehicles",Table_EH_Post_Survey_May_22__2023_11_005[[#This Row],[Q7 ]])) = TRUE, 1, 0) - IF(ISNUMBER(SEARCH("Pollen", Table_EH_Post_Survey_May_22__2023_11_005[[#This Row],[Q7 ]])) = TRUE, 1, 0)</f>
        <v>1</v>
      </c>
      <c r="AK25">
        <v>4</v>
      </c>
      <c r="AL25">
        <v>3</v>
      </c>
      <c r="AM25">
        <v>3</v>
      </c>
      <c r="AN25">
        <v>2</v>
      </c>
      <c r="AO25">
        <v>3</v>
      </c>
      <c r="AP25">
        <v>5</v>
      </c>
      <c r="AQ25">
        <v>10</v>
      </c>
      <c r="AR25" t="s">
        <v>1141</v>
      </c>
      <c r="AS25" t="s">
        <v>1329</v>
      </c>
    </row>
    <row r="26" spans="1:45" x14ac:dyDescent="0.25">
      <c r="A26" t="s">
        <v>1066</v>
      </c>
      <c r="B26" t="s">
        <v>1067</v>
      </c>
      <c r="C26" t="s">
        <v>42</v>
      </c>
      <c r="D26" t="s">
        <v>1068</v>
      </c>
      <c r="E26" t="s">
        <v>112</v>
      </c>
      <c r="F26" s="3">
        <v>1277</v>
      </c>
      <c r="G26" s="3">
        <f>_xlfn.NUMBERVALUE(Table_EH_Post_Survey_May_22__2023_11_005[[#This Row],[Duration (in seconds) - Duration (in seconds)]])</f>
        <v>1277</v>
      </c>
      <c r="H26" t="s">
        <v>114</v>
      </c>
      <c r="I26" t="s">
        <v>1067</v>
      </c>
      <c r="J26" t="s">
        <v>1069</v>
      </c>
      <c r="K26" t="s">
        <v>111</v>
      </c>
      <c r="L26" t="s">
        <v>111</v>
      </c>
      <c r="M26" t="s">
        <v>111</v>
      </c>
      <c r="N26" t="s">
        <v>111</v>
      </c>
      <c r="O26" t="s">
        <v>656</v>
      </c>
      <c r="P26" t="s">
        <v>657</v>
      </c>
      <c r="Q26" t="s">
        <v>487</v>
      </c>
      <c r="R26" t="s">
        <v>117</v>
      </c>
      <c r="S26" s="17" t="s">
        <v>304</v>
      </c>
      <c r="T26" s="17" t="str">
        <f>VLOOKUP(Table_EH_Post_Survey_May_22__2023_11_005[[#This Row],[Q1 - NetID Post Survey]], Table_EH_Pre_Survey_May_20__2023_08_224[Q1 - NetID Post-Survey], 1, FALSE)</f>
        <v>Phl28</v>
      </c>
      <c r="U26">
        <v>5</v>
      </c>
      <c r="V26">
        <v>4</v>
      </c>
      <c r="W26">
        <v>4</v>
      </c>
      <c r="X26">
        <v>4</v>
      </c>
      <c r="Y26">
        <v>3</v>
      </c>
      <c r="Z26">
        <v>3</v>
      </c>
      <c r="AA26">
        <v>4</v>
      </c>
      <c r="AB26">
        <v>3</v>
      </c>
      <c r="AC26">
        <v>4.5</v>
      </c>
      <c r="AD26">
        <f>IF(Table_EH_Post_Survey_May_22__2023_11_005[[#This Row],[Q4_1]] = 3, 1, IF(Table_EH_Post_Survey_May_22__2023_11_005[[#This Row],[Q4_1]] = 2.5, 0.5, IF(Table_EH_Post_Survey_May_22__2023_11_005[[#This Row],[Q4_1]] = 3.5, 0.5, 0)))</f>
        <v>0</v>
      </c>
      <c r="AE26" t="s">
        <v>154</v>
      </c>
      <c r="AF26">
        <f>IF(Table_EH_Post_Survey_May_22__2023_11_005[[#This Row],[Q5 ]]="PM &lt; 2.5 μm", 1, 0)</f>
        <v>0</v>
      </c>
      <c r="AG26" t="s">
        <v>131</v>
      </c>
      <c r="AH26">
        <f>IF(Table_EH_Post_Survey_May_22__2023_11_005[[#This Row],[Q6]]="Particles of this size are generally absorbed in the respiratory tract and safely excreted in mucus.", 1, 0)</f>
        <v>0</v>
      </c>
      <c r="AI26" t="s">
        <v>167</v>
      </c>
      <c r="AJ26">
        <f>IF(ISNUMBER(SEARCH("Trucks", Table_EH_Post_Survey_May_22__2023_11_005[[#This Row],[Q7 ]])) = TRUE, 1, 0) + IF(ISNUMBER(SEARCH("Cars", Table_EH_Post_Survey_May_22__2023_11_005[[#This Row],[Q7 ]])) = TRUE, 1, 0) + IF(ISNUMBER(SEARCH("Fireplaces", Table_EH_Post_Survey_May_22__2023_11_005[[#This Row],[Q7 ]])) = TRUE, 1, 0) + IF(ISNUMBER(SEARCH("Dirt Roads",Table_EH_Post_Survey_May_22__2023_11_005[[#This Row],[Q7 ]])) = TRUE, 1, 0) - IF(ISNUMBER(SEARCH("Electric Vehicles",Table_EH_Post_Survey_May_22__2023_11_005[[#This Row],[Q7 ]])) = TRUE, 1, 0) - IF(ISNUMBER(SEARCH("Pollen", Table_EH_Post_Survey_May_22__2023_11_005[[#This Row],[Q7 ]])) = TRUE, 1, 0)</f>
        <v>3</v>
      </c>
      <c r="AK26">
        <v>4</v>
      </c>
      <c r="AL26">
        <v>3</v>
      </c>
      <c r="AM26">
        <v>3</v>
      </c>
      <c r="AN26">
        <v>3</v>
      </c>
      <c r="AO26">
        <v>4</v>
      </c>
      <c r="AP26">
        <v>3</v>
      </c>
      <c r="AQ26">
        <v>8</v>
      </c>
      <c r="AR26" t="s">
        <v>111</v>
      </c>
      <c r="AS26" t="s">
        <v>1378</v>
      </c>
    </row>
    <row r="27" spans="1:45" x14ac:dyDescent="0.25">
      <c r="A27" t="s">
        <v>1267</v>
      </c>
      <c r="B27" t="s">
        <v>1268</v>
      </c>
      <c r="C27" t="s">
        <v>42</v>
      </c>
      <c r="D27" t="s">
        <v>190</v>
      </c>
      <c r="E27" t="s">
        <v>112</v>
      </c>
      <c r="F27" s="3">
        <v>155</v>
      </c>
      <c r="G27" s="3">
        <f>_xlfn.NUMBERVALUE(Table_EH_Post_Survey_May_22__2023_11_005[[#This Row],[Duration (in seconds) - Duration (in seconds)]])</f>
        <v>155</v>
      </c>
      <c r="H27" t="s">
        <v>114</v>
      </c>
      <c r="I27" t="s">
        <v>1269</v>
      </c>
      <c r="J27" t="s">
        <v>1270</v>
      </c>
      <c r="K27" t="s">
        <v>111</v>
      </c>
      <c r="L27" t="s">
        <v>111</v>
      </c>
      <c r="M27" t="s">
        <v>111</v>
      </c>
      <c r="N27" t="s">
        <v>111</v>
      </c>
      <c r="O27" t="s">
        <v>193</v>
      </c>
      <c r="P27" t="s">
        <v>194</v>
      </c>
      <c r="Q27" t="s">
        <v>127</v>
      </c>
      <c r="R27" t="s">
        <v>117</v>
      </c>
      <c r="S27" s="17" t="s">
        <v>1271</v>
      </c>
      <c r="T27" s="17" t="str">
        <f>VLOOKUP(Table_EH_Post_Survey_May_22__2023_11_005[[#This Row],[Q1 - NetID Post Survey]], Table_EH_Pre_Survey_May_20__2023_08_224[Q1 - NetID Post-Survey], 1, FALSE)</f>
        <v>Pmg128</v>
      </c>
      <c r="U27">
        <v>5</v>
      </c>
      <c r="V27">
        <v>5</v>
      </c>
      <c r="W27">
        <v>5</v>
      </c>
      <c r="X27">
        <v>5</v>
      </c>
      <c r="Y27">
        <v>4</v>
      </c>
      <c r="Z27">
        <v>5</v>
      </c>
      <c r="AA27">
        <v>5</v>
      </c>
      <c r="AB27">
        <v>5</v>
      </c>
      <c r="AC27">
        <v>3</v>
      </c>
      <c r="AD27">
        <f>IF(Table_EH_Post_Survey_May_22__2023_11_005[[#This Row],[Q4_1]] = 3, 1, IF(Table_EH_Post_Survey_May_22__2023_11_005[[#This Row],[Q4_1]] = 2.5, 0.5, IF(Table_EH_Post_Survey_May_22__2023_11_005[[#This Row],[Q4_1]] = 3.5, 0.5, 0)))</f>
        <v>1</v>
      </c>
      <c r="AE27" t="s">
        <v>140</v>
      </c>
      <c r="AF27">
        <f>IF(Table_EH_Post_Survey_May_22__2023_11_005[[#This Row],[Q5 ]]="PM &lt; 2.5 μm", 1, 0)</f>
        <v>1</v>
      </c>
      <c r="AG27" t="s">
        <v>175</v>
      </c>
      <c r="AH27">
        <f>IF(Table_EH_Post_Survey_May_22__2023_11_005[[#This Row],[Q6]]="Particles of this size are generally absorbed in the respiratory tract and safely excreted in mucus.", 1, 0)</f>
        <v>1</v>
      </c>
      <c r="AI27" t="s">
        <v>142</v>
      </c>
      <c r="AJ27">
        <f>IF(ISNUMBER(SEARCH("Trucks", Table_EH_Post_Survey_May_22__2023_11_005[[#This Row],[Q7 ]])) = TRUE, 1, 0) + IF(ISNUMBER(SEARCH("Cars", Table_EH_Post_Survey_May_22__2023_11_005[[#This Row],[Q7 ]])) = TRUE, 1, 0) + IF(ISNUMBER(SEARCH("Fireplaces", Table_EH_Post_Survey_May_22__2023_11_005[[#This Row],[Q7 ]])) = TRUE, 1, 0) + IF(ISNUMBER(SEARCH("Dirt Roads",Table_EH_Post_Survey_May_22__2023_11_005[[#This Row],[Q7 ]])) = TRUE, 1, 0) - IF(ISNUMBER(SEARCH("Electric Vehicles",Table_EH_Post_Survey_May_22__2023_11_005[[#This Row],[Q7 ]])) = TRUE, 1, 0) - IF(ISNUMBER(SEARCH("Pollen", Table_EH_Post_Survey_May_22__2023_11_005[[#This Row],[Q7 ]])) = TRUE, 1, 0)</f>
        <v>2</v>
      </c>
      <c r="AK27">
        <v>5</v>
      </c>
      <c r="AL27">
        <v>2</v>
      </c>
      <c r="AM27">
        <v>3</v>
      </c>
      <c r="AN27">
        <v>3</v>
      </c>
      <c r="AO27">
        <v>5</v>
      </c>
      <c r="AP27">
        <v>4</v>
      </c>
      <c r="AQ27">
        <v>9</v>
      </c>
      <c r="AR27" t="s">
        <v>111</v>
      </c>
      <c r="AS27" t="s">
        <v>1378</v>
      </c>
    </row>
    <row r="28" spans="1:45" x14ac:dyDescent="0.25">
      <c r="A28" t="s">
        <v>1062</v>
      </c>
      <c r="B28" t="s">
        <v>1063</v>
      </c>
      <c r="C28" t="s">
        <v>42</v>
      </c>
      <c r="D28" t="s">
        <v>389</v>
      </c>
      <c r="E28" t="s">
        <v>112</v>
      </c>
      <c r="F28" s="3">
        <v>1214</v>
      </c>
      <c r="G28" s="3">
        <f>_xlfn.NUMBERVALUE(Table_EH_Post_Survey_May_22__2023_11_005[[#This Row],[Duration (in seconds) - Duration (in seconds)]])</f>
        <v>1214</v>
      </c>
      <c r="H28" t="s">
        <v>114</v>
      </c>
      <c r="I28" t="s">
        <v>1063</v>
      </c>
      <c r="J28" t="s">
        <v>1064</v>
      </c>
      <c r="K28" t="s">
        <v>111</v>
      </c>
      <c r="L28" t="s">
        <v>111</v>
      </c>
      <c r="M28" t="s">
        <v>111</v>
      </c>
      <c r="N28" t="s">
        <v>111</v>
      </c>
      <c r="O28" t="s">
        <v>392</v>
      </c>
      <c r="P28" t="s">
        <v>393</v>
      </c>
      <c r="Q28" t="s">
        <v>487</v>
      </c>
      <c r="R28" t="s">
        <v>117</v>
      </c>
      <c r="S28" s="17" t="s">
        <v>362</v>
      </c>
      <c r="T28" s="17" t="str">
        <f>VLOOKUP(Table_EH_Post_Survey_May_22__2023_11_005[[#This Row],[Q1 - NetID Post Survey]], Table_EH_Pre_Survey_May_20__2023_08_224[Q1 - NetID Post-Survey], 1, FALSE)</f>
        <v>rd968</v>
      </c>
      <c r="U28">
        <v>4</v>
      </c>
      <c r="V28">
        <v>4</v>
      </c>
      <c r="W28">
        <v>2</v>
      </c>
      <c r="X28">
        <v>5</v>
      </c>
      <c r="Y28">
        <v>2</v>
      </c>
      <c r="Z28">
        <v>2</v>
      </c>
      <c r="AA28">
        <v>5</v>
      </c>
      <c r="AB28">
        <v>2</v>
      </c>
      <c r="AC28">
        <v>1</v>
      </c>
      <c r="AD28">
        <f>IF(Table_EH_Post_Survey_May_22__2023_11_005[[#This Row],[Q4_1]] = 3, 1, IF(Table_EH_Post_Survey_May_22__2023_11_005[[#This Row],[Q4_1]] = 2.5, 0.5, IF(Table_EH_Post_Survey_May_22__2023_11_005[[#This Row],[Q4_1]] = 3.5, 0.5, 0)))</f>
        <v>0</v>
      </c>
      <c r="AE28" t="s">
        <v>185</v>
      </c>
      <c r="AF28">
        <f>IF(Table_EH_Post_Survey_May_22__2023_11_005[[#This Row],[Q5 ]]="PM &lt; 2.5 μm", 1, 0)</f>
        <v>0</v>
      </c>
      <c r="AG28" t="s">
        <v>175</v>
      </c>
      <c r="AH28">
        <f>IF(Table_EH_Post_Survey_May_22__2023_11_005[[#This Row],[Q6]]="Particles of this size are generally absorbed in the respiratory tract and safely excreted in mucus.", 1, 0)</f>
        <v>1</v>
      </c>
      <c r="AI28" t="s">
        <v>156</v>
      </c>
      <c r="AJ28">
        <f>IF(ISNUMBER(SEARCH("Trucks", Table_EH_Post_Survey_May_22__2023_11_005[[#This Row],[Q7 ]])) = TRUE, 1, 0) + IF(ISNUMBER(SEARCH("Cars", Table_EH_Post_Survey_May_22__2023_11_005[[#This Row],[Q7 ]])) = TRUE, 1, 0) + IF(ISNUMBER(SEARCH("Fireplaces", Table_EH_Post_Survey_May_22__2023_11_005[[#This Row],[Q7 ]])) = TRUE, 1, 0) + IF(ISNUMBER(SEARCH("Dirt Roads",Table_EH_Post_Survey_May_22__2023_11_005[[#This Row],[Q7 ]])) = TRUE, 1, 0) - IF(ISNUMBER(SEARCH("Electric Vehicles",Table_EH_Post_Survey_May_22__2023_11_005[[#This Row],[Q7 ]])) = TRUE, 1, 0) - IF(ISNUMBER(SEARCH("Pollen", Table_EH_Post_Survey_May_22__2023_11_005[[#This Row],[Q7 ]])) = TRUE, 1, 0)</f>
        <v>4</v>
      </c>
      <c r="AK28">
        <v>1</v>
      </c>
      <c r="AL28">
        <v>5</v>
      </c>
      <c r="AM28">
        <v>2</v>
      </c>
      <c r="AN28">
        <v>2</v>
      </c>
      <c r="AO28">
        <v>3</v>
      </c>
      <c r="AP28">
        <v>3</v>
      </c>
      <c r="AQ28">
        <v>10</v>
      </c>
      <c r="AR28" t="s">
        <v>1065</v>
      </c>
      <c r="AS28" t="s">
        <v>1378</v>
      </c>
    </row>
    <row r="29" spans="1:45" x14ac:dyDescent="0.25">
      <c r="A29" t="s">
        <v>1160</v>
      </c>
      <c r="B29" t="s">
        <v>1161</v>
      </c>
      <c r="C29" t="s">
        <v>42</v>
      </c>
      <c r="D29" t="s">
        <v>808</v>
      </c>
      <c r="E29" t="s">
        <v>112</v>
      </c>
      <c r="F29" s="3">
        <v>180</v>
      </c>
      <c r="G29" s="3">
        <f>_xlfn.NUMBERVALUE(Table_EH_Post_Survey_May_22__2023_11_005[[#This Row],[Duration (in seconds) - Duration (in seconds)]])</f>
        <v>180</v>
      </c>
      <c r="H29" t="s">
        <v>114</v>
      </c>
      <c r="I29" t="s">
        <v>1161</v>
      </c>
      <c r="J29" t="s">
        <v>1162</v>
      </c>
      <c r="K29" t="s">
        <v>111</v>
      </c>
      <c r="L29" t="s">
        <v>111</v>
      </c>
      <c r="M29" t="s">
        <v>111</v>
      </c>
      <c r="N29" t="s">
        <v>111</v>
      </c>
      <c r="O29" t="s">
        <v>164</v>
      </c>
      <c r="P29" t="s">
        <v>165</v>
      </c>
      <c r="Q29" t="s">
        <v>487</v>
      </c>
      <c r="R29" t="s">
        <v>117</v>
      </c>
      <c r="S29" s="17" t="s">
        <v>1163</v>
      </c>
      <c r="T29" s="17" t="str">
        <f>VLOOKUP(Table_EH_Post_Survey_May_22__2023_11_005[[#This Row],[Q1 - NetID Post Survey]], Table_EH_Pre_Survey_May_20__2023_08_224[Q1 - NetID Post-Survey], 1, FALSE)</f>
        <v>sc1700</v>
      </c>
      <c r="U29">
        <v>5</v>
      </c>
      <c r="V29">
        <v>4</v>
      </c>
      <c r="W29">
        <v>4</v>
      </c>
      <c r="X29">
        <v>4</v>
      </c>
      <c r="Y29">
        <v>2</v>
      </c>
      <c r="Z29">
        <v>3</v>
      </c>
      <c r="AA29">
        <v>5</v>
      </c>
      <c r="AB29">
        <v>3</v>
      </c>
      <c r="AC29">
        <v>3</v>
      </c>
      <c r="AD29">
        <f>IF(Table_EH_Post_Survey_May_22__2023_11_005[[#This Row],[Q4_1]] = 3, 1, IF(Table_EH_Post_Survey_May_22__2023_11_005[[#This Row],[Q4_1]] = 2.5, 0.5, IF(Table_EH_Post_Survey_May_22__2023_11_005[[#This Row],[Q4_1]] = 3.5, 0.5, 0)))</f>
        <v>1</v>
      </c>
      <c r="AE29" t="s">
        <v>140</v>
      </c>
      <c r="AF29">
        <f>IF(Table_EH_Post_Survey_May_22__2023_11_005[[#This Row],[Q5 ]]="PM &lt; 2.5 μm", 1, 0)</f>
        <v>1</v>
      </c>
      <c r="AG29" t="s">
        <v>131</v>
      </c>
      <c r="AH29">
        <f>IF(Table_EH_Post_Survey_May_22__2023_11_005[[#This Row],[Q6]]="Particles of this size are generally absorbed in the respiratory tract and safely excreted in mucus.", 1, 0)</f>
        <v>0</v>
      </c>
      <c r="AI29" t="s">
        <v>450</v>
      </c>
      <c r="AJ29">
        <f>IF(ISNUMBER(SEARCH("Trucks", Table_EH_Post_Survey_May_22__2023_11_005[[#This Row],[Q7 ]])) = TRUE, 1, 0) + IF(ISNUMBER(SEARCH("Cars", Table_EH_Post_Survey_May_22__2023_11_005[[#This Row],[Q7 ]])) = TRUE, 1, 0) + IF(ISNUMBER(SEARCH("Fireplaces", Table_EH_Post_Survey_May_22__2023_11_005[[#This Row],[Q7 ]])) = TRUE, 1, 0) + IF(ISNUMBER(SEARCH("Dirt Roads",Table_EH_Post_Survey_May_22__2023_11_005[[#This Row],[Q7 ]])) = TRUE, 1, 0) - IF(ISNUMBER(SEARCH("Electric Vehicles",Table_EH_Post_Survey_May_22__2023_11_005[[#This Row],[Q7 ]])) = TRUE, 1, 0) - IF(ISNUMBER(SEARCH("Pollen", Table_EH_Post_Survey_May_22__2023_11_005[[#This Row],[Q7 ]])) = TRUE, 1, 0)</f>
        <v>2</v>
      </c>
      <c r="AK29">
        <v>4</v>
      </c>
      <c r="AL29">
        <v>4</v>
      </c>
      <c r="AM29">
        <v>4</v>
      </c>
      <c r="AN29">
        <v>4</v>
      </c>
      <c r="AO29">
        <v>4</v>
      </c>
      <c r="AP29">
        <v>5</v>
      </c>
      <c r="AQ29">
        <v>9</v>
      </c>
      <c r="AR29" t="s">
        <v>1164</v>
      </c>
      <c r="AS29" t="s">
        <v>1378</v>
      </c>
    </row>
    <row r="30" spans="1:45" x14ac:dyDescent="0.25">
      <c r="A30" t="s">
        <v>1165</v>
      </c>
      <c r="B30" t="s">
        <v>1166</v>
      </c>
      <c r="C30" t="s">
        <v>42</v>
      </c>
      <c r="D30" t="s">
        <v>837</v>
      </c>
      <c r="E30" t="s">
        <v>112</v>
      </c>
      <c r="F30" s="3">
        <v>76</v>
      </c>
      <c r="G30" s="3">
        <f>_xlfn.NUMBERVALUE(Table_EH_Post_Survey_May_22__2023_11_005[[#This Row],[Duration (in seconds) - Duration (in seconds)]])</f>
        <v>76</v>
      </c>
      <c r="H30" t="s">
        <v>114</v>
      </c>
      <c r="I30" t="s">
        <v>1166</v>
      </c>
      <c r="J30" t="s">
        <v>1167</v>
      </c>
      <c r="K30" t="s">
        <v>111</v>
      </c>
      <c r="L30" t="s">
        <v>111</v>
      </c>
      <c r="M30" t="s">
        <v>111</v>
      </c>
      <c r="N30" t="s">
        <v>111</v>
      </c>
      <c r="O30" t="s">
        <v>1168</v>
      </c>
      <c r="P30" t="s">
        <v>1169</v>
      </c>
      <c r="Q30" t="s">
        <v>127</v>
      </c>
      <c r="R30" t="s">
        <v>117</v>
      </c>
      <c r="S30" s="17" t="s">
        <v>504</v>
      </c>
      <c r="T30" s="17" t="str">
        <f>VLOOKUP(Table_EH_Post_Survey_May_22__2023_11_005[[#This Row],[Q1 - NetID Post Survey]], Table_EH_Pre_Survey_May_20__2023_08_224[Q1 - NetID Post-Survey], 1, FALSE)</f>
        <v>Sef122</v>
      </c>
      <c r="U30">
        <v>4</v>
      </c>
      <c r="V30">
        <v>4</v>
      </c>
      <c r="W30">
        <v>3</v>
      </c>
      <c r="X30">
        <v>5</v>
      </c>
      <c r="Y30">
        <v>3</v>
      </c>
      <c r="Z30">
        <v>4</v>
      </c>
      <c r="AA30">
        <v>5</v>
      </c>
      <c r="AB30">
        <v>3</v>
      </c>
      <c r="AC30">
        <v>4</v>
      </c>
      <c r="AD30">
        <f>IF(Table_EH_Post_Survey_May_22__2023_11_005[[#This Row],[Q4_1]] = 3, 1, IF(Table_EH_Post_Survey_May_22__2023_11_005[[#This Row],[Q4_1]] = 2.5, 0.5, IF(Table_EH_Post_Survey_May_22__2023_11_005[[#This Row],[Q4_1]] = 3.5, 0.5, 0)))</f>
        <v>0</v>
      </c>
      <c r="AE30" t="s">
        <v>140</v>
      </c>
      <c r="AF30">
        <f>IF(Table_EH_Post_Survey_May_22__2023_11_005[[#This Row],[Q5 ]]="PM &lt; 2.5 μm", 1, 0)</f>
        <v>1</v>
      </c>
      <c r="AG30" t="s">
        <v>175</v>
      </c>
      <c r="AH30">
        <f>IF(Table_EH_Post_Survey_May_22__2023_11_005[[#This Row],[Q6]]="Particles of this size are generally absorbed in the respiratory tract and safely excreted in mucus.", 1, 0)</f>
        <v>1</v>
      </c>
      <c r="AI30" t="s">
        <v>167</v>
      </c>
      <c r="AJ30">
        <f>IF(ISNUMBER(SEARCH("Trucks", Table_EH_Post_Survey_May_22__2023_11_005[[#This Row],[Q7 ]])) = TRUE, 1, 0) + IF(ISNUMBER(SEARCH("Cars", Table_EH_Post_Survey_May_22__2023_11_005[[#This Row],[Q7 ]])) = TRUE, 1, 0) + IF(ISNUMBER(SEARCH("Fireplaces", Table_EH_Post_Survey_May_22__2023_11_005[[#This Row],[Q7 ]])) = TRUE, 1, 0) + IF(ISNUMBER(SEARCH("Dirt Roads",Table_EH_Post_Survey_May_22__2023_11_005[[#This Row],[Q7 ]])) = TRUE, 1, 0) - IF(ISNUMBER(SEARCH("Electric Vehicles",Table_EH_Post_Survey_May_22__2023_11_005[[#This Row],[Q7 ]])) = TRUE, 1, 0) - IF(ISNUMBER(SEARCH("Pollen", Table_EH_Post_Survey_May_22__2023_11_005[[#This Row],[Q7 ]])) = TRUE, 1, 0)</f>
        <v>3</v>
      </c>
      <c r="AK30">
        <v>5</v>
      </c>
      <c r="AL30">
        <v>5</v>
      </c>
      <c r="AM30">
        <v>5</v>
      </c>
      <c r="AN30">
        <v>5</v>
      </c>
      <c r="AO30">
        <v>5</v>
      </c>
      <c r="AP30">
        <v>5</v>
      </c>
      <c r="AQ30">
        <v>9</v>
      </c>
      <c r="AR30" t="s">
        <v>111</v>
      </c>
      <c r="AS30" t="s">
        <v>1378</v>
      </c>
    </row>
    <row r="31" spans="1:45" x14ac:dyDescent="0.25">
      <c r="A31" t="s">
        <v>1000</v>
      </c>
      <c r="B31" t="s">
        <v>1001</v>
      </c>
      <c r="C31" t="s">
        <v>42</v>
      </c>
      <c r="D31" t="s">
        <v>1002</v>
      </c>
      <c r="E31" t="s">
        <v>112</v>
      </c>
      <c r="F31" s="3">
        <v>54</v>
      </c>
      <c r="G31" s="3">
        <f>_xlfn.NUMBERVALUE(Table_EH_Post_Survey_May_22__2023_11_005[[#This Row],[Duration (in seconds) - Duration (in seconds)]])</f>
        <v>54</v>
      </c>
      <c r="H31" t="s">
        <v>114</v>
      </c>
      <c r="I31" t="s">
        <v>1001</v>
      </c>
      <c r="J31" t="s">
        <v>1003</v>
      </c>
      <c r="K31" t="s">
        <v>111</v>
      </c>
      <c r="L31" t="s">
        <v>111</v>
      </c>
      <c r="M31" t="s">
        <v>111</v>
      </c>
      <c r="N31" t="s">
        <v>111</v>
      </c>
      <c r="O31" t="s">
        <v>351</v>
      </c>
      <c r="P31" t="s">
        <v>352</v>
      </c>
      <c r="Q31" t="s">
        <v>487</v>
      </c>
      <c r="R31" t="s">
        <v>117</v>
      </c>
      <c r="S31" s="17" t="s">
        <v>531</v>
      </c>
      <c r="T31" s="17" t="str">
        <f>VLOOKUP(Table_EH_Post_Survey_May_22__2023_11_005[[#This Row],[Q1 - NetID Post Survey]], Table_EH_Pre_Survey_May_20__2023_08_224[Q1 - NetID Post-Survey], 1, FALSE)</f>
        <v>Sje67</v>
      </c>
      <c r="U31">
        <v>5</v>
      </c>
      <c r="V31">
        <v>5</v>
      </c>
      <c r="W31">
        <v>4</v>
      </c>
      <c r="X31">
        <v>5</v>
      </c>
      <c r="Y31">
        <v>5</v>
      </c>
      <c r="Z31">
        <v>5</v>
      </c>
      <c r="AA31">
        <v>5</v>
      </c>
      <c r="AB31">
        <v>3</v>
      </c>
      <c r="AC31">
        <v>2.5</v>
      </c>
      <c r="AD31">
        <f>IF(Table_EH_Post_Survey_May_22__2023_11_005[[#This Row],[Q4_1]] = 3, 1, IF(Table_EH_Post_Survey_May_22__2023_11_005[[#This Row],[Q4_1]] = 2.5, 0.5, IF(Table_EH_Post_Survey_May_22__2023_11_005[[#This Row],[Q4_1]] = 3.5, 0.5, 0)))</f>
        <v>0.5</v>
      </c>
      <c r="AE31" t="s">
        <v>140</v>
      </c>
      <c r="AF31">
        <f>IF(Table_EH_Post_Survey_May_22__2023_11_005[[#This Row],[Q5 ]]="PM &lt; 2.5 μm", 1, 0)</f>
        <v>1</v>
      </c>
      <c r="AG31" t="s">
        <v>131</v>
      </c>
      <c r="AH31">
        <f>IF(Table_EH_Post_Survey_May_22__2023_11_005[[#This Row],[Q6]]="Particles of this size are generally absorbed in the respiratory tract and safely excreted in mucus.", 1, 0)</f>
        <v>0</v>
      </c>
      <c r="AI31" t="s">
        <v>142</v>
      </c>
      <c r="AJ31">
        <f>IF(ISNUMBER(SEARCH("Trucks", Table_EH_Post_Survey_May_22__2023_11_005[[#This Row],[Q7 ]])) = TRUE, 1, 0) + IF(ISNUMBER(SEARCH("Cars", Table_EH_Post_Survey_May_22__2023_11_005[[#This Row],[Q7 ]])) = TRUE, 1, 0) + IF(ISNUMBER(SEARCH("Fireplaces", Table_EH_Post_Survey_May_22__2023_11_005[[#This Row],[Q7 ]])) = TRUE, 1, 0) + IF(ISNUMBER(SEARCH("Dirt Roads",Table_EH_Post_Survey_May_22__2023_11_005[[#This Row],[Q7 ]])) = TRUE, 1, 0) - IF(ISNUMBER(SEARCH("Electric Vehicles",Table_EH_Post_Survey_May_22__2023_11_005[[#This Row],[Q7 ]])) = TRUE, 1, 0) - IF(ISNUMBER(SEARCH("Pollen", Table_EH_Post_Survey_May_22__2023_11_005[[#This Row],[Q7 ]])) = TRUE, 1, 0)</f>
        <v>2</v>
      </c>
      <c r="AK31">
        <v>4</v>
      </c>
      <c r="AL31">
        <v>4</v>
      </c>
      <c r="AM31">
        <v>4</v>
      </c>
      <c r="AN31">
        <v>3</v>
      </c>
      <c r="AO31">
        <v>3</v>
      </c>
      <c r="AP31">
        <v>4</v>
      </c>
      <c r="AQ31">
        <v>9</v>
      </c>
      <c r="AR31" t="s">
        <v>111</v>
      </c>
      <c r="AS31" t="s">
        <v>1378</v>
      </c>
    </row>
    <row r="32" spans="1:45" x14ac:dyDescent="0.25">
      <c r="A32" t="s">
        <v>1238</v>
      </c>
      <c r="B32" t="s">
        <v>1239</v>
      </c>
      <c r="C32" t="s">
        <v>42</v>
      </c>
      <c r="D32" t="s">
        <v>1240</v>
      </c>
      <c r="E32" t="s">
        <v>112</v>
      </c>
      <c r="F32" s="3">
        <v>72</v>
      </c>
      <c r="G32" s="3">
        <f>_xlfn.NUMBERVALUE(Table_EH_Post_Survey_May_22__2023_11_005[[#This Row],[Duration (in seconds) - Duration (in seconds)]])</f>
        <v>72</v>
      </c>
      <c r="H32" t="s">
        <v>114</v>
      </c>
      <c r="I32" t="s">
        <v>1239</v>
      </c>
      <c r="J32" t="s">
        <v>1241</v>
      </c>
      <c r="K32" t="s">
        <v>111</v>
      </c>
      <c r="L32" t="s">
        <v>111</v>
      </c>
      <c r="M32" t="s">
        <v>111</v>
      </c>
      <c r="N32" t="s">
        <v>111</v>
      </c>
      <c r="O32" t="s">
        <v>656</v>
      </c>
      <c r="P32" t="s">
        <v>657</v>
      </c>
      <c r="Q32" t="s">
        <v>127</v>
      </c>
      <c r="R32" t="s">
        <v>117</v>
      </c>
      <c r="S32" s="17" t="s">
        <v>664</v>
      </c>
      <c r="T32" s="17" t="str">
        <f>VLOOKUP(Table_EH_Post_Survey_May_22__2023_11_005[[#This Row],[Q1 - NetID Post Survey]], Table_EH_Pre_Survey_May_20__2023_08_224[Q1 - NetID Post-Survey], 1, FALSE)</f>
        <v>Sp2098</v>
      </c>
      <c r="U32">
        <v>5</v>
      </c>
      <c r="V32">
        <v>4</v>
      </c>
      <c r="W32">
        <v>5</v>
      </c>
      <c r="X32">
        <v>5</v>
      </c>
      <c r="Y32">
        <v>4</v>
      </c>
      <c r="Z32">
        <v>4</v>
      </c>
      <c r="AA32">
        <v>5</v>
      </c>
      <c r="AB32">
        <v>3</v>
      </c>
      <c r="AC32">
        <v>3</v>
      </c>
      <c r="AD32">
        <f>IF(Table_EH_Post_Survey_May_22__2023_11_005[[#This Row],[Q4_1]] = 3, 1, IF(Table_EH_Post_Survey_May_22__2023_11_005[[#This Row],[Q4_1]] = 2.5, 0.5, IF(Table_EH_Post_Survey_May_22__2023_11_005[[#This Row],[Q4_1]] = 3.5, 0.5, 0)))</f>
        <v>1</v>
      </c>
      <c r="AE32" t="s">
        <v>140</v>
      </c>
      <c r="AF32">
        <f>IF(Table_EH_Post_Survey_May_22__2023_11_005[[#This Row],[Q5 ]]="PM &lt; 2.5 μm", 1, 0)</f>
        <v>1</v>
      </c>
      <c r="AG32" t="s">
        <v>175</v>
      </c>
      <c r="AH32">
        <f>IF(Table_EH_Post_Survey_May_22__2023_11_005[[#This Row],[Q6]]="Particles of this size are generally absorbed in the respiratory tract and safely excreted in mucus.", 1, 0)</f>
        <v>1</v>
      </c>
      <c r="AI32" t="s">
        <v>142</v>
      </c>
      <c r="AJ32">
        <f>IF(ISNUMBER(SEARCH("Trucks", Table_EH_Post_Survey_May_22__2023_11_005[[#This Row],[Q7 ]])) = TRUE, 1, 0) + IF(ISNUMBER(SEARCH("Cars", Table_EH_Post_Survey_May_22__2023_11_005[[#This Row],[Q7 ]])) = TRUE, 1, 0) + IF(ISNUMBER(SEARCH("Fireplaces", Table_EH_Post_Survey_May_22__2023_11_005[[#This Row],[Q7 ]])) = TRUE, 1, 0) + IF(ISNUMBER(SEARCH("Dirt Roads",Table_EH_Post_Survey_May_22__2023_11_005[[#This Row],[Q7 ]])) = TRUE, 1, 0) - IF(ISNUMBER(SEARCH("Electric Vehicles",Table_EH_Post_Survey_May_22__2023_11_005[[#This Row],[Q7 ]])) = TRUE, 1, 0) - IF(ISNUMBER(SEARCH("Pollen", Table_EH_Post_Survey_May_22__2023_11_005[[#This Row],[Q7 ]])) = TRUE, 1, 0)</f>
        <v>2</v>
      </c>
      <c r="AK32">
        <v>4</v>
      </c>
      <c r="AL32">
        <v>4</v>
      </c>
      <c r="AM32">
        <v>4</v>
      </c>
      <c r="AN32">
        <v>4</v>
      </c>
      <c r="AO32">
        <v>5</v>
      </c>
      <c r="AP32">
        <v>5</v>
      </c>
      <c r="AQ32">
        <v>10</v>
      </c>
      <c r="AR32" t="s">
        <v>111</v>
      </c>
      <c r="AS32" t="s">
        <v>1378</v>
      </c>
    </row>
    <row r="33" spans="1:45" x14ac:dyDescent="0.25">
      <c r="A33" t="s">
        <v>1205</v>
      </c>
      <c r="B33" t="s">
        <v>1206</v>
      </c>
      <c r="C33" t="s">
        <v>42</v>
      </c>
      <c r="D33" t="s">
        <v>1207</v>
      </c>
      <c r="E33" t="s">
        <v>112</v>
      </c>
      <c r="F33" s="3">
        <v>203</v>
      </c>
      <c r="G33" s="3">
        <f>_xlfn.NUMBERVALUE(Table_EH_Post_Survey_May_22__2023_11_005[[#This Row],[Duration (in seconds) - Duration (in seconds)]])</f>
        <v>203</v>
      </c>
      <c r="H33" t="s">
        <v>114</v>
      </c>
      <c r="I33" t="s">
        <v>1208</v>
      </c>
      <c r="J33" t="s">
        <v>1209</v>
      </c>
      <c r="K33" t="s">
        <v>111</v>
      </c>
      <c r="L33" t="s">
        <v>111</v>
      </c>
      <c r="M33" t="s">
        <v>111</v>
      </c>
      <c r="N33" t="s">
        <v>111</v>
      </c>
      <c r="O33" t="s">
        <v>351</v>
      </c>
      <c r="P33" t="s">
        <v>352</v>
      </c>
      <c r="Q33" t="s">
        <v>127</v>
      </c>
      <c r="R33" t="s">
        <v>117</v>
      </c>
      <c r="S33" s="17" t="s">
        <v>538</v>
      </c>
      <c r="T33" s="17" t="str">
        <f>VLOOKUP(Table_EH_Post_Survey_May_22__2023_11_005[[#This Row],[Q1 - NetID Post Survey]], Table_EH_Pre_Survey_May_20__2023_08_224[Q1 - NetID Post-Survey], 1, FALSE)</f>
        <v>Sph108</v>
      </c>
      <c r="U33">
        <v>4</v>
      </c>
      <c r="V33">
        <v>2</v>
      </c>
      <c r="W33">
        <v>4</v>
      </c>
      <c r="X33">
        <v>5</v>
      </c>
      <c r="Y33">
        <v>3</v>
      </c>
      <c r="Z33">
        <v>3</v>
      </c>
      <c r="AA33">
        <v>5</v>
      </c>
      <c r="AB33">
        <v>2</v>
      </c>
      <c r="AC33">
        <v>3.5</v>
      </c>
      <c r="AD33">
        <f>IF(Table_EH_Post_Survey_May_22__2023_11_005[[#This Row],[Q4_1]] = 3, 1, IF(Table_EH_Post_Survey_May_22__2023_11_005[[#This Row],[Q4_1]] = 2.5, 0.5, IF(Table_EH_Post_Survey_May_22__2023_11_005[[#This Row],[Q4_1]] = 3.5, 0.5, 0)))</f>
        <v>0.5</v>
      </c>
      <c r="AE33" t="s">
        <v>154</v>
      </c>
      <c r="AF33">
        <f>IF(Table_EH_Post_Survey_May_22__2023_11_005[[#This Row],[Q5 ]]="PM &lt; 2.5 μm", 1, 0)</f>
        <v>0</v>
      </c>
      <c r="AG33" t="s">
        <v>141</v>
      </c>
      <c r="AH33">
        <f>IF(Table_EH_Post_Survey_May_22__2023_11_005[[#This Row],[Q6]]="Particles of this size are generally absorbed in the respiratory tract and safely excreted in mucus.", 1, 0)</f>
        <v>0</v>
      </c>
      <c r="AI33" t="s">
        <v>156</v>
      </c>
      <c r="AJ33">
        <f>IF(ISNUMBER(SEARCH("Trucks", Table_EH_Post_Survey_May_22__2023_11_005[[#This Row],[Q7 ]])) = TRUE, 1, 0) + IF(ISNUMBER(SEARCH("Cars", Table_EH_Post_Survey_May_22__2023_11_005[[#This Row],[Q7 ]])) = TRUE, 1, 0) + IF(ISNUMBER(SEARCH("Fireplaces", Table_EH_Post_Survey_May_22__2023_11_005[[#This Row],[Q7 ]])) = TRUE, 1, 0) + IF(ISNUMBER(SEARCH("Dirt Roads",Table_EH_Post_Survey_May_22__2023_11_005[[#This Row],[Q7 ]])) = TRUE, 1, 0) - IF(ISNUMBER(SEARCH("Electric Vehicles",Table_EH_Post_Survey_May_22__2023_11_005[[#This Row],[Q7 ]])) = TRUE, 1, 0) - IF(ISNUMBER(SEARCH("Pollen", Table_EH_Post_Survey_May_22__2023_11_005[[#This Row],[Q7 ]])) = TRUE, 1, 0)</f>
        <v>4</v>
      </c>
      <c r="AK33">
        <v>3</v>
      </c>
      <c r="AL33">
        <v>1</v>
      </c>
      <c r="AM33">
        <v>2</v>
      </c>
      <c r="AN33">
        <v>2</v>
      </c>
      <c r="AO33">
        <v>1</v>
      </c>
      <c r="AP33">
        <v>4</v>
      </c>
      <c r="AQ33">
        <v>8</v>
      </c>
      <c r="AR33" t="s">
        <v>1210</v>
      </c>
      <c r="AS33" t="s">
        <v>1378</v>
      </c>
    </row>
    <row r="34" spans="1:45" x14ac:dyDescent="0.25">
      <c r="A34" t="s">
        <v>1189</v>
      </c>
      <c r="B34" t="s">
        <v>1190</v>
      </c>
      <c r="C34" t="s">
        <v>42</v>
      </c>
      <c r="D34" t="s">
        <v>837</v>
      </c>
      <c r="E34" t="s">
        <v>112</v>
      </c>
      <c r="F34" s="3">
        <v>108</v>
      </c>
      <c r="G34" s="3">
        <f>_xlfn.NUMBERVALUE(Table_EH_Post_Survey_May_22__2023_11_005[[#This Row],[Duration (in seconds) - Duration (in seconds)]])</f>
        <v>108</v>
      </c>
      <c r="H34" t="s">
        <v>114</v>
      </c>
      <c r="I34" t="s">
        <v>1191</v>
      </c>
      <c r="J34" t="s">
        <v>1192</v>
      </c>
      <c r="K34" t="s">
        <v>111</v>
      </c>
      <c r="L34" t="s">
        <v>111</v>
      </c>
      <c r="M34" t="s">
        <v>111</v>
      </c>
      <c r="N34" t="s">
        <v>111</v>
      </c>
      <c r="O34" t="s">
        <v>1168</v>
      </c>
      <c r="P34" t="s">
        <v>1169</v>
      </c>
      <c r="Q34" t="s">
        <v>127</v>
      </c>
      <c r="R34" t="s">
        <v>117</v>
      </c>
      <c r="S34" s="17" t="s">
        <v>583</v>
      </c>
      <c r="T34" s="17" t="str">
        <f>VLOOKUP(Table_EH_Post_Survey_May_22__2023_11_005[[#This Row],[Q1 - NetID Post Survey]], Table_EH_Pre_Survey_May_20__2023_08_224[Q1 - NetID Post-Survey], 1, FALSE)</f>
        <v>tw592</v>
      </c>
      <c r="U34">
        <v>4</v>
      </c>
      <c r="V34">
        <v>3</v>
      </c>
      <c r="W34">
        <v>3</v>
      </c>
      <c r="X34">
        <v>5</v>
      </c>
      <c r="Y34">
        <v>4</v>
      </c>
      <c r="Z34">
        <v>4</v>
      </c>
      <c r="AA34">
        <v>5</v>
      </c>
      <c r="AB34">
        <v>3</v>
      </c>
      <c r="AC34">
        <v>4</v>
      </c>
      <c r="AD34">
        <f>IF(Table_EH_Post_Survey_May_22__2023_11_005[[#This Row],[Q4_1]] = 3, 1, IF(Table_EH_Post_Survey_May_22__2023_11_005[[#This Row],[Q4_1]] = 2.5, 0.5, IF(Table_EH_Post_Survey_May_22__2023_11_005[[#This Row],[Q4_1]] = 3.5, 0.5, 0)))</f>
        <v>0</v>
      </c>
      <c r="AE34" t="s">
        <v>140</v>
      </c>
      <c r="AF34">
        <f>IF(Table_EH_Post_Survey_May_22__2023_11_005[[#This Row],[Q5 ]]="PM &lt; 2.5 μm", 1, 0)</f>
        <v>1</v>
      </c>
      <c r="AG34" t="s">
        <v>141</v>
      </c>
      <c r="AH34">
        <f>IF(Table_EH_Post_Survey_May_22__2023_11_005[[#This Row],[Q6]]="Particles of this size are generally absorbed in the respiratory tract and safely excreted in mucus.", 1, 0)</f>
        <v>0</v>
      </c>
      <c r="AI34" t="s">
        <v>186</v>
      </c>
      <c r="AJ34">
        <f>IF(ISNUMBER(SEARCH("Trucks", Table_EH_Post_Survey_May_22__2023_11_005[[#This Row],[Q7 ]])) = TRUE, 1, 0) + IF(ISNUMBER(SEARCH("Cars", Table_EH_Post_Survey_May_22__2023_11_005[[#This Row],[Q7 ]])) = TRUE, 1, 0) + IF(ISNUMBER(SEARCH("Fireplaces", Table_EH_Post_Survey_May_22__2023_11_005[[#This Row],[Q7 ]])) = TRUE, 1, 0) + IF(ISNUMBER(SEARCH("Dirt Roads",Table_EH_Post_Survey_May_22__2023_11_005[[#This Row],[Q7 ]])) = TRUE, 1, 0) - IF(ISNUMBER(SEARCH("Electric Vehicles",Table_EH_Post_Survey_May_22__2023_11_005[[#This Row],[Q7 ]])) = TRUE, 1, 0) - IF(ISNUMBER(SEARCH("Pollen", Table_EH_Post_Survey_May_22__2023_11_005[[#This Row],[Q7 ]])) = TRUE, 1, 0)</f>
        <v>3</v>
      </c>
      <c r="AK34">
        <v>5</v>
      </c>
      <c r="AL34">
        <v>3</v>
      </c>
      <c r="AM34">
        <v>5</v>
      </c>
      <c r="AN34">
        <v>4</v>
      </c>
      <c r="AO34">
        <v>5</v>
      </c>
      <c r="AP34">
        <v>4</v>
      </c>
      <c r="AQ34">
        <v>8</v>
      </c>
      <c r="AR34" t="s">
        <v>111</v>
      </c>
      <c r="AS34" t="s">
        <v>1378</v>
      </c>
    </row>
    <row r="35" spans="1:45" x14ac:dyDescent="0.25">
      <c r="A35" t="s">
        <v>1157</v>
      </c>
      <c r="B35" t="s">
        <v>1158</v>
      </c>
      <c r="C35" t="s">
        <v>42</v>
      </c>
      <c r="D35" t="s">
        <v>389</v>
      </c>
      <c r="E35" t="s">
        <v>112</v>
      </c>
      <c r="F35" s="3">
        <v>146</v>
      </c>
      <c r="G35" s="3">
        <f>_xlfn.NUMBERVALUE(Table_EH_Post_Survey_May_22__2023_11_005[[#This Row],[Duration (in seconds) - Duration (in seconds)]])</f>
        <v>146</v>
      </c>
      <c r="H35" t="s">
        <v>114</v>
      </c>
      <c r="I35" t="s">
        <v>1158</v>
      </c>
      <c r="J35" t="s">
        <v>1159</v>
      </c>
      <c r="K35" t="s">
        <v>111</v>
      </c>
      <c r="L35" t="s">
        <v>111</v>
      </c>
      <c r="M35" t="s">
        <v>111</v>
      </c>
      <c r="N35" t="s">
        <v>111</v>
      </c>
      <c r="O35" t="s">
        <v>392</v>
      </c>
      <c r="P35" t="s">
        <v>393</v>
      </c>
      <c r="Q35" t="s">
        <v>127</v>
      </c>
      <c r="R35" t="s">
        <v>117</v>
      </c>
      <c r="S35" s="17" t="s">
        <v>569</v>
      </c>
      <c r="T35" s="17" t="str">
        <f>VLOOKUP(Table_EH_Post_Survey_May_22__2023_11_005[[#This Row],[Q1 - NetID Post Survey]], Table_EH_Pre_Survey_May_20__2023_08_224[Q1 - NetID Post-Survey], 1, FALSE)</f>
        <v>uz14</v>
      </c>
      <c r="U35">
        <v>5</v>
      </c>
      <c r="V35">
        <v>5</v>
      </c>
      <c r="W35">
        <v>5</v>
      </c>
      <c r="X35">
        <v>5</v>
      </c>
      <c r="Y35">
        <v>5</v>
      </c>
      <c r="Z35">
        <v>5</v>
      </c>
      <c r="AA35">
        <v>5</v>
      </c>
      <c r="AB35">
        <v>3</v>
      </c>
      <c r="AC35">
        <v>3</v>
      </c>
      <c r="AD35">
        <f>IF(Table_EH_Post_Survey_May_22__2023_11_005[[#This Row],[Q4_1]] = 3, 1, IF(Table_EH_Post_Survey_May_22__2023_11_005[[#This Row],[Q4_1]] = 2.5, 0.5, IF(Table_EH_Post_Survey_May_22__2023_11_005[[#This Row],[Q4_1]] = 3.5, 0.5, 0)))</f>
        <v>1</v>
      </c>
      <c r="AE35" t="s">
        <v>154</v>
      </c>
      <c r="AF35">
        <f>IF(Table_EH_Post_Survey_May_22__2023_11_005[[#This Row],[Q5 ]]="PM &lt; 2.5 μm", 1, 0)</f>
        <v>0</v>
      </c>
      <c r="AG35" t="s">
        <v>141</v>
      </c>
      <c r="AH35">
        <f>IF(Table_EH_Post_Survey_May_22__2023_11_005[[#This Row],[Q6]]="Particles of this size are generally absorbed in the respiratory tract and safely excreted in mucus.", 1, 0)</f>
        <v>0</v>
      </c>
      <c r="AI35" t="s">
        <v>206</v>
      </c>
      <c r="AJ35">
        <f>IF(ISNUMBER(SEARCH("Trucks", Table_EH_Post_Survey_May_22__2023_11_005[[#This Row],[Q7 ]])) = TRUE, 1, 0) + IF(ISNUMBER(SEARCH("Cars", Table_EH_Post_Survey_May_22__2023_11_005[[#This Row],[Q7 ]])) = TRUE, 1, 0) + IF(ISNUMBER(SEARCH("Fireplaces", Table_EH_Post_Survey_May_22__2023_11_005[[#This Row],[Q7 ]])) = TRUE, 1, 0) + IF(ISNUMBER(SEARCH("Dirt Roads",Table_EH_Post_Survey_May_22__2023_11_005[[#This Row],[Q7 ]])) = TRUE, 1, 0) - IF(ISNUMBER(SEARCH("Electric Vehicles",Table_EH_Post_Survey_May_22__2023_11_005[[#This Row],[Q7 ]])) = TRUE, 1, 0) - IF(ISNUMBER(SEARCH("Pollen", Table_EH_Post_Survey_May_22__2023_11_005[[#This Row],[Q7 ]])) = TRUE, 1, 0)</f>
        <v>2</v>
      </c>
      <c r="AK35">
        <v>5</v>
      </c>
      <c r="AL35">
        <v>3</v>
      </c>
      <c r="AM35">
        <v>4</v>
      </c>
      <c r="AN35">
        <v>4</v>
      </c>
      <c r="AO35">
        <v>4</v>
      </c>
      <c r="AP35">
        <v>5</v>
      </c>
      <c r="AQ35">
        <v>9</v>
      </c>
      <c r="AR35" t="s">
        <v>111</v>
      </c>
      <c r="AS35" t="s">
        <v>1378</v>
      </c>
    </row>
    <row r="36" spans="1:45" x14ac:dyDescent="0.25">
      <c r="A36" t="s">
        <v>1127</v>
      </c>
      <c r="B36" t="s">
        <v>1128</v>
      </c>
      <c r="C36" t="s">
        <v>42</v>
      </c>
      <c r="D36" t="s">
        <v>517</v>
      </c>
      <c r="E36" t="s">
        <v>112</v>
      </c>
      <c r="F36" s="3">
        <v>81</v>
      </c>
      <c r="G36" s="3">
        <f>_xlfn.NUMBERVALUE(Table_EH_Post_Survey_May_22__2023_11_005[[#This Row],[Duration (in seconds) - Duration (in seconds)]])</f>
        <v>81</v>
      </c>
      <c r="H36" t="s">
        <v>114</v>
      </c>
      <c r="I36" t="s">
        <v>1129</v>
      </c>
      <c r="J36" t="s">
        <v>1130</v>
      </c>
      <c r="K36" t="s">
        <v>111</v>
      </c>
      <c r="L36" t="s">
        <v>111</v>
      </c>
      <c r="M36" t="s">
        <v>111</v>
      </c>
      <c r="N36" t="s">
        <v>111</v>
      </c>
      <c r="O36" t="s">
        <v>351</v>
      </c>
      <c r="P36" t="s">
        <v>352</v>
      </c>
      <c r="Q36" t="s">
        <v>127</v>
      </c>
      <c r="R36" t="s">
        <v>117</v>
      </c>
      <c r="S36" s="17" t="s">
        <v>1131</v>
      </c>
      <c r="T36" s="17" t="str">
        <f>VLOOKUP(Table_EH_Post_Survey_May_22__2023_11_005[[#This Row],[Q1 - NetID Post Survey]], Table_EH_Pre_Survey_May_20__2023_08_224[Q1 - NetID Post-Survey], 1, FALSE)</f>
        <v>Yh645</v>
      </c>
      <c r="U36">
        <v>5</v>
      </c>
      <c r="V36">
        <v>5</v>
      </c>
      <c r="W36">
        <v>5</v>
      </c>
      <c r="X36">
        <v>5</v>
      </c>
      <c r="Y36">
        <v>5</v>
      </c>
      <c r="Z36">
        <v>5</v>
      </c>
      <c r="AA36">
        <v>5</v>
      </c>
      <c r="AB36">
        <v>5</v>
      </c>
      <c r="AC36">
        <v>2.5</v>
      </c>
      <c r="AD36">
        <f>IF(Table_EH_Post_Survey_May_22__2023_11_005[[#This Row],[Q4_1]] = 3, 1, IF(Table_EH_Post_Survey_May_22__2023_11_005[[#This Row],[Q4_1]] = 2.5, 0.5, IF(Table_EH_Post_Survey_May_22__2023_11_005[[#This Row],[Q4_1]] = 3.5, 0.5, 0)))</f>
        <v>0.5</v>
      </c>
      <c r="AE36" t="s">
        <v>154</v>
      </c>
      <c r="AF36">
        <f>IF(Table_EH_Post_Survey_May_22__2023_11_005[[#This Row],[Q5 ]]="PM &lt; 2.5 μm", 1, 0)</f>
        <v>0</v>
      </c>
      <c r="AG36" t="s">
        <v>175</v>
      </c>
      <c r="AH36">
        <f>IF(Table_EH_Post_Survey_May_22__2023_11_005[[#This Row],[Q6]]="Particles of this size are generally absorbed in the respiratory tract and safely excreted in mucus.", 1, 0)</f>
        <v>1</v>
      </c>
      <c r="AI36" t="s">
        <v>206</v>
      </c>
      <c r="AJ36">
        <f>IF(ISNUMBER(SEARCH("Trucks", Table_EH_Post_Survey_May_22__2023_11_005[[#This Row],[Q7 ]])) = TRUE, 1, 0) + IF(ISNUMBER(SEARCH("Cars", Table_EH_Post_Survey_May_22__2023_11_005[[#This Row],[Q7 ]])) = TRUE, 1, 0) + IF(ISNUMBER(SEARCH("Fireplaces", Table_EH_Post_Survey_May_22__2023_11_005[[#This Row],[Q7 ]])) = TRUE, 1, 0) + IF(ISNUMBER(SEARCH("Dirt Roads",Table_EH_Post_Survey_May_22__2023_11_005[[#This Row],[Q7 ]])) = TRUE, 1, 0) - IF(ISNUMBER(SEARCH("Electric Vehicles",Table_EH_Post_Survey_May_22__2023_11_005[[#This Row],[Q7 ]])) = TRUE, 1, 0) - IF(ISNUMBER(SEARCH("Pollen", Table_EH_Post_Survey_May_22__2023_11_005[[#This Row],[Q7 ]])) = TRUE, 1, 0)</f>
        <v>2</v>
      </c>
      <c r="AK36">
        <v>5</v>
      </c>
      <c r="AL36">
        <v>5</v>
      </c>
      <c r="AM36">
        <v>5</v>
      </c>
      <c r="AN36">
        <v>5</v>
      </c>
      <c r="AO36">
        <v>5</v>
      </c>
      <c r="AP36">
        <v>5</v>
      </c>
      <c r="AQ36">
        <v>10</v>
      </c>
      <c r="AR36" t="s">
        <v>111</v>
      </c>
      <c r="AS36" t="s">
        <v>1378</v>
      </c>
    </row>
    <row r="37" spans="1:45" x14ac:dyDescent="0.25">
      <c r="A37" t="s">
        <v>996</v>
      </c>
      <c r="B37" t="s">
        <v>1051</v>
      </c>
      <c r="C37" t="s">
        <v>42</v>
      </c>
      <c r="D37" t="s">
        <v>389</v>
      </c>
      <c r="E37" t="s">
        <v>112</v>
      </c>
      <c r="F37" s="3">
        <v>658</v>
      </c>
      <c r="G37" s="3">
        <f>_xlfn.NUMBERVALUE(Table_EH_Post_Survey_May_22__2023_11_005[[#This Row],[Duration (in seconds) - Duration (in seconds)]])</f>
        <v>658</v>
      </c>
      <c r="H37" t="s">
        <v>114</v>
      </c>
      <c r="I37" t="s">
        <v>1052</v>
      </c>
      <c r="J37" t="s">
        <v>1053</v>
      </c>
      <c r="K37" t="s">
        <v>111</v>
      </c>
      <c r="L37" t="s">
        <v>111</v>
      </c>
      <c r="M37" t="s">
        <v>111</v>
      </c>
      <c r="N37" t="s">
        <v>111</v>
      </c>
      <c r="O37" t="s">
        <v>392</v>
      </c>
      <c r="P37" t="s">
        <v>393</v>
      </c>
      <c r="Q37" t="s">
        <v>487</v>
      </c>
      <c r="R37" t="s">
        <v>117</v>
      </c>
      <c r="S37" s="17" t="s">
        <v>461</v>
      </c>
      <c r="T37" s="17" t="str">
        <f>VLOOKUP(Table_EH_Post_Survey_May_22__2023_11_005[[#This Row],[Q1 - NetID Post Survey]], Table_EH_Pre_Survey_May_20__2023_08_224[Q1 - NetID Post-Survey], 1, FALSE)</f>
        <v>Ym484</v>
      </c>
      <c r="U37">
        <v>5</v>
      </c>
      <c r="V37">
        <v>5</v>
      </c>
      <c r="W37">
        <v>5</v>
      </c>
      <c r="X37">
        <v>5</v>
      </c>
      <c r="Y37">
        <v>5</v>
      </c>
      <c r="Z37">
        <v>5</v>
      </c>
      <c r="AA37">
        <v>5</v>
      </c>
      <c r="AB37">
        <v>5</v>
      </c>
      <c r="AC37">
        <v>3</v>
      </c>
      <c r="AD37">
        <f>IF(Table_EH_Post_Survey_May_22__2023_11_005[[#This Row],[Q4_1]] = 3, 1, IF(Table_EH_Post_Survey_May_22__2023_11_005[[#This Row],[Q4_1]] = 2.5, 0.5, IF(Table_EH_Post_Survey_May_22__2023_11_005[[#This Row],[Q4_1]] = 3.5, 0.5, 0)))</f>
        <v>1</v>
      </c>
      <c r="AE37" t="s">
        <v>154</v>
      </c>
      <c r="AF37">
        <f>IF(Table_EH_Post_Survey_May_22__2023_11_005[[#This Row],[Q5 ]]="PM &lt; 2.5 μm", 1, 0)</f>
        <v>0</v>
      </c>
      <c r="AG37" t="s">
        <v>175</v>
      </c>
      <c r="AH37">
        <f>IF(Table_EH_Post_Survey_May_22__2023_11_005[[#This Row],[Q6]]="Particles of this size are generally absorbed in the respiratory tract and safely excreted in mucus.", 1, 0)</f>
        <v>1</v>
      </c>
      <c r="AI37" t="s">
        <v>142</v>
      </c>
      <c r="AJ37">
        <f>IF(ISNUMBER(SEARCH("Trucks", Table_EH_Post_Survey_May_22__2023_11_005[[#This Row],[Q7 ]])) = TRUE, 1, 0) + IF(ISNUMBER(SEARCH("Cars", Table_EH_Post_Survey_May_22__2023_11_005[[#This Row],[Q7 ]])) = TRUE, 1, 0) + IF(ISNUMBER(SEARCH("Fireplaces", Table_EH_Post_Survey_May_22__2023_11_005[[#This Row],[Q7 ]])) = TRUE, 1, 0) + IF(ISNUMBER(SEARCH("Dirt Roads",Table_EH_Post_Survey_May_22__2023_11_005[[#This Row],[Q7 ]])) = TRUE, 1, 0) - IF(ISNUMBER(SEARCH("Electric Vehicles",Table_EH_Post_Survey_May_22__2023_11_005[[#This Row],[Q7 ]])) = TRUE, 1, 0) - IF(ISNUMBER(SEARCH("Pollen", Table_EH_Post_Survey_May_22__2023_11_005[[#This Row],[Q7 ]])) = TRUE, 1, 0)</f>
        <v>2</v>
      </c>
      <c r="AK37">
        <v>2</v>
      </c>
      <c r="AL37">
        <v>1</v>
      </c>
      <c r="AM37">
        <v>3</v>
      </c>
      <c r="AN37">
        <v>2</v>
      </c>
      <c r="AO37">
        <v>3</v>
      </c>
      <c r="AP37">
        <v>2</v>
      </c>
      <c r="AQ37">
        <v>10</v>
      </c>
      <c r="AR37" t="s">
        <v>1054</v>
      </c>
      <c r="AS37" t="s">
        <v>1378</v>
      </c>
    </row>
    <row r="38" spans="1:45" hidden="1" x14ac:dyDescent="0.25">
      <c r="A38" t="s">
        <v>1234</v>
      </c>
      <c r="B38" t="s">
        <v>1235</v>
      </c>
      <c r="C38" t="s">
        <v>42</v>
      </c>
      <c r="D38" t="s">
        <v>389</v>
      </c>
      <c r="E38" t="s">
        <v>112</v>
      </c>
      <c r="F38" s="3">
        <v>581</v>
      </c>
      <c r="G38" s="3">
        <f>_xlfn.NUMBERVALUE(Table_EH_Post_Survey_May_22__2023_11_005[[#This Row],[Duration (in seconds) - Duration (in seconds)]])</f>
        <v>581</v>
      </c>
      <c r="H38" t="s">
        <v>114</v>
      </c>
      <c r="I38" t="s">
        <v>1235</v>
      </c>
      <c r="J38" t="s">
        <v>1236</v>
      </c>
      <c r="K38" t="s">
        <v>111</v>
      </c>
      <c r="L38" t="s">
        <v>111</v>
      </c>
      <c r="M38" t="s">
        <v>111</v>
      </c>
      <c r="N38" t="s">
        <v>111</v>
      </c>
      <c r="O38" t="s">
        <v>392</v>
      </c>
      <c r="P38" t="s">
        <v>393</v>
      </c>
      <c r="Q38" t="s">
        <v>127</v>
      </c>
      <c r="R38" t="s">
        <v>117</v>
      </c>
      <c r="S38" t="s">
        <v>1237</v>
      </c>
      <c r="T38" t="e">
        <f>VLOOKUP(Table_EH_Post_Survey_May_22__2023_11_005[[#This Row],[Q1 - NetID Post Survey]], Table_EH_Pre_Survey_May_20__2023_08_224[Q1 - NetID Post-Survey], 1, FALSE)</f>
        <v>#N/A</v>
      </c>
      <c r="U38">
        <v>5</v>
      </c>
      <c r="V38">
        <v>3</v>
      </c>
      <c r="W38">
        <v>5</v>
      </c>
      <c r="X38">
        <v>5</v>
      </c>
      <c r="Y38">
        <v>3</v>
      </c>
      <c r="Z38">
        <v>4</v>
      </c>
      <c r="AA38">
        <v>4</v>
      </c>
      <c r="AB38">
        <v>3</v>
      </c>
      <c r="AC38">
        <v>3</v>
      </c>
      <c r="AD38">
        <f>IF(Table_EH_Post_Survey_May_22__2023_11_005[[#This Row],[Q4_1]] = 3, 1, IF(Table_EH_Post_Survey_May_22__2023_11_005[[#This Row],[Q4_1]] = 2.5, 0.5, IF(Table_EH_Post_Survey_May_22__2023_11_005[[#This Row],[Q4_1]] = 3.5, 0.5, 0)))</f>
        <v>1</v>
      </c>
      <c r="AE38" t="s">
        <v>140</v>
      </c>
      <c r="AF38">
        <f>IF(Table_EH_Post_Survey_May_22__2023_11_005[[#This Row],[Q5 ]]="PM &lt; 2.5 μm", 1, 0)</f>
        <v>1</v>
      </c>
      <c r="AG38" t="s">
        <v>155</v>
      </c>
      <c r="AH38">
        <f>IF(Table_EH_Post_Survey_May_22__2023_11_005[[#This Row],[Q6]]="Particles of this size are generally absorbed in the respiratory tract and safely excreted in mucus.", 1, 0)</f>
        <v>0</v>
      </c>
      <c r="AI38" t="s">
        <v>610</v>
      </c>
      <c r="AJ38">
        <f>IF(ISNUMBER(SEARCH("Trucks", Table_EH_Post_Survey_May_22__2023_11_005[[#This Row],[Q7 ]])) = TRUE, 1, 0) + IF(ISNUMBER(SEARCH("Cars", Table_EH_Post_Survey_May_22__2023_11_005[[#This Row],[Q7 ]])) = TRUE, 1, 0) + IF(ISNUMBER(SEARCH("Fireplaces", Table_EH_Post_Survey_May_22__2023_11_005[[#This Row],[Q7 ]])) = TRUE, 1, 0) + IF(ISNUMBER(SEARCH("Dirt Roads",Table_EH_Post_Survey_May_22__2023_11_005[[#This Row],[Q7 ]])) = TRUE, 1, 0) - IF(ISNUMBER(SEARCH("Electric Vehicles",Table_EH_Post_Survey_May_22__2023_11_005[[#This Row],[Q7 ]])) = TRUE, 1, 0) - IF(ISNUMBER(SEARCH("Pollen", Table_EH_Post_Survey_May_22__2023_11_005[[#This Row],[Q7 ]])) = TRUE, 1, 0)</f>
        <v>2</v>
      </c>
      <c r="AK38">
        <v>3</v>
      </c>
      <c r="AL38">
        <v>5</v>
      </c>
      <c r="AM38">
        <v>3</v>
      </c>
      <c r="AN38">
        <v>4</v>
      </c>
      <c r="AO38">
        <v>4</v>
      </c>
      <c r="AP38">
        <v>3</v>
      </c>
      <c r="AQ38">
        <v>10</v>
      </c>
      <c r="AR38" t="s">
        <v>111</v>
      </c>
    </row>
    <row r="39" spans="1:45" hidden="1" x14ac:dyDescent="0.25">
      <c r="A39" t="s">
        <v>1023</v>
      </c>
      <c r="B39" t="s">
        <v>1024</v>
      </c>
      <c r="C39" t="s">
        <v>42</v>
      </c>
      <c r="D39" t="s">
        <v>1025</v>
      </c>
      <c r="E39" t="s">
        <v>112</v>
      </c>
      <c r="F39" s="3">
        <v>241</v>
      </c>
      <c r="G39" s="3">
        <f>_xlfn.NUMBERVALUE(Table_EH_Post_Survey_May_22__2023_11_005[[#This Row],[Duration (in seconds) - Duration (in seconds)]])</f>
        <v>241</v>
      </c>
      <c r="H39" t="s">
        <v>114</v>
      </c>
      <c r="I39" t="s">
        <v>1026</v>
      </c>
      <c r="J39" t="s">
        <v>1027</v>
      </c>
      <c r="K39" t="s">
        <v>111</v>
      </c>
      <c r="L39" t="s">
        <v>111</v>
      </c>
      <c r="M39" t="s">
        <v>111</v>
      </c>
      <c r="N39" t="s">
        <v>111</v>
      </c>
      <c r="O39" t="s">
        <v>1028</v>
      </c>
      <c r="P39" t="s">
        <v>1029</v>
      </c>
      <c r="Q39" t="s">
        <v>487</v>
      </c>
      <c r="R39" t="s">
        <v>117</v>
      </c>
      <c r="S39" t="s">
        <v>1030</v>
      </c>
      <c r="T39" t="e">
        <f>VLOOKUP(Table_EH_Post_Survey_May_22__2023_11_005[[#This Row],[Q1 - NetID Post Survey]], Table_EH_Pre_Survey_May_20__2023_08_224[Q1 - NetID Post-Survey], 1, FALSE)</f>
        <v>#N/A</v>
      </c>
      <c r="U39">
        <v>4</v>
      </c>
      <c r="V39">
        <v>4</v>
      </c>
      <c r="W39">
        <v>2</v>
      </c>
      <c r="X39">
        <v>4</v>
      </c>
      <c r="Y39">
        <v>2</v>
      </c>
      <c r="Z39">
        <v>2</v>
      </c>
      <c r="AA39">
        <v>5</v>
      </c>
      <c r="AB39">
        <v>2</v>
      </c>
      <c r="AC39">
        <v>4</v>
      </c>
      <c r="AD39">
        <f>IF(Table_EH_Post_Survey_May_22__2023_11_005[[#This Row],[Q4_1]] = 3, 1, IF(Table_EH_Post_Survey_May_22__2023_11_005[[#This Row],[Q4_1]] = 2.5, 0.5, IF(Table_EH_Post_Survey_May_22__2023_11_005[[#This Row],[Q4_1]] = 3.5, 0.5, 0)))</f>
        <v>0</v>
      </c>
      <c r="AE39" t="s">
        <v>140</v>
      </c>
      <c r="AF39">
        <f>IF(Table_EH_Post_Survey_May_22__2023_11_005[[#This Row],[Q5 ]]="PM &lt; 2.5 μm", 1, 0)</f>
        <v>1</v>
      </c>
      <c r="AG39" t="s">
        <v>175</v>
      </c>
      <c r="AH39">
        <f>IF(Table_EH_Post_Survey_May_22__2023_11_005[[#This Row],[Q6]]="Particles of this size are generally absorbed in the respiratory tract and safely excreted in mucus.", 1, 0)</f>
        <v>1</v>
      </c>
      <c r="AI39" t="s">
        <v>156</v>
      </c>
      <c r="AJ39">
        <f>IF(ISNUMBER(SEARCH("Trucks", Table_EH_Post_Survey_May_22__2023_11_005[[#This Row],[Q7 ]])) = TRUE, 1, 0) + IF(ISNUMBER(SEARCH("Cars", Table_EH_Post_Survey_May_22__2023_11_005[[#This Row],[Q7 ]])) = TRUE, 1, 0) + IF(ISNUMBER(SEARCH("Fireplaces", Table_EH_Post_Survey_May_22__2023_11_005[[#This Row],[Q7 ]])) = TRUE, 1, 0) + IF(ISNUMBER(SEARCH("Dirt Roads",Table_EH_Post_Survey_May_22__2023_11_005[[#This Row],[Q7 ]])) = TRUE, 1, 0) - IF(ISNUMBER(SEARCH("Electric Vehicles",Table_EH_Post_Survey_May_22__2023_11_005[[#This Row],[Q7 ]])) = TRUE, 1, 0) - IF(ISNUMBER(SEARCH("Pollen", Table_EH_Post_Survey_May_22__2023_11_005[[#This Row],[Q7 ]])) = TRUE, 1, 0)</f>
        <v>4</v>
      </c>
      <c r="AK39">
        <v>3</v>
      </c>
      <c r="AL39">
        <v>4</v>
      </c>
      <c r="AM39">
        <v>4</v>
      </c>
      <c r="AN39">
        <v>3</v>
      </c>
      <c r="AO39">
        <v>5</v>
      </c>
      <c r="AP39">
        <v>5</v>
      </c>
      <c r="AQ39">
        <v>8</v>
      </c>
      <c r="AR39" t="s">
        <v>1031</v>
      </c>
    </row>
    <row r="40" spans="1:45" hidden="1" x14ac:dyDescent="0.25">
      <c r="A40" t="s">
        <v>963</v>
      </c>
      <c r="B40" t="s">
        <v>964</v>
      </c>
      <c r="C40" t="s">
        <v>42</v>
      </c>
      <c r="D40" t="s">
        <v>453</v>
      </c>
      <c r="E40" t="s">
        <v>112</v>
      </c>
      <c r="F40" s="3">
        <v>85</v>
      </c>
      <c r="G40" s="3">
        <f>_xlfn.NUMBERVALUE(Table_EH_Post_Survey_May_22__2023_11_005[[#This Row],[Duration (in seconds) - Duration (in seconds)]])</f>
        <v>85</v>
      </c>
      <c r="H40" t="s">
        <v>114</v>
      </c>
      <c r="I40" t="s">
        <v>964</v>
      </c>
      <c r="J40" t="s">
        <v>965</v>
      </c>
      <c r="K40" t="s">
        <v>111</v>
      </c>
      <c r="L40" t="s">
        <v>111</v>
      </c>
      <c r="M40" t="s">
        <v>111</v>
      </c>
      <c r="N40" t="s">
        <v>111</v>
      </c>
      <c r="O40" t="s">
        <v>115</v>
      </c>
      <c r="P40" t="s">
        <v>116</v>
      </c>
      <c r="Q40" t="s">
        <v>487</v>
      </c>
      <c r="R40" t="s">
        <v>117</v>
      </c>
      <c r="S40" t="s">
        <v>966</v>
      </c>
      <c r="T40" t="e">
        <f>VLOOKUP(Table_EH_Post_Survey_May_22__2023_11_005[[#This Row],[Q1 - NetID Post Survey]], Table_EH_Pre_Survey_May_20__2023_08_224[Q1 - NetID Post-Survey], 1, FALSE)</f>
        <v>#N/A</v>
      </c>
      <c r="U40">
        <v>5</v>
      </c>
      <c r="V40">
        <v>4</v>
      </c>
      <c r="W40">
        <v>1</v>
      </c>
      <c r="X40">
        <v>5</v>
      </c>
      <c r="Y40">
        <v>1</v>
      </c>
      <c r="Z40">
        <v>5</v>
      </c>
      <c r="AA40">
        <v>5</v>
      </c>
      <c r="AB40">
        <v>1</v>
      </c>
      <c r="AC40">
        <v>3</v>
      </c>
      <c r="AD40">
        <f>IF(Table_EH_Post_Survey_May_22__2023_11_005[[#This Row],[Q4_1]] = 3, 1, IF(Table_EH_Post_Survey_May_22__2023_11_005[[#This Row],[Q4_1]] = 2.5, 0.5, IF(Table_EH_Post_Survey_May_22__2023_11_005[[#This Row],[Q4_1]] = 3.5, 0.5, 0)))</f>
        <v>1</v>
      </c>
      <c r="AE40" t="s">
        <v>140</v>
      </c>
      <c r="AF40">
        <f>IF(Table_EH_Post_Survey_May_22__2023_11_005[[#This Row],[Q5 ]]="PM &lt; 2.5 μm", 1, 0)</f>
        <v>1</v>
      </c>
      <c r="AG40" t="s">
        <v>175</v>
      </c>
      <c r="AH40">
        <f>IF(Table_EH_Post_Survey_May_22__2023_11_005[[#This Row],[Q6]]="Particles of this size are generally absorbed in the respiratory tract and safely excreted in mucus.", 1, 0)</f>
        <v>1</v>
      </c>
      <c r="AI40" t="s">
        <v>186</v>
      </c>
      <c r="AJ40">
        <f>IF(ISNUMBER(SEARCH("Trucks", Table_EH_Post_Survey_May_22__2023_11_005[[#This Row],[Q7 ]])) = TRUE, 1, 0) + IF(ISNUMBER(SEARCH("Cars", Table_EH_Post_Survey_May_22__2023_11_005[[#This Row],[Q7 ]])) = TRUE, 1, 0) + IF(ISNUMBER(SEARCH("Fireplaces", Table_EH_Post_Survey_May_22__2023_11_005[[#This Row],[Q7 ]])) = TRUE, 1, 0) + IF(ISNUMBER(SEARCH("Dirt Roads",Table_EH_Post_Survey_May_22__2023_11_005[[#This Row],[Q7 ]])) = TRUE, 1, 0) - IF(ISNUMBER(SEARCH("Electric Vehicles",Table_EH_Post_Survey_May_22__2023_11_005[[#This Row],[Q7 ]])) = TRUE, 1, 0) - IF(ISNUMBER(SEARCH("Pollen", Table_EH_Post_Survey_May_22__2023_11_005[[#This Row],[Q7 ]])) = TRUE, 1, 0)</f>
        <v>3</v>
      </c>
      <c r="AK40">
        <v>4</v>
      </c>
      <c r="AL40">
        <v>2</v>
      </c>
      <c r="AM40">
        <v>2</v>
      </c>
      <c r="AN40">
        <v>1</v>
      </c>
      <c r="AO40">
        <v>4</v>
      </c>
      <c r="AP40">
        <v>5</v>
      </c>
      <c r="AQ40">
        <v>9</v>
      </c>
      <c r="AR40" t="s">
        <v>111</v>
      </c>
    </row>
    <row r="41" spans="1:45" hidden="1" x14ac:dyDescent="0.25">
      <c r="A41" t="s">
        <v>1179</v>
      </c>
      <c r="B41" t="s">
        <v>1180</v>
      </c>
      <c r="C41" t="s">
        <v>42</v>
      </c>
      <c r="D41" t="s">
        <v>389</v>
      </c>
      <c r="E41" t="s">
        <v>112</v>
      </c>
      <c r="F41" s="3">
        <v>96</v>
      </c>
      <c r="G41" s="3">
        <f>_xlfn.NUMBERVALUE(Table_EH_Post_Survey_May_22__2023_11_005[[#This Row],[Duration (in seconds) - Duration (in seconds)]])</f>
        <v>96</v>
      </c>
      <c r="H41" t="s">
        <v>114</v>
      </c>
      <c r="I41" t="s">
        <v>1181</v>
      </c>
      <c r="J41" t="s">
        <v>1182</v>
      </c>
      <c r="K41" t="s">
        <v>111</v>
      </c>
      <c r="L41" t="s">
        <v>111</v>
      </c>
      <c r="M41" t="s">
        <v>111</v>
      </c>
      <c r="N41" t="s">
        <v>111</v>
      </c>
      <c r="O41" t="s">
        <v>392</v>
      </c>
      <c r="P41" t="s">
        <v>393</v>
      </c>
      <c r="Q41" t="s">
        <v>127</v>
      </c>
      <c r="R41" t="s">
        <v>117</v>
      </c>
      <c r="S41" t="s">
        <v>1183</v>
      </c>
      <c r="T41" t="e">
        <f>VLOOKUP(Table_EH_Post_Survey_May_22__2023_11_005[[#This Row],[Q1 - NetID Post Survey]], Table_EH_Pre_Survey_May_20__2023_08_224[Q1 - NetID Post-Survey], 1, FALSE)</f>
        <v>#N/A</v>
      </c>
      <c r="U41">
        <v>5</v>
      </c>
      <c r="V41">
        <v>4</v>
      </c>
      <c r="W41">
        <v>4</v>
      </c>
      <c r="X41">
        <v>5</v>
      </c>
      <c r="Y41">
        <v>3</v>
      </c>
      <c r="Z41">
        <v>4</v>
      </c>
      <c r="AA41">
        <v>5</v>
      </c>
      <c r="AB41">
        <v>3</v>
      </c>
      <c r="AC41">
        <v>4</v>
      </c>
      <c r="AD41">
        <f>IF(Table_EH_Post_Survey_May_22__2023_11_005[[#This Row],[Q4_1]] = 3, 1, IF(Table_EH_Post_Survey_May_22__2023_11_005[[#This Row],[Q4_1]] = 2.5, 0.5, IF(Table_EH_Post_Survey_May_22__2023_11_005[[#This Row],[Q4_1]] = 3.5, 0.5, 0)))</f>
        <v>0</v>
      </c>
      <c r="AE41" t="s">
        <v>140</v>
      </c>
      <c r="AF41">
        <f>IF(Table_EH_Post_Survey_May_22__2023_11_005[[#This Row],[Q5 ]]="PM &lt; 2.5 μm", 1, 0)</f>
        <v>1</v>
      </c>
      <c r="AG41" t="s">
        <v>175</v>
      </c>
      <c r="AH41">
        <f>IF(Table_EH_Post_Survey_May_22__2023_11_005[[#This Row],[Q6]]="Particles of this size are generally absorbed in the respiratory tract and safely excreted in mucus.", 1, 0)</f>
        <v>1</v>
      </c>
      <c r="AI41" t="s">
        <v>167</v>
      </c>
      <c r="AJ41">
        <f>IF(ISNUMBER(SEARCH("Trucks", Table_EH_Post_Survey_May_22__2023_11_005[[#This Row],[Q7 ]])) = TRUE, 1, 0) + IF(ISNUMBER(SEARCH("Cars", Table_EH_Post_Survey_May_22__2023_11_005[[#This Row],[Q7 ]])) = TRUE, 1, 0) + IF(ISNUMBER(SEARCH("Fireplaces", Table_EH_Post_Survey_May_22__2023_11_005[[#This Row],[Q7 ]])) = TRUE, 1, 0) + IF(ISNUMBER(SEARCH("Dirt Roads",Table_EH_Post_Survey_May_22__2023_11_005[[#This Row],[Q7 ]])) = TRUE, 1, 0) - IF(ISNUMBER(SEARCH("Electric Vehicles",Table_EH_Post_Survey_May_22__2023_11_005[[#This Row],[Q7 ]])) = TRUE, 1, 0) - IF(ISNUMBER(SEARCH("Pollen", Table_EH_Post_Survey_May_22__2023_11_005[[#This Row],[Q7 ]])) = TRUE, 1, 0)</f>
        <v>3</v>
      </c>
      <c r="AK41">
        <v>4</v>
      </c>
      <c r="AL41">
        <v>3</v>
      </c>
      <c r="AM41">
        <v>4</v>
      </c>
      <c r="AN41">
        <v>1</v>
      </c>
      <c r="AO41">
        <v>4</v>
      </c>
      <c r="AP41">
        <v>4</v>
      </c>
      <c r="AQ41">
        <v>9</v>
      </c>
      <c r="AR41" t="s">
        <v>111</v>
      </c>
    </row>
    <row r="42" spans="1:45" hidden="1" x14ac:dyDescent="0.25">
      <c r="A42" t="s">
        <v>1101</v>
      </c>
      <c r="B42" t="s">
        <v>1102</v>
      </c>
      <c r="C42" t="s">
        <v>42</v>
      </c>
      <c r="D42" t="s">
        <v>843</v>
      </c>
      <c r="E42" t="s">
        <v>112</v>
      </c>
      <c r="F42" s="3">
        <v>90</v>
      </c>
      <c r="G42" s="3">
        <f>_xlfn.NUMBERVALUE(Table_EH_Post_Survey_May_22__2023_11_005[[#This Row],[Duration (in seconds) - Duration (in seconds)]])</f>
        <v>90</v>
      </c>
      <c r="H42" t="s">
        <v>114</v>
      </c>
      <c r="I42" t="s">
        <v>1102</v>
      </c>
      <c r="J42" t="s">
        <v>1103</v>
      </c>
      <c r="K42" t="s">
        <v>111</v>
      </c>
      <c r="L42" t="s">
        <v>111</v>
      </c>
      <c r="M42" t="s">
        <v>111</v>
      </c>
      <c r="N42" t="s">
        <v>111</v>
      </c>
      <c r="O42" t="s">
        <v>229</v>
      </c>
      <c r="P42" t="s">
        <v>230</v>
      </c>
      <c r="Q42" t="s">
        <v>127</v>
      </c>
      <c r="R42" t="s">
        <v>117</v>
      </c>
      <c r="S42" t="s">
        <v>1104</v>
      </c>
      <c r="T42" t="e">
        <f>VLOOKUP(Table_EH_Post_Survey_May_22__2023_11_005[[#This Row],[Q1 - NetID Post Survey]], Table_EH_Pre_Survey_May_20__2023_08_224[Q1 - NetID Post-Survey], 1, FALSE)</f>
        <v>#N/A</v>
      </c>
      <c r="U42">
        <v>5</v>
      </c>
      <c r="V42">
        <v>5</v>
      </c>
      <c r="W42">
        <v>4</v>
      </c>
      <c r="X42">
        <v>5</v>
      </c>
      <c r="Y42">
        <v>4</v>
      </c>
      <c r="Z42">
        <v>5</v>
      </c>
      <c r="AA42">
        <v>5</v>
      </c>
      <c r="AB42">
        <v>3</v>
      </c>
      <c r="AC42">
        <v>3</v>
      </c>
      <c r="AD42">
        <f>IF(Table_EH_Post_Survey_May_22__2023_11_005[[#This Row],[Q4_1]] = 3, 1, IF(Table_EH_Post_Survey_May_22__2023_11_005[[#This Row],[Q4_1]] = 2.5, 0.5, IF(Table_EH_Post_Survey_May_22__2023_11_005[[#This Row],[Q4_1]] = 3.5, 0.5, 0)))</f>
        <v>1</v>
      </c>
      <c r="AE42" t="s">
        <v>154</v>
      </c>
      <c r="AF42">
        <f>IF(Table_EH_Post_Survey_May_22__2023_11_005[[#This Row],[Q5 ]]="PM &lt; 2.5 μm", 1, 0)</f>
        <v>0</v>
      </c>
      <c r="AG42" t="s">
        <v>131</v>
      </c>
      <c r="AH42">
        <f>IF(Table_EH_Post_Survey_May_22__2023_11_005[[#This Row],[Q6]]="Particles of this size are generally absorbed in the respiratory tract and safely excreted in mucus.", 1, 0)</f>
        <v>0</v>
      </c>
      <c r="AI42" t="s">
        <v>186</v>
      </c>
      <c r="AJ42">
        <f>IF(ISNUMBER(SEARCH("Trucks", Table_EH_Post_Survey_May_22__2023_11_005[[#This Row],[Q7 ]])) = TRUE, 1, 0) + IF(ISNUMBER(SEARCH("Cars", Table_EH_Post_Survey_May_22__2023_11_005[[#This Row],[Q7 ]])) = TRUE, 1, 0) + IF(ISNUMBER(SEARCH("Fireplaces", Table_EH_Post_Survey_May_22__2023_11_005[[#This Row],[Q7 ]])) = TRUE, 1, 0) + IF(ISNUMBER(SEARCH("Dirt Roads",Table_EH_Post_Survey_May_22__2023_11_005[[#This Row],[Q7 ]])) = TRUE, 1, 0) - IF(ISNUMBER(SEARCH("Electric Vehicles",Table_EH_Post_Survey_May_22__2023_11_005[[#This Row],[Q7 ]])) = TRUE, 1, 0) - IF(ISNUMBER(SEARCH("Pollen", Table_EH_Post_Survey_May_22__2023_11_005[[#This Row],[Q7 ]])) = TRUE, 1, 0)</f>
        <v>3</v>
      </c>
      <c r="AK42">
        <v>5</v>
      </c>
      <c r="AL42">
        <v>5</v>
      </c>
      <c r="AM42">
        <v>3</v>
      </c>
      <c r="AN42">
        <v>3</v>
      </c>
      <c r="AO42">
        <v>4</v>
      </c>
      <c r="AP42">
        <v>5</v>
      </c>
      <c r="AQ42">
        <v>9</v>
      </c>
      <c r="AR42" t="s">
        <v>111</v>
      </c>
    </row>
    <row r="43" spans="1:45" hidden="1" x14ac:dyDescent="0.25">
      <c r="A43" t="s">
        <v>1193</v>
      </c>
      <c r="B43" t="s">
        <v>1194</v>
      </c>
      <c r="C43" t="s">
        <v>42</v>
      </c>
      <c r="D43" t="s">
        <v>1195</v>
      </c>
      <c r="E43" t="s">
        <v>112</v>
      </c>
      <c r="F43" s="3">
        <v>82</v>
      </c>
      <c r="G43" s="3">
        <f>_xlfn.NUMBERVALUE(Table_EH_Post_Survey_May_22__2023_11_005[[#This Row],[Duration (in seconds) - Duration (in seconds)]])</f>
        <v>82</v>
      </c>
      <c r="H43" t="s">
        <v>114</v>
      </c>
      <c r="I43" t="s">
        <v>1194</v>
      </c>
      <c r="J43" t="s">
        <v>1196</v>
      </c>
      <c r="K43" t="s">
        <v>111</v>
      </c>
      <c r="L43" t="s">
        <v>111</v>
      </c>
      <c r="M43" t="s">
        <v>111</v>
      </c>
      <c r="N43" t="s">
        <v>111</v>
      </c>
      <c r="O43" t="s">
        <v>214</v>
      </c>
      <c r="P43" t="s">
        <v>215</v>
      </c>
      <c r="Q43" t="s">
        <v>127</v>
      </c>
      <c r="R43" t="s">
        <v>117</v>
      </c>
      <c r="S43" t="s">
        <v>1197</v>
      </c>
      <c r="T43" t="e">
        <f>VLOOKUP(Table_EH_Post_Survey_May_22__2023_11_005[[#This Row],[Q1 - NetID Post Survey]], Table_EH_Pre_Survey_May_20__2023_08_224[Q1 - NetID Post-Survey], 1, FALSE)</f>
        <v>#N/A</v>
      </c>
      <c r="U43">
        <v>4</v>
      </c>
      <c r="V43">
        <v>4</v>
      </c>
      <c r="W43">
        <v>5</v>
      </c>
      <c r="X43">
        <v>5</v>
      </c>
      <c r="Y43">
        <v>2</v>
      </c>
      <c r="Z43">
        <v>2</v>
      </c>
      <c r="AA43">
        <v>5</v>
      </c>
      <c r="AB43">
        <v>3</v>
      </c>
      <c r="AC43">
        <v>5</v>
      </c>
      <c r="AD43">
        <f>IF(Table_EH_Post_Survey_May_22__2023_11_005[[#This Row],[Q4_1]] = 3, 1, IF(Table_EH_Post_Survey_May_22__2023_11_005[[#This Row],[Q4_1]] = 2.5, 0.5, IF(Table_EH_Post_Survey_May_22__2023_11_005[[#This Row],[Q4_1]] = 3.5, 0.5, 0)))</f>
        <v>0</v>
      </c>
      <c r="AE43" t="s">
        <v>154</v>
      </c>
      <c r="AF43">
        <f>IF(Table_EH_Post_Survey_May_22__2023_11_005[[#This Row],[Q5 ]]="PM &lt; 2.5 μm", 1, 0)</f>
        <v>0</v>
      </c>
      <c r="AG43" t="s">
        <v>155</v>
      </c>
      <c r="AH43">
        <f>IF(Table_EH_Post_Survey_May_22__2023_11_005[[#This Row],[Q6]]="Particles of this size are generally absorbed in the respiratory tract and safely excreted in mucus.", 1, 0)</f>
        <v>0</v>
      </c>
      <c r="AI43" t="s">
        <v>327</v>
      </c>
      <c r="AJ43">
        <f>IF(ISNUMBER(SEARCH("Trucks", Table_EH_Post_Survey_May_22__2023_11_005[[#This Row],[Q7 ]])) = TRUE, 1, 0) + IF(ISNUMBER(SEARCH("Cars", Table_EH_Post_Survey_May_22__2023_11_005[[#This Row],[Q7 ]])) = TRUE, 1, 0) + IF(ISNUMBER(SEARCH("Fireplaces", Table_EH_Post_Survey_May_22__2023_11_005[[#This Row],[Q7 ]])) = TRUE, 1, 0) + IF(ISNUMBER(SEARCH("Dirt Roads",Table_EH_Post_Survey_May_22__2023_11_005[[#This Row],[Q7 ]])) = TRUE, 1, 0) - IF(ISNUMBER(SEARCH("Electric Vehicles",Table_EH_Post_Survey_May_22__2023_11_005[[#This Row],[Q7 ]])) = TRUE, 1, 0) - IF(ISNUMBER(SEARCH("Pollen", Table_EH_Post_Survey_May_22__2023_11_005[[#This Row],[Q7 ]])) = TRUE, 1, 0)</f>
        <v>1</v>
      </c>
      <c r="AK43">
        <v>5</v>
      </c>
      <c r="AL43">
        <v>4</v>
      </c>
      <c r="AM43">
        <v>5</v>
      </c>
      <c r="AN43">
        <v>5</v>
      </c>
      <c r="AO43">
        <v>5</v>
      </c>
      <c r="AP43">
        <v>5</v>
      </c>
      <c r="AQ43">
        <v>9</v>
      </c>
      <c r="AR43" t="s">
        <v>111</v>
      </c>
    </row>
    <row r="44" spans="1:45" hidden="1" x14ac:dyDescent="0.25">
      <c r="A44" t="s">
        <v>1246</v>
      </c>
      <c r="B44" t="s">
        <v>1247</v>
      </c>
      <c r="C44" t="s">
        <v>42</v>
      </c>
      <c r="D44" t="s">
        <v>389</v>
      </c>
      <c r="E44" t="s">
        <v>112</v>
      </c>
      <c r="F44" s="3">
        <v>259</v>
      </c>
      <c r="G44" s="3">
        <f>_xlfn.NUMBERVALUE(Table_EH_Post_Survey_May_22__2023_11_005[[#This Row],[Duration (in seconds) - Duration (in seconds)]])</f>
        <v>259</v>
      </c>
      <c r="H44" t="s">
        <v>114</v>
      </c>
      <c r="I44" t="s">
        <v>1247</v>
      </c>
      <c r="J44" t="s">
        <v>1248</v>
      </c>
      <c r="K44" t="s">
        <v>111</v>
      </c>
      <c r="L44" t="s">
        <v>111</v>
      </c>
      <c r="M44" t="s">
        <v>111</v>
      </c>
      <c r="N44" t="s">
        <v>111</v>
      </c>
      <c r="O44" t="s">
        <v>392</v>
      </c>
      <c r="P44" t="s">
        <v>393</v>
      </c>
      <c r="Q44" t="s">
        <v>127</v>
      </c>
      <c r="R44" t="s">
        <v>117</v>
      </c>
      <c r="S44" t="s">
        <v>1249</v>
      </c>
      <c r="T44" t="e">
        <f>VLOOKUP(Table_EH_Post_Survey_May_22__2023_11_005[[#This Row],[Q1 - NetID Post Survey]], Table_EH_Pre_Survey_May_20__2023_08_224[Q1 - NetID Post-Survey], 1, FALSE)</f>
        <v>#N/A</v>
      </c>
      <c r="U44">
        <v>5</v>
      </c>
      <c r="V44">
        <v>5</v>
      </c>
      <c r="W44">
        <v>4</v>
      </c>
      <c r="X44">
        <v>4</v>
      </c>
      <c r="Y44">
        <v>3</v>
      </c>
      <c r="Z44">
        <v>4</v>
      </c>
      <c r="AB44">
        <v>3</v>
      </c>
      <c r="AC44">
        <v>3</v>
      </c>
      <c r="AD44">
        <f>IF(Table_EH_Post_Survey_May_22__2023_11_005[[#This Row],[Q4_1]] = 3, 1, IF(Table_EH_Post_Survey_May_22__2023_11_005[[#This Row],[Q4_1]] = 2.5, 0.5, IF(Table_EH_Post_Survey_May_22__2023_11_005[[#This Row],[Q4_1]] = 3.5, 0.5, 0)))</f>
        <v>1</v>
      </c>
      <c r="AE44" t="s">
        <v>525</v>
      </c>
      <c r="AF44">
        <f>IF(Table_EH_Post_Survey_May_22__2023_11_005[[#This Row],[Q5 ]]="PM &lt; 2.5 μm", 1, 0)</f>
        <v>0</v>
      </c>
      <c r="AG44" t="s">
        <v>111</v>
      </c>
      <c r="AH44">
        <f>IF(Table_EH_Post_Survey_May_22__2023_11_005[[#This Row],[Q6]]="Particles of this size are generally absorbed in the respiratory tract and safely excreted in mucus.", 1, 0)</f>
        <v>0</v>
      </c>
      <c r="AI44" t="s">
        <v>142</v>
      </c>
      <c r="AJ44">
        <f>IF(ISNUMBER(SEARCH("Trucks", Table_EH_Post_Survey_May_22__2023_11_005[[#This Row],[Q7 ]])) = TRUE, 1, 0) + IF(ISNUMBER(SEARCH("Cars", Table_EH_Post_Survey_May_22__2023_11_005[[#This Row],[Q7 ]])) = TRUE, 1, 0) + IF(ISNUMBER(SEARCH("Fireplaces", Table_EH_Post_Survey_May_22__2023_11_005[[#This Row],[Q7 ]])) = TRUE, 1, 0) + IF(ISNUMBER(SEARCH("Dirt Roads",Table_EH_Post_Survey_May_22__2023_11_005[[#This Row],[Q7 ]])) = TRUE, 1, 0) - IF(ISNUMBER(SEARCH("Electric Vehicles",Table_EH_Post_Survey_May_22__2023_11_005[[#This Row],[Q7 ]])) = TRUE, 1, 0) - IF(ISNUMBER(SEARCH("Pollen", Table_EH_Post_Survey_May_22__2023_11_005[[#This Row],[Q7 ]])) = TRUE, 1, 0)</f>
        <v>2</v>
      </c>
      <c r="AK44">
        <v>5</v>
      </c>
      <c r="AL44">
        <v>5</v>
      </c>
      <c r="AM44">
        <v>5</v>
      </c>
      <c r="AN44">
        <v>5</v>
      </c>
      <c r="AO44">
        <v>5</v>
      </c>
      <c r="AP44">
        <v>5</v>
      </c>
      <c r="AQ44">
        <v>10</v>
      </c>
      <c r="AR44" t="s">
        <v>1250</v>
      </c>
    </row>
    <row r="45" spans="1:45" hidden="1" x14ac:dyDescent="0.25">
      <c r="A45" t="s">
        <v>1150</v>
      </c>
      <c r="B45" t="s">
        <v>1151</v>
      </c>
      <c r="C45" t="s">
        <v>42</v>
      </c>
      <c r="D45" t="s">
        <v>1152</v>
      </c>
      <c r="E45" t="s">
        <v>112</v>
      </c>
      <c r="F45" s="3">
        <v>229</v>
      </c>
      <c r="G45" s="3">
        <f>_xlfn.NUMBERVALUE(Table_EH_Post_Survey_May_22__2023_11_005[[#This Row],[Duration (in seconds) - Duration (in seconds)]])</f>
        <v>229</v>
      </c>
      <c r="H45" t="s">
        <v>114</v>
      </c>
      <c r="I45" t="s">
        <v>1151</v>
      </c>
      <c r="J45" t="s">
        <v>1153</v>
      </c>
      <c r="K45" t="s">
        <v>111</v>
      </c>
      <c r="L45" t="s">
        <v>111</v>
      </c>
      <c r="M45" t="s">
        <v>111</v>
      </c>
      <c r="N45" t="s">
        <v>111</v>
      </c>
      <c r="O45" t="s">
        <v>1154</v>
      </c>
      <c r="P45" t="s">
        <v>1155</v>
      </c>
      <c r="Q45" t="s">
        <v>127</v>
      </c>
      <c r="R45" t="s">
        <v>117</v>
      </c>
      <c r="S45" t="s">
        <v>1156</v>
      </c>
      <c r="T45" t="e">
        <f>VLOOKUP(Table_EH_Post_Survey_May_22__2023_11_005[[#This Row],[Q1 - NetID Post Survey]], Table_EH_Pre_Survey_May_20__2023_08_224[Q1 - NetID Post-Survey], 1, FALSE)</f>
        <v>#N/A</v>
      </c>
      <c r="U45">
        <v>5</v>
      </c>
      <c r="V45">
        <v>5</v>
      </c>
      <c r="W45">
        <v>5</v>
      </c>
      <c r="X45">
        <v>5</v>
      </c>
      <c r="Y45">
        <v>5</v>
      </c>
      <c r="Z45">
        <v>5</v>
      </c>
      <c r="AA45">
        <v>5</v>
      </c>
      <c r="AB45">
        <v>5</v>
      </c>
      <c r="AC45">
        <v>3</v>
      </c>
      <c r="AD45">
        <f>IF(Table_EH_Post_Survey_May_22__2023_11_005[[#This Row],[Q4_1]] = 3, 1, IF(Table_EH_Post_Survey_May_22__2023_11_005[[#This Row],[Q4_1]] = 2.5, 0.5, IF(Table_EH_Post_Survey_May_22__2023_11_005[[#This Row],[Q4_1]] = 3.5, 0.5, 0)))</f>
        <v>1</v>
      </c>
      <c r="AE45" t="s">
        <v>140</v>
      </c>
      <c r="AF45">
        <f>IF(Table_EH_Post_Survey_May_22__2023_11_005[[#This Row],[Q5 ]]="PM &lt; 2.5 μm", 1, 0)</f>
        <v>1</v>
      </c>
      <c r="AG45" t="s">
        <v>155</v>
      </c>
      <c r="AH45">
        <f>IF(Table_EH_Post_Survey_May_22__2023_11_005[[#This Row],[Q6]]="Particles of this size are generally absorbed in the respiratory tract and safely excreted in mucus.", 1, 0)</f>
        <v>0</v>
      </c>
      <c r="AI45" t="s">
        <v>186</v>
      </c>
      <c r="AJ45">
        <f>IF(ISNUMBER(SEARCH("Trucks", Table_EH_Post_Survey_May_22__2023_11_005[[#This Row],[Q7 ]])) = TRUE, 1, 0) + IF(ISNUMBER(SEARCH("Cars", Table_EH_Post_Survey_May_22__2023_11_005[[#This Row],[Q7 ]])) = TRUE, 1, 0) + IF(ISNUMBER(SEARCH("Fireplaces", Table_EH_Post_Survey_May_22__2023_11_005[[#This Row],[Q7 ]])) = TRUE, 1, 0) + IF(ISNUMBER(SEARCH("Dirt Roads",Table_EH_Post_Survey_May_22__2023_11_005[[#This Row],[Q7 ]])) = TRUE, 1, 0) - IF(ISNUMBER(SEARCH("Electric Vehicles",Table_EH_Post_Survey_May_22__2023_11_005[[#This Row],[Q7 ]])) = TRUE, 1, 0) - IF(ISNUMBER(SEARCH("Pollen", Table_EH_Post_Survey_May_22__2023_11_005[[#This Row],[Q7 ]])) = TRUE, 1, 0)</f>
        <v>3</v>
      </c>
      <c r="AK45">
        <v>5</v>
      </c>
      <c r="AL45">
        <v>3</v>
      </c>
      <c r="AM45">
        <v>5</v>
      </c>
      <c r="AN45">
        <v>4</v>
      </c>
      <c r="AO45">
        <v>5</v>
      </c>
      <c r="AP45">
        <v>5</v>
      </c>
      <c r="AQ45">
        <v>9</v>
      </c>
      <c r="AR45" t="s">
        <v>111</v>
      </c>
    </row>
    <row r="46" spans="1:45" hidden="1" x14ac:dyDescent="0.25">
      <c r="A46" t="s">
        <v>1055</v>
      </c>
      <c r="B46" t="s">
        <v>1056</v>
      </c>
      <c r="C46" t="s">
        <v>42</v>
      </c>
      <c r="D46" t="s">
        <v>1057</v>
      </c>
      <c r="E46" t="s">
        <v>112</v>
      </c>
      <c r="F46" s="3">
        <v>783</v>
      </c>
      <c r="G46" s="3">
        <f>_xlfn.NUMBERVALUE(Table_EH_Post_Survey_May_22__2023_11_005[[#This Row],[Duration (in seconds) - Duration (in seconds)]])</f>
        <v>783</v>
      </c>
      <c r="H46" t="s">
        <v>114</v>
      </c>
      <c r="I46" t="s">
        <v>1058</v>
      </c>
      <c r="J46" t="s">
        <v>1059</v>
      </c>
      <c r="K46" t="s">
        <v>111</v>
      </c>
      <c r="L46" t="s">
        <v>111</v>
      </c>
      <c r="M46" t="s">
        <v>111</v>
      </c>
      <c r="N46" t="s">
        <v>111</v>
      </c>
      <c r="O46" t="s">
        <v>1060</v>
      </c>
      <c r="P46" t="s">
        <v>204</v>
      </c>
      <c r="Q46" t="s">
        <v>487</v>
      </c>
      <c r="R46" t="s">
        <v>117</v>
      </c>
      <c r="S46" t="s">
        <v>1061</v>
      </c>
      <c r="T46" t="e">
        <f>VLOOKUP(Table_EH_Post_Survey_May_22__2023_11_005[[#This Row],[Q1 - NetID Post Survey]], Table_EH_Pre_Survey_May_20__2023_08_224[Q1 - NetID Post-Survey], 1, FALSE)</f>
        <v>#N/A</v>
      </c>
      <c r="U46">
        <v>2</v>
      </c>
      <c r="V46">
        <v>2</v>
      </c>
      <c r="W46">
        <v>0</v>
      </c>
      <c r="X46">
        <v>4</v>
      </c>
      <c r="Y46">
        <v>0</v>
      </c>
      <c r="Z46">
        <v>2</v>
      </c>
      <c r="AA46">
        <v>3</v>
      </c>
      <c r="AB46">
        <v>1</v>
      </c>
      <c r="AC46">
        <v>2.5</v>
      </c>
      <c r="AD46">
        <f>IF(Table_EH_Post_Survey_May_22__2023_11_005[[#This Row],[Q4_1]] = 3, 1, IF(Table_EH_Post_Survey_May_22__2023_11_005[[#This Row],[Q4_1]] = 2.5, 0.5, IF(Table_EH_Post_Survey_May_22__2023_11_005[[#This Row],[Q4_1]] = 3.5, 0.5, 0)))</f>
        <v>0.5</v>
      </c>
      <c r="AE46" t="s">
        <v>140</v>
      </c>
      <c r="AF46">
        <f>IF(Table_EH_Post_Survey_May_22__2023_11_005[[#This Row],[Q5 ]]="PM &lt; 2.5 μm", 1, 0)</f>
        <v>1</v>
      </c>
      <c r="AG46" t="s">
        <v>175</v>
      </c>
      <c r="AH46">
        <f>IF(Table_EH_Post_Survey_May_22__2023_11_005[[#This Row],[Q6]]="Particles of this size are generally absorbed in the respiratory tract and safely excreted in mucus.", 1, 0)</f>
        <v>1</v>
      </c>
      <c r="AI46" t="s">
        <v>186</v>
      </c>
      <c r="AJ46">
        <f>IF(ISNUMBER(SEARCH("Trucks", Table_EH_Post_Survey_May_22__2023_11_005[[#This Row],[Q7 ]])) = TRUE, 1, 0) + IF(ISNUMBER(SEARCH("Cars", Table_EH_Post_Survey_May_22__2023_11_005[[#This Row],[Q7 ]])) = TRUE, 1, 0) + IF(ISNUMBER(SEARCH("Fireplaces", Table_EH_Post_Survey_May_22__2023_11_005[[#This Row],[Q7 ]])) = TRUE, 1, 0) + IF(ISNUMBER(SEARCH("Dirt Roads",Table_EH_Post_Survey_May_22__2023_11_005[[#This Row],[Q7 ]])) = TRUE, 1, 0) - IF(ISNUMBER(SEARCH("Electric Vehicles",Table_EH_Post_Survey_May_22__2023_11_005[[#This Row],[Q7 ]])) = TRUE, 1, 0) - IF(ISNUMBER(SEARCH("Pollen", Table_EH_Post_Survey_May_22__2023_11_005[[#This Row],[Q7 ]])) = TRUE, 1, 0)</f>
        <v>3</v>
      </c>
      <c r="AK46">
        <v>2</v>
      </c>
      <c r="AL46">
        <v>2</v>
      </c>
      <c r="AM46">
        <v>4</v>
      </c>
      <c r="AN46">
        <v>1</v>
      </c>
      <c r="AO46">
        <v>4</v>
      </c>
      <c r="AP46">
        <v>3</v>
      </c>
      <c r="AQ46">
        <v>3</v>
      </c>
      <c r="AR46" t="s">
        <v>111</v>
      </c>
    </row>
    <row r="47" spans="1:45" hidden="1" x14ac:dyDescent="0.25">
      <c r="A47" t="s">
        <v>1097</v>
      </c>
      <c r="B47" t="s">
        <v>1098</v>
      </c>
      <c r="C47" t="s">
        <v>42</v>
      </c>
      <c r="D47" t="s">
        <v>347</v>
      </c>
      <c r="E47" t="s">
        <v>112</v>
      </c>
      <c r="F47" s="3">
        <v>78</v>
      </c>
      <c r="G47" s="3">
        <f>_xlfn.NUMBERVALUE(Table_EH_Post_Survey_May_22__2023_11_005[[#This Row],[Duration (in seconds) - Duration (in seconds)]])</f>
        <v>78</v>
      </c>
      <c r="H47" t="s">
        <v>114</v>
      </c>
      <c r="I47" t="s">
        <v>1098</v>
      </c>
      <c r="J47" t="s">
        <v>1099</v>
      </c>
      <c r="K47" t="s">
        <v>111</v>
      </c>
      <c r="L47" t="s">
        <v>111</v>
      </c>
      <c r="M47" t="s">
        <v>111</v>
      </c>
      <c r="N47" t="s">
        <v>111</v>
      </c>
      <c r="O47" t="s">
        <v>351</v>
      </c>
      <c r="P47" t="s">
        <v>352</v>
      </c>
      <c r="Q47" t="s">
        <v>127</v>
      </c>
      <c r="R47" t="s">
        <v>117</v>
      </c>
      <c r="S47" t="s">
        <v>1100</v>
      </c>
      <c r="T47" t="e">
        <f>VLOOKUP(Table_EH_Post_Survey_May_22__2023_11_005[[#This Row],[Q1 - NetID Post Survey]], Table_EH_Pre_Survey_May_20__2023_08_224[Q1 - NetID Post-Survey], 1, FALSE)</f>
        <v>#N/A</v>
      </c>
      <c r="U47">
        <v>4</v>
      </c>
      <c r="V47">
        <v>5</v>
      </c>
      <c r="W47">
        <v>3</v>
      </c>
      <c r="X47">
        <v>3</v>
      </c>
      <c r="Y47">
        <v>3</v>
      </c>
      <c r="Z47">
        <v>4</v>
      </c>
      <c r="AA47">
        <v>5</v>
      </c>
      <c r="AB47">
        <v>3</v>
      </c>
      <c r="AC47">
        <v>2.5</v>
      </c>
      <c r="AD47">
        <f>IF(Table_EH_Post_Survey_May_22__2023_11_005[[#This Row],[Q4_1]] = 3, 1, IF(Table_EH_Post_Survey_May_22__2023_11_005[[#This Row],[Q4_1]] = 2.5, 0.5, IF(Table_EH_Post_Survey_May_22__2023_11_005[[#This Row],[Q4_1]] = 3.5, 0.5, 0)))</f>
        <v>0.5</v>
      </c>
      <c r="AE47" t="s">
        <v>140</v>
      </c>
      <c r="AF47">
        <f>IF(Table_EH_Post_Survey_May_22__2023_11_005[[#This Row],[Q5 ]]="PM &lt; 2.5 μm", 1, 0)</f>
        <v>1</v>
      </c>
      <c r="AG47" t="s">
        <v>141</v>
      </c>
      <c r="AH47">
        <f>IF(Table_EH_Post_Survey_May_22__2023_11_005[[#This Row],[Q6]]="Particles of this size are generally absorbed in the respiratory tract and safely excreted in mucus.", 1, 0)</f>
        <v>0</v>
      </c>
      <c r="AI47" t="s">
        <v>353</v>
      </c>
      <c r="AJ47">
        <f>IF(ISNUMBER(SEARCH("Trucks", Table_EH_Post_Survey_May_22__2023_11_005[[#This Row],[Q7 ]])) = TRUE, 1, 0) + IF(ISNUMBER(SEARCH("Cars", Table_EH_Post_Survey_May_22__2023_11_005[[#This Row],[Q7 ]])) = TRUE, 1, 0) + IF(ISNUMBER(SEARCH("Fireplaces", Table_EH_Post_Survey_May_22__2023_11_005[[#This Row],[Q7 ]])) = TRUE, 1, 0) + IF(ISNUMBER(SEARCH("Dirt Roads",Table_EH_Post_Survey_May_22__2023_11_005[[#This Row],[Q7 ]])) = TRUE, 1, 0) - IF(ISNUMBER(SEARCH("Electric Vehicles",Table_EH_Post_Survey_May_22__2023_11_005[[#This Row],[Q7 ]])) = TRUE, 1, 0) - IF(ISNUMBER(SEARCH("Pollen", Table_EH_Post_Survey_May_22__2023_11_005[[#This Row],[Q7 ]])) = TRUE, 1, 0)</f>
        <v>3</v>
      </c>
      <c r="AK47">
        <v>5</v>
      </c>
      <c r="AL47">
        <v>5</v>
      </c>
      <c r="AM47">
        <v>5</v>
      </c>
      <c r="AN47">
        <v>5</v>
      </c>
      <c r="AO47">
        <v>5</v>
      </c>
      <c r="AP47">
        <v>5</v>
      </c>
      <c r="AR47" t="s">
        <v>111</v>
      </c>
    </row>
    <row r="48" spans="1:45" hidden="1" x14ac:dyDescent="0.25">
      <c r="A48" t="s">
        <v>1221</v>
      </c>
      <c r="B48" t="s">
        <v>1222</v>
      </c>
      <c r="C48" t="s">
        <v>42</v>
      </c>
      <c r="D48" t="s">
        <v>389</v>
      </c>
      <c r="E48" t="s">
        <v>112</v>
      </c>
      <c r="F48" s="3">
        <v>136</v>
      </c>
      <c r="G48" s="3">
        <f>_xlfn.NUMBERVALUE(Table_EH_Post_Survey_May_22__2023_11_005[[#This Row],[Duration (in seconds) - Duration (in seconds)]])</f>
        <v>136</v>
      </c>
      <c r="H48" t="s">
        <v>114</v>
      </c>
      <c r="I48" t="s">
        <v>1223</v>
      </c>
      <c r="J48" t="s">
        <v>1224</v>
      </c>
      <c r="K48" t="s">
        <v>111</v>
      </c>
      <c r="L48" t="s">
        <v>111</v>
      </c>
      <c r="M48" t="s">
        <v>111</v>
      </c>
      <c r="N48" t="s">
        <v>111</v>
      </c>
      <c r="O48" t="s">
        <v>392</v>
      </c>
      <c r="P48" t="s">
        <v>393</v>
      </c>
      <c r="Q48" t="s">
        <v>127</v>
      </c>
      <c r="R48" t="s">
        <v>117</v>
      </c>
      <c r="S48" t="s">
        <v>1225</v>
      </c>
      <c r="T48" t="e">
        <f>VLOOKUP(Table_EH_Post_Survey_May_22__2023_11_005[[#This Row],[Q1 - NetID Post Survey]], Table_EH_Pre_Survey_May_20__2023_08_224[Q1 - NetID Post-Survey], 1, FALSE)</f>
        <v>#N/A</v>
      </c>
      <c r="U48">
        <v>5</v>
      </c>
      <c r="V48">
        <v>5</v>
      </c>
      <c r="W48">
        <v>5</v>
      </c>
      <c r="X48">
        <v>5</v>
      </c>
      <c r="Y48">
        <v>5</v>
      </c>
      <c r="Z48">
        <v>5</v>
      </c>
      <c r="AA48">
        <v>5</v>
      </c>
      <c r="AB48">
        <v>5</v>
      </c>
      <c r="AC48">
        <v>4</v>
      </c>
      <c r="AD48">
        <f>IF(Table_EH_Post_Survey_May_22__2023_11_005[[#This Row],[Q4_1]] = 3, 1, IF(Table_EH_Post_Survey_May_22__2023_11_005[[#This Row],[Q4_1]] = 2.5, 0.5, IF(Table_EH_Post_Survey_May_22__2023_11_005[[#This Row],[Q4_1]] = 3.5, 0.5, 0)))</f>
        <v>0</v>
      </c>
      <c r="AE48" t="s">
        <v>140</v>
      </c>
      <c r="AF48">
        <f>IF(Table_EH_Post_Survey_May_22__2023_11_005[[#This Row],[Q5 ]]="PM &lt; 2.5 μm", 1, 0)</f>
        <v>1</v>
      </c>
      <c r="AG48" t="s">
        <v>131</v>
      </c>
      <c r="AH48">
        <f>IF(Table_EH_Post_Survey_May_22__2023_11_005[[#This Row],[Q6]]="Particles of this size are generally absorbed in the respiratory tract and safely excreted in mucus.", 1, 0)</f>
        <v>0</v>
      </c>
      <c r="AI48" t="s">
        <v>156</v>
      </c>
      <c r="AJ48">
        <f>IF(ISNUMBER(SEARCH("Trucks", Table_EH_Post_Survey_May_22__2023_11_005[[#This Row],[Q7 ]])) = TRUE, 1, 0) + IF(ISNUMBER(SEARCH("Cars", Table_EH_Post_Survey_May_22__2023_11_005[[#This Row],[Q7 ]])) = TRUE, 1, 0) + IF(ISNUMBER(SEARCH("Fireplaces", Table_EH_Post_Survey_May_22__2023_11_005[[#This Row],[Q7 ]])) = TRUE, 1, 0) + IF(ISNUMBER(SEARCH("Dirt Roads",Table_EH_Post_Survey_May_22__2023_11_005[[#This Row],[Q7 ]])) = TRUE, 1, 0) - IF(ISNUMBER(SEARCH("Electric Vehicles",Table_EH_Post_Survey_May_22__2023_11_005[[#This Row],[Q7 ]])) = TRUE, 1, 0) - IF(ISNUMBER(SEARCH("Pollen", Table_EH_Post_Survey_May_22__2023_11_005[[#This Row],[Q7 ]])) = TRUE, 1, 0)</f>
        <v>4</v>
      </c>
      <c r="AK48">
        <v>5</v>
      </c>
      <c r="AL48">
        <v>5</v>
      </c>
      <c r="AM48">
        <v>5</v>
      </c>
      <c r="AN48">
        <v>5</v>
      </c>
      <c r="AO48">
        <v>5</v>
      </c>
      <c r="AP48">
        <v>5</v>
      </c>
      <c r="AQ48">
        <v>9</v>
      </c>
      <c r="AR48" t="s">
        <v>1226</v>
      </c>
    </row>
    <row r="49" spans="1:44" hidden="1" x14ac:dyDescent="0.25">
      <c r="A49" t="s">
        <v>1110</v>
      </c>
      <c r="B49" t="s">
        <v>1111</v>
      </c>
      <c r="C49" t="s">
        <v>42</v>
      </c>
      <c r="D49" t="s">
        <v>1112</v>
      </c>
      <c r="E49" t="s">
        <v>112</v>
      </c>
      <c r="F49" s="3">
        <v>145</v>
      </c>
      <c r="G49" s="3">
        <f>_xlfn.NUMBERVALUE(Table_EH_Post_Survey_May_22__2023_11_005[[#This Row],[Duration (in seconds) - Duration (in seconds)]])</f>
        <v>145</v>
      </c>
      <c r="H49" t="s">
        <v>114</v>
      </c>
      <c r="I49" t="s">
        <v>1111</v>
      </c>
      <c r="J49" t="s">
        <v>1113</v>
      </c>
      <c r="K49" t="s">
        <v>111</v>
      </c>
      <c r="L49" t="s">
        <v>111</v>
      </c>
      <c r="M49" t="s">
        <v>111</v>
      </c>
      <c r="N49" t="s">
        <v>111</v>
      </c>
      <c r="O49" t="s">
        <v>351</v>
      </c>
      <c r="P49" t="s">
        <v>352</v>
      </c>
      <c r="Q49" t="s">
        <v>127</v>
      </c>
      <c r="R49" t="s">
        <v>117</v>
      </c>
      <c r="S49" t="s">
        <v>1114</v>
      </c>
      <c r="T49" t="e">
        <f>VLOOKUP(Table_EH_Post_Survey_May_22__2023_11_005[[#This Row],[Q1 - NetID Post Survey]], Table_EH_Pre_Survey_May_20__2023_08_224[Q1 - NetID Post-Survey], 1, FALSE)</f>
        <v>#N/A</v>
      </c>
      <c r="U49">
        <v>3</v>
      </c>
      <c r="V49">
        <v>2</v>
      </c>
      <c r="W49">
        <v>3</v>
      </c>
      <c r="X49">
        <v>5</v>
      </c>
      <c r="Y49">
        <v>2</v>
      </c>
      <c r="Z49">
        <v>3</v>
      </c>
      <c r="AA49">
        <v>5</v>
      </c>
      <c r="AB49">
        <v>1</v>
      </c>
      <c r="AC49">
        <v>2.5</v>
      </c>
      <c r="AD49">
        <f>IF(Table_EH_Post_Survey_May_22__2023_11_005[[#This Row],[Q4_1]] = 3, 1, IF(Table_EH_Post_Survey_May_22__2023_11_005[[#This Row],[Q4_1]] = 2.5, 0.5, IF(Table_EH_Post_Survey_May_22__2023_11_005[[#This Row],[Q4_1]] = 3.5, 0.5, 0)))</f>
        <v>0.5</v>
      </c>
      <c r="AE49" t="s">
        <v>140</v>
      </c>
      <c r="AF49">
        <f>IF(Table_EH_Post_Survey_May_22__2023_11_005[[#This Row],[Q5 ]]="PM &lt; 2.5 μm", 1, 0)</f>
        <v>1</v>
      </c>
      <c r="AG49" t="s">
        <v>175</v>
      </c>
      <c r="AH49">
        <f>IF(Table_EH_Post_Survey_May_22__2023_11_005[[#This Row],[Q6]]="Particles of this size are generally absorbed in the respiratory tract and safely excreted in mucus.", 1, 0)</f>
        <v>1</v>
      </c>
      <c r="AI49" t="s">
        <v>450</v>
      </c>
      <c r="AJ49">
        <f>IF(ISNUMBER(SEARCH("Trucks", Table_EH_Post_Survey_May_22__2023_11_005[[#This Row],[Q7 ]])) = TRUE, 1, 0) + IF(ISNUMBER(SEARCH("Cars", Table_EH_Post_Survey_May_22__2023_11_005[[#This Row],[Q7 ]])) = TRUE, 1, 0) + IF(ISNUMBER(SEARCH("Fireplaces", Table_EH_Post_Survey_May_22__2023_11_005[[#This Row],[Q7 ]])) = TRUE, 1, 0) + IF(ISNUMBER(SEARCH("Dirt Roads",Table_EH_Post_Survey_May_22__2023_11_005[[#This Row],[Q7 ]])) = TRUE, 1, 0) - IF(ISNUMBER(SEARCH("Electric Vehicles",Table_EH_Post_Survey_May_22__2023_11_005[[#This Row],[Q7 ]])) = TRUE, 1, 0) - IF(ISNUMBER(SEARCH("Pollen", Table_EH_Post_Survey_May_22__2023_11_005[[#This Row],[Q7 ]])) = TRUE, 1, 0)</f>
        <v>2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6</v>
      </c>
      <c r="AR49" t="s">
        <v>1115</v>
      </c>
    </row>
    <row r="50" spans="1:44" hidden="1" x14ac:dyDescent="0.25">
      <c r="A50" t="s">
        <v>1198</v>
      </c>
      <c r="B50" t="s">
        <v>1199</v>
      </c>
      <c r="C50" t="s">
        <v>42</v>
      </c>
      <c r="D50" t="s">
        <v>1200</v>
      </c>
      <c r="E50" t="s">
        <v>112</v>
      </c>
      <c r="F50" s="3">
        <v>120</v>
      </c>
      <c r="G50" s="3">
        <f>_xlfn.NUMBERVALUE(Table_EH_Post_Survey_May_22__2023_11_005[[#This Row],[Duration (in seconds) - Duration (in seconds)]])</f>
        <v>120</v>
      </c>
      <c r="H50" t="s">
        <v>114</v>
      </c>
      <c r="I50" t="s">
        <v>1201</v>
      </c>
      <c r="J50" t="s">
        <v>1202</v>
      </c>
      <c r="K50" t="s">
        <v>111</v>
      </c>
      <c r="L50" t="s">
        <v>111</v>
      </c>
      <c r="M50" t="s">
        <v>111</v>
      </c>
      <c r="N50" t="s">
        <v>111</v>
      </c>
      <c r="O50" t="s">
        <v>1154</v>
      </c>
      <c r="P50" t="s">
        <v>1155</v>
      </c>
      <c r="Q50" t="s">
        <v>127</v>
      </c>
      <c r="R50" t="s">
        <v>117</v>
      </c>
      <c r="S50" t="s">
        <v>1203</v>
      </c>
      <c r="T50" t="e">
        <f>VLOOKUP(Table_EH_Post_Survey_May_22__2023_11_005[[#This Row],[Q1 - NetID Post Survey]], Table_EH_Pre_Survey_May_20__2023_08_224[Q1 - NetID Post-Survey], 1, FALSE)</f>
        <v>#N/A</v>
      </c>
      <c r="U50">
        <v>5</v>
      </c>
      <c r="V50">
        <v>4</v>
      </c>
      <c r="W50">
        <v>4</v>
      </c>
      <c r="X50">
        <v>5</v>
      </c>
      <c r="Y50">
        <v>5</v>
      </c>
      <c r="Z50">
        <v>5</v>
      </c>
      <c r="AA50">
        <v>5</v>
      </c>
      <c r="AB50">
        <v>4</v>
      </c>
      <c r="AC50">
        <v>4.5</v>
      </c>
      <c r="AD50">
        <f>IF(Table_EH_Post_Survey_May_22__2023_11_005[[#This Row],[Q4_1]] = 3, 1, IF(Table_EH_Post_Survey_May_22__2023_11_005[[#This Row],[Q4_1]] = 2.5, 0.5, IF(Table_EH_Post_Survey_May_22__2023_11_005[[#This Row],[Q4_1]] = 3.5, 0.5, 0)))</f>
        <v>0</v>
      </c>
      <c r="AE50" t="s">
        <v>130</v>
      </c>
      <c r="AF50">
        <f>IF(Table_EH_Post_Survey_May_22__2023_11_005[[#This Row],[Q5 ]]="PM &lt; 2.5 μm", 1, 0)</f>
        <v>0</v>
      </c>
      <c r="AG50" t="s">
        <v>131</v>
      </c>
      <c r="AH50">
        <f>IF(Table_EH_Post_Survey_May_22__2023_11_005[[#This Row],[Q6]]="Particles of this size are generally absorbed in the respiratory tract and safely excreted in mucus.", 1, 0)</f>
        <v>0</v>
      </c>
      <c r="AI50" t="s">
        <v>142</v>
      </c>
      <c r="AJ50">
        <f>IF(ISNUMBER(SEARCH("Trucks", Table_EH_Post_Survey_May_22__2023_11_005[[#This Row],[Q7 ]])) = TRUE, 1, 0) + IF(ISNUMBER(SEARCH("Cars", Table_EH_Post_Survey_May_22__2023_11_005[[#This Row],[Q7 ]])) = TRUE, 1, 0) + IF(ISNUMBER(SEARCH("Fireplaces", Table_EH_Post_Survey_May_22__2023_11_005[[#This Row],[Q7 ]])) = TRUE, 1, 0) + IF(ISNUMBER(SEARCH("Dirt Roads",Table_EH_Post_Survey_May_22__2023_11_005[[#This Row],[Q7 ]])) = TRUE, 1, 0) - IF(ISNUMBER(SEARCH("Electric Vehicles",Table_EH_Post_Survey_May_22__2023_11_005[[#This Row],[Q7 ]])) = TRUE, 1, 0) - IF(ISNUMBER(SEARCH("Pollen", Table_EH_Post_Survey_May_22__2023_11_005[[#This Row],[Q7 ]])) = TRUE, 1, 0)</f>
        <v>2</v>
      </c>
      <c r="AK50">
        <v>5</v>
      </c>
      <c r="AL50">
        <v>4</v>
      </c>
      <c r="AM50">
        <v>5</v>
      </c>
      <c r="AN50">
        <v>4</v>
      </c>
      <c r="AO50">
        <v>4</v>
      </c>
      <c r="AP50">
        <v>4</v>
      </c>
      <c r="AQ50">
        <v>9</v>
      </c>
      <c r="AR50" t="s">
        <v>1204</v>
      </c>
    </row>
    <row r="51" spans="1:44" hidden="1" x14ac:dyDescent="0.25">
      <c r="A51" t="s">
        <v>1082</v>
      </c>
      <c r="B51" t="s">
        <v>1083</v>
      </c>
      <c r="C51" t="s">
        <v>42</v>
      </c>
      <c r="D51" t="s">
        <v>389</v>
      </c>
      <c r="E51" t="s">
        <v>112</v>
      </c>
      <c r="F51" s="3">
        <v>88</v>
      </c>
      <c r="G51" s="3">
        <f>_xlfn.NUMBERVALUE(Table_EH_Post_Survey_May_22__2023_11_005[[#This Row],[Duration (in seconds) - Duration (in seconds)]])</f>
        <v>88</v>
      </c>
      <c r="H51" t="s">
        <v>114</v>
      </c>
      <c r="I51" t="s">
        <v>1083</v>
      </c>
      <c r="J51" t="s">
        <v>1084</v>
      </c>
      <c r="K51" t="s">
        <v>111</v>
      </c>
      <c r="L51" t="s">
        <v>111</v>
      </c>
      <c r="M51" t="s">
        <v>111</v>
      </c>
      <c r="N51" t="s">
        <v>111</v>
      </c>
      <c r="O51" t="s">
        <v>392</v>
      </c>
      <c r="P51" t="s">
        <v>393</v>
      </c>
      <c r="Q51" t="s">
        <v>127</v>
      </c>
      <c r="R51" t="s">
        <v>117</v>
      </c>
      <c r="S51" t="s">
        <v>1085</v>
      </c>
      <c r="T51" t="e">
        <f>VLOOKUP(Table_EH_Post_Survey_May_22__2023_11_005[[#This Row],[Q1 - NetID Post Survey]], Table_EH_Pre_Survey_May_20__2023_08_224[Q1 - NetID Post-Survey], 1, FALSE)</f>
        <v>#N/A</v>
      </c>
      <c r="U51">
        <v>5</v>
      </c>
      <c r="V51">
        <v>5</v>
      </c>
      <c r="W51">
        <v>5</v>
      </c>
      <c r="X51">
        <v>5</v>
      </c>
      <c r="Y51">
        <v>5</v>
      </c>
      <c r="Z51">
        <v>5</v>
      </c>
      <c r="AA51">
        <v>5</v>
      </c>
      <c r="AB51">
        <v>5</v>
      </c>
      <c r="AC51">
        <v>3</v>
      </c>
      <c r="AD51">
        <f>IF(Table_EH_Post_Survey_May_22__2023_11_005[[#This Row],[Q4_1]] = 3, 1, IF(Table_EH_Post_Survey_May_22__2023_11_005[[#This Row],[Q4_1]] = 2.5, 0.5, IF(Table_EH_Post_Survey_May_22__2023_11_005[[#This Row],[Q4_1]] = 3.5, 0.5, 0)))</f>
        <v>1</v>
      </c>
      <c r="AE51" t="s">
        <v>140</v>
      </c>
      <c r="AF51">
        <f>IF(Table_EH_Post_Survey_May_22__2023_11_005[[#This Row],[Q5 ]]="PM &lt; 2.5 μm", 1, 0)</f>
        <v>1</v>
      </c>
      <c r="AG51" t="s">
        <v>175</v>
      </c>
      <c r="AH51">
        <f>IF(Table_EH_Post_Survey_May_22__2023_11_005[[#This Row],[Q6]]="Particles of this size are generally absorbed in the respiratory tract and safely excreted in mucus.", 1, 0)</f>
        <v>1</v>
      </c>
      <c r="AI51" t="s">
        <v>186</v>
      </c>
      <c r="AJ51">
        <f>IF(ISNUMBER(SEARCH("Trucks", Table_EH_Post_Survey_May_22__2023_11_005[[#This Row],[Q7 ]])) = TRUE, 1, 0) + IF(ISNUMBER(SEARCH("Cars", Table_EH_Post_Survey_May_22__2023_11_005[[#This Row],[Q7 ]])) = TRUE, 1, 0) + IF(ISNUMBER(SEARCH("Fireplaces", Table_EH_Post_Survey_May_22__2023_11_005[[#This Row],[Q7 ]])) = TRUE, 1, 0) + IF(ISNUMBER(SEARCH("Dirt Roads",Table_EH_Post_Survey_May_22__2023_11_005[[#This Row],[Q7 ]])) = TRUE, 1, 0) - IF(ISNUMBER(SEARCH("Electric Vehicles",Table_EH_Post_Survey_May_22__2023_11_005[[#This Row],[Q7 ]])) = TRUE, 1, 0) - IF(ISNUMBER(SEARCH("Pollen", Table_EH_Post_Survey_May_22__2023_11_005[[#This Row],[Q7 ]])) = TRUE, 1, 0)</f>
        <v>3</v>
      </c>
      <c r="AK51">
        <v>5</v>
      </c>
      <c r="AL51">
        <v>5</v>
      </c>
      <c r="AM51">
        <v>4</v>
      </c>
      <c r="AN51">
        <v>4</v>
      </c>
      <c r="AO51">
        <v>4</v>
      </c>
      <c r="AP51">
        <v>5</v>
      </c>
      <c r="AQ51">
        <v>10</v>
      </c>
      <c r="AR51" t="s">
        <v>1086</v>
      </c>
    </row>
    <row r="52" spans="1:44" x14ac:dyDescent="0.25">
      <c r="F52">
        <f>AVERAGE(F3:F5)</f>
        <v>74.333333333333329</v>
      </c>
      <c r="G52" s="3">
        <f>AVERAGE(G3:G5)</f>
        <v>74.333333333333329</v>
      </c>
      <c r="U52" s="5">
        <f t="shared" ref="U52:AR52" si="0">AVERAGE(U2:U51)</f>
        <v>4.5599999999999996</v>
      </c>
      <c r="V52" s="5">
        <f t="shared" si="0"/>
        <v>4.24</v>
      </c>
      <c r="W52" s="5">
        <f t="shared" si="0"/>
        <v>4.08</v>
      </c>
      <c r="X52" s="5">
        <f t="shared" si="0"/>
        <v>4.66</v>
      </c>
      <c r="Y52" s="5">
        <f t="shared" si="0"/>
        <v>3.4693877551020407</v>
      </c>
      <c r="Z52" s="5">
        <f t="shared" si="0"/>
        <v>3.8163265306122449</v>
      </c>
      <c r="AA52" s="5">
        <f t="shared" si="0"/>
        <v>4.8775510204081636</v>
      </c>
      <c r="AB52" s="5">
        <f t="shared" si="0"/>
        <v>3.1020408163265305</v>
      </c>
      <c r="AC52" s="5">
        <f t="shared" si="0"/>
        <v>3.25</v>
      </c>
      <c r="AD52" s="5"/>
      <c r="AE52" s="5" t="e">
        <f t="shared" si="0"/>
        <v>#DIV/0!</v>
      </c>
      <c r="AF52" s="5"/>
      <c r="AG52" s="5" t="e">
        <f t="shared" si="0"/>
        <v>#DIV/0!</v>
      </c>
      <c r="AH52" s="5"/>
      <c r="AI52" s="5" t="e">
        <f t="shared" si="0"/>
        <v>#DIV/0!</v>
      </c>
      <c r="AJ52" s="5"/>
      <c r="AK52" s="5">
        <f t="shared" si="0"/>
        <v>3.98</v>
      </c>
      <c r="AL52" s="5">
        <f t="shared" si="0"/>
        <v>3.7551020408163267</v>
      </c>
      <c r="AM52" s="5">
        <f t="shared" si="0"/>
        <v>3.8</v>
      </c>
      <c r="AN52" s="5">
        <f t="shared" si="0"/>
        <v>3.38</v>
      </c>
      <c r="AO52" s="5">
        <f t="shared" si="0"/>
        <v>4.0199999999999996</v>
      </c>
      <c r="AP52" s="5">
        <f t="shared" si="0"/>
        <v>4.3</v>
      </c>
      <c r="AQ52" s="5">
        <f t="shared" si="0"/>
        <v>8.795918367346939</v>
      </c>
      <c r="AR52" s="5" t="e">
        <f t="shared" si="0"/>
        <v>#DIV/0!</v>
      </c>
    </row>
    <row r="53" spans="1:44" x14ac:dyDescent="0.25">
      <c r="F53" s="2">
        <f>TRIMMEAN(F2:F51, 0.1)</f>
        <v>255.65217391304347</v>
      </c>
      <c r="U53">
        <f t="shared" ref="U53:AR53" si="1">COUNT(U2:U51)</f>
        <v>50</v>
      </c>
      <c r="V53">
        <f t="shared" si="1"/>
        <v>50</v>
      </c>
      <c r="W53">
        <f t="shared" si="1"/>
        <v>50</v>
      </c>
      <c r="X53">
        <f t="shared" si="1"/>
        <v>50</v>
      </c>
      <c r="Y53">
        <f t="shared" si="1"/>
        <v>49</v>
      </c>
      <c r="Z53">
        <f t="shared" si="1"/>
        <v>49</v>
      </c>
      <c r="AA53">
        <f t="shared" si="1"/>
        <v>49</v>
      </c>
      <c r="AB53">
        <f t="shared" si="1"/>
        <v>49</v>
      </c>
      <c r="AC53">
        <f t="shared" si="1"/>
        <v>50</v>
      </c>
      <c r="AE53">
        <f t="shared" si="1"/>
        <v>0</v>
      </c>
      <c r="AG53">
        <f t="shared" si="1"/>
        <v>0</v>
      </c>
      <c r="AI53">
        <f t="shared" si="1"/>
        <v>0</v>
      </c>
      <c r="AK53">
        <f t="shared" si="1"/>
        <v>50</v>
      </c>
      <c r="AL53">
        <f t="shared" si="1"/>
        <v>49</v>
      </c>
      <c r="AM53">
        <f t="shared" si="1"/>
        <v>50</v>
      </c>
      <c r="AN53">
        <f t="shared" si="1"/>
        <v>50</v>
      </c>
      <c r="AO53">
        <f t="shared" si="1"/>
        <v>50</v>
      </c>
      <c r="AP53">
        <f t="shared" si="1"/>
        <v>50</v>
      </c>
      <c r="AQ53">
        <f t="shared" si="1"/>
        <v>49</v>
      </c>
      <c r="AR53">
        <f t="shared" si="1"/>
        <v>0</v>
      </c>
    </row>
  </sheetData>
  <phoneticPr fontId="5" type="noConversion"/>
  <pageMargins left="0.7" right="0.7" top="0.75" bottom="0.75" header="0.3" footer="0.3"/>
  <legacy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3BCA-B05B-314A-A9A2-919E5122AE26}">
  <dimension ref="A1:AM56"/>
  <sheetViews>
    <sheetView topLeftCell="E1" workbookViewId="0">
      <selection activeCell="U4" sqref="U4"/>
    </sheetView>
  </sheetViews>
  <sheetFormatPr defaultColWidth="10.625" defaultRowHeight="15.75" x14ac:dyDescent="0.25"/>
  <cols>
    <col min="1" max="1" width="50.375" hidden="1" customWidth="1"/>
    <col min="2" max="2" width="49.5" hidden="1" customWidth="1"/>
    <col min="3" max="3" width="18.5" hidden="1" customWidth="1"/>
    <col min="4" max="4" width="21.625" hidden="1" customWidth="1"/>
    <col min="5" max="5" width="20.5" bestFit="1" customWidth="1"/>
    <col min="6" max="6" width="20.375" bestFit="1" customWidth="1"/>
    <col min="7" max="7" width="20.375" hidden="1" customWidth="1"/>
    <col min="8" max="8" width="20" hidden="1" customWidth="1"/>
    <col min="9" max="9" width="53.875" hidden="1" customWidth="1"/>
    <col min="10" max="10" width="21.125" hidden="1" customWidth="1"/>
    <col min="11" max="11" width="29.375" hidden="1" customWidth="1"/>
    <col min="12" max="12" width="29.625" hidden="1" customWidth="1"/>
    <col min="13" max="13" width="25.5" hidden="1" customWidth="1"/>
    <col min="14" max="14" width="32.875" hidden="1" customWidth="1"/>
    <col min="15" max="15" width="27" hidden="1" customWidth="1"/>
    <col min="16" max="16" width="28.375" hidden="1" customWidth="1"/>
    <col min="17" max="17" width="29.625" hidden="1" customWidth="1"/>
    <col min="18" max="18" width="25" hidden="1" customWidth="1"/>
    <col min="19" max="19" width="22.375" bestFit="1" customWidth="1"/>
    <col min="20" max="20" width="10.375" bestFit="1" customWidth="1"/>
    <col min="21" max="21" width="11.75" bestFit="1" customWidth="1"/>
    <col min="22" max="29" width="7.125" bestFit="1" customWidth="1"/>
    <col min="30" max="32" width="8" bestFit="1" customWidth="1"/>
    <col min="33" max="39" width="7.125" bestFit="1" customWidth="1"/>
  </cols>
  <sheetData>
    <row r="1" spans="1:39" ht="31.5" x14ac:dyDescent="0.25">
      <c r="A1" t="s">
        <v>913</v>
      </c>
      <c r="B1" t="s">
        <v>914</v>
      </c>
      <c r="C1" t="s">
        <v>915</v>
      </c>
      <c r="D1" t="s">
        <v>916</v>
      </c>
      <c r="E1" s="1" t="s">
        <v>917</v>
      </c>
      <c r="F1" s="1" t="s">
        <v>918</v>
      </c>
      <c r="G1" s="1" t="s">
        <v>0</v>
      </c>
      <c r="H1" s="1" t="s">
        <v>919</v>
      </c>
      <c r="I1" s="1" t="s">
        <v>920</v>
      </c>
      <c r="J1" s="1" t="s">
        <v>921</v>
      </c>
      <c r="K1" s="1" t="s">
        <v>922</v>
      </c>
      <c r="L1" s="1" t="s">
        <v>923</v>
      </c>
      <c r="M1" s="1" t="s">
        <v>924</v>
      </c>
      <c r="N1" s="1" t="s">
        <v>925</v>
      </c>
      <c r="O1" s="1" t="s">
        <v>926</v>
      </c>
      <c r="P1" s="1" t="s">
        <v>927</v>
      </c>
      <c r="Q1" s="1" t="s">
        <v>928</v>
      </c>
      <c r="R1" s="1" t="s">
        <v>929</v>
      </c>
      <c r="S1" s="1" t="s">
        <v>930</v>
      </c>
      <c r="T1" s="1" t="s">
        <v>1314</v>
      </c>
      <c r="U1" t="s">
        <v>1364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1366</v>
      </c>
      <c r="AE1" t="s">
        <v>1367</v>
      </c>
      <c r="AF1" t="s">
        <v>1368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</row>
    <row r="2" spans="1:39" x14ac:dyDescent="0.25">
      <c r="A2" t="s">
        <v>1035</v>
      </c>
      <c r="B2" t="s">
        <v>1036</v>
      </c>
      <c r="C2" t="s">
        <v>42</v>
      </c>
      <c r="D2" t="s">
        <v>398</v>
      </c>
      <c r="E2" t="s">
        <v>112</v>
      </c>
      <c r="F2" s="3">
        <v>409</v>
      </c>
      <c r="G2" s="3">
        <f>_xlfn.NUMBERVALUE(Table_EH_Post_Survey_May_22__2023_11_0056[[#This Row],[Duration (in seconds) - Duration (in seconds)]])</f>
        <v>409</v>
      </c>
      <c r="H2" t="s">
        <v>114</v>
      </c>
      <c r="I2" t="s">
        <v>1037</v>
      </c>
      <c r="J2" t="s">
        <v>1038</v>
      </c>
      <c r="K2" t="s">
        <v>111</v>
      </c>
      <c r="L2" t="s">
        <v>111</v>
      </c>
      <c r="M2" t="s">
        <v>111</v>
      </c>
      <c r="N2" t="s">
        <v>111</v>
      </c>
      <c r="O2" t="s">
        <v>351</v>
      </c>
      <c r="P2" t="s">
        <v>352</v>
      </c>
      <c r="Q2" t="s">
        <v>487</v>
      </c>
      <c r="R2" t="s">
        <v>117</v>
      </c>
      <c r="S2" s="17" t="s">
        <v>480</v>
      </c>
      <c r="T2" s="17" t="str">
        <f>VLOOKUP(Table_EH_Post_Survey_May_22__2023_11_0056[[#This Row],[Q1 - NetID]], Table_EH_Pre_Survey_May_20__2023_08_224[Q1 - NetID Post-Survey], 1, FALSE)</f>
        <v>aac195</v>
      </c>
      <c r="U2" s="4">
        <f>Table_EH_Post_Survey_May_22__2023_11_005[[#This Row],[Q2]]-Table_EH_Pre_Survey_May_20__2023_08_224[[#This Row],[Q2]]</f>
        <v>1</v>
      </c>
      <c r="V2" s="4">
        <f>Table_EH_Post_Survey_May_22__2023_11_005[[#This Row],[Q3_1]]-Table_EH_Pre_Survey_May_20__2023_08_224[[#This Row],[Q3_1]]</f>
        <v>3</v>
      </c>
      <c r="W2" s="4">
        <f>Table_EH_Post_Survey_May_22__2023_11_005[[#This Row],[Q3_2]]-Table_EH_Pre_Survey_May_20__2023_08_224[[#This Row],[Q3_2]]</f>
        <v>2</v>
      </c>
      <c r="X2" s="4">
        <f>Table_EH_Post_Survey_May_22__2023_11_005[[#This Row],[Q3_3]]-Table_EH_Pre_Survey_May_20__2023_08_224[[#This Row],[Q3_3]]</f>
        <v>0</v>
      </c>
      <c r="Y2" s="4">
        <f>Table_EH_Post_Survey_May_22__2023_11_005[[#This Row],[Q3_4]]-Table_EH_Pre_Survey_May_20__2023_08_224[[#This Row],[Q3_4]]</f>
        <v>1</v>
      </c>
      <c r="Z2" s="4">
        <f>Table_EH_Post_Survey_May_22__2023_11_005[[#This Row],[Q3_5]]-Table_EH_Pre_Survey_May_20__2023_08_224[[#This Row],[Q3_5]]</f>
        <v>1</v>
      </c>
      <c r="AA2" s="4">
        <f>Table_EH_Post_Survey_May_22__2023_11_005[[#This Row],[Q3_6]]-Table_EH_Pre_Survey_May_20__2023_08_224[[#This Row],[Q3_6]]</f>
        <v>1</v>
      </c>
      <c r="AB2" s="4">
        <f>Table_EH_Post_Survey_May_22__2023_11_005[[#This Row],[Q3_7]]-Table_EH_Pre_Survey_May_20__2023_08_224[[#This Row],[Q3_7]]</f>
        <v>3</v>
      </c>
      <c r="AC2" s="4">
        <f>Table_EH_Post_Survey_May_22__2023_11_005[[#This Row],[Q4_1]]-Table_EH_Pre_Survey_May_20__2023_08_224[[#This Row],[Q4_1]]</f>
        <v>-1.5</v>
      </c>
      <c r="AD2" s="4">
        <f>Table_EH_Post_Survey_May_22__2023_11_005[[#This Row],[Q5 Coded Responses]]-Table_EH_Pre_Survey_May_20__2023_08_224[[#This Row],[Q5 Coded Responses]]</f>
        <v>0</v>
      </c>
      <c r="AE2" s="4">
        <f>Table_EH_Post_Survey_May_22__2023_11_005[[#This Row],[Q6 Coded Responses]]-Table_EH_Pre_Survey_May_20__2023_08_224[[#This Row],[Q6 Coded Responses]]</f>
        <v>0</v>
      </c>
      <c r="AF2" s="4">
        <f>Table_EH_Post_Survey_May_22__2023_11_005[[#This Row],[Q7 Responses Coded]]-Table_EH_Pre_Survey_May_20__2023_08_224[[#This Row],[Q7 Responses Coded]]</f>
        <v>1</v>
      </c>
      <c r="AG2" s="4">
        <f>Table_EH_Post_Survey_May_22__2023_11_005[[#This Row],[Q8_1]]-Table_EH_Pre_Survey_May_20__2023_08_224[[#This Row],[Q8_1]]</f>
        <v>1</v>
      </c>
      <c r="AH2" s="4">
        <f>Table_EH_Post_Survey_May_22__2023_11_005[[#This Row],[Q8_2]]-Table_EH_Pre_Survey_May_20__2023_08_224[[#This Row],[Q8_2]]</f>
        <v>2</v>
      </c>
      <c r="AI2" s="4">
        <f>Table_EH_Post_Survey_May_22__2023_11_005[[#This Row],[Q8_3]]-Table_EH_Pre_Survey_May_20__2023_08_224[[#This Row],[Q8_3]]</f>
        <v>1</v>
      </c>
      <c r="AJ2" s="4">
        <f>Table_EH_Post_Survey_May_22__2023_11_005[[#This Row],[Q8_4]]-Table_EH_Pre_Survey_May_20__2023_08_224[[#This Row],[Q8_4]]</f>
        <v>0</v>
      </c>
      <c r="AK2" s="4">
        <f>Table_EH_Post_Survey_May_22__2023_11_005[[#This Row],[Q8_5]]-Table_EH_Pre_Survey_May_20__2023_08_224[[#This Row],[Q8_5]]</f>
        <v>0</v>
      </c>
      <c r="AL2" s="4">
        <f>Table_EH_Post_Survey_May_22__2023_11_005[[#This Row],[Q8_6]]-Table_EH_Pre_Survey_May_20__2023_08_224[[#This Row],[Q8_6]]</f>
        <v>3</v>
      </c>
      <c r="AM2" s="4">
        <f>Table_EH_Post_Survey_May_22__2023_11_005[[#This Row],[Q9_1]]-Table_EH_Pre_Survey_May_20__2023_08_224[[#This Row],[Q9_1]]</f>
        <v>5</v>
      </c>
    </row>
    <row r="3" spans="1:39" x14ac:dyDescent="0.25">
      <c r="A3" t="s">
        <v>1184</v>
      </c>
      <c r="B3" t="s">
        <v>1185</v>
      </c>
      <c r="C3" t="s">
        <v>42</v>
      </c>
      <c r="D3" t="s">
        <v>307</v>
      </c>
      <c r="E3" t="s">
        <v>112</v>
      </c>
      <c r="F3" s="3">
        <v>77</v>
      </c>
      <c r="G3" s="3">
        <f>_xlfn.NUMBERVALUE(Table_EH_Post_Survey_May_22__2023_11_0056[[#This Row],[Duration (in seconds) - Duration (in seconds)]])</f>
        <v>77</v>
      </c>
      <c r="H3" t="s">
        <v>114</v>
      </c>
      <c r="I3" t="s">
        <v>1186</v>
      </c>
      <c r="J3" t="s">
        <v>1187</v>
      </c>
      <c r="K3" t="s">
        <v>111</v>
      </c>
      <c r="L3" t="s">
        <v>111</v>
      </c>
      <c r="M3" t="s">
        <v>111</v>
      </c>
      <c r="N3" t="s">
        <v>111</v>
      </c>
      <c r="O3" t="s">
        <v>311</v>
      </c>
      <c r="P3" t="s">
        <v>312</v>
      </c>
      <c r="Q3" t="s">
        <v>127</v>
      </c>
      <c r="R3" t="s">
        <v>117</v>
      </c>
      <c r="S3" s="17" t="s">
        <v>313</v>
      </c>
      <c r="T3" s="17" t="str">
        <f>VLOOKUP(Table_EH_Post_Survey_May_22__2023_11_0056[[#This Row],[Q1 - NetID]], Table_EH_Pre_Survey_May_20__2023_08_224[Q1 - NetID Post-Survey], 1, FALSE)</f>
        <v>aar258</v>
      </c>
      <c r="U3" s="4">
        <f>Table_EH_Post_Survey_May_22__2023_11_005[[#This Row],[Q2]]-Table_EH_Pre_Survey_May_20__2023_08_224[[#This Row],[Q2]]</f>
        <v>1</v>
      </c>
      <c r="V3" s="4">
        <f>Table_EH_Post_Survey_May_22__2023_11_005[[#This Row],[Q3_1]]-Table_EH_Pre_Survey_May_20__2023_08_224[[#This Row],[Q3_1]]</f>
        <v>1</v>
      </c>
      <c r="W3" s="4">
        <f>Table_EH_Post_Survey_May_22__2023_11_005[[#This Row],[Q3_2]]-Table_EH_Pre_Survey_May_20__2023_08_224[[#This Row],[Q3_2]]</f>
        <v>1</v>
      </c>
      <c r="X3" s="4">
        <f>Table_EH_Post_Survey_May_22__2023_11_005[[#This Row],[Q3_3]]-Table_EH_Pre_Survey_May_20__2023_08_224[[#This Row],[Q3_3]]</f>
        <v>1</v>
      </c>
      <c r="Y3" s="4">
        <f>Table_EH_Post_Survey_May_22__2023_11_005[[#This Row],[Q3_4]]-Table_EH_Pre_Survey_May_20__2023_08_224[[#This Row],[Q3_4]]</f>
        <v>1</v>
      </c>
      <c r="Z3" s="4">
        <f>Table_EH_Post_Survey_May_22__2023_11_005[[#This Row],[Q3_5]]-Table_EH_Pre_Survey_May_20__2023_08_224[[#This Row],[Q3_5]]</f>
        <v>1</v>
      </c>
      <c r="AA3" s="4">
        <f>Table_EH_Post_Survey_May_22__2023_11_005[[#This Row],[Q3_6]]-Table_EH_Pre_Survey_May_20__2023_08_224[[#This Row],[Q3_6]]</f>
        <v>1</v>
      </c>
      <c r="AB3" s="4">
        <f>Table_EH_Post_Survey_May_22__2023_11_005[[#This Row],[Q3_7]]-Table_EH_Pre_Survey_May_20__2023_08_224[[#This Row],[Q3_7]]</f>
        <v>2</v>
      </c>
      <c r="AC3" s="4">
        <f>Table_EH_Post_Survey_May_22__2023_11_005[[#This Row],[Q4_1]]-Table_EH_Pre_Survey_May_20__2023_08_224[[#This Row],[Q4_1]]</f>
        <v>1.5</v>
      </c>
      <c r="AD3" s="4">
        <f>Table_EH_Post_Survey_May_22__2023_11_005[[#This Row],[Q5 Coded Responses]]-Table_EH_Pre_Survey_May_20__2023_08_224[[#This Row],[Q5 Coded Responses]]</f>
        <v>1</v>
      </c>
      <c r="AE3" s="4">
        <f>Table_EH_Post_Survey_May_22__2023_11_005[[#This Row],[Q6 Coded Responses]]-Table_EH_Pre_Survey_May_20__2023_08_224[[#This Row],[Q6 Coded Responses]]</f>
        <v>0</v>
      </c>
      <c r="AF3" s="4">
        <f>Table_EH_Post_Survey_May_22__2023_11_005[[#This Row],[Q7 Responses Coded]]-Table_EH_Pre_Survey_May_20__2023_08_224[[#This Row],[Q7 Responses Coded]]</f>
        <v>0</v>
      </c>
      <c r="AG3" s="4">
        <f>Table_EH_Post_Survey_May_22__2023_11_005[[#This Row],[Q8_1]]-Table_EH_Pre_Survey_May_20__2023_08_224[[#This Row],[Q8_1]]</f>
        <v>3</v>
      </c>
      <c r="AH3" s="4">
        <f>Table_EH_Post_Survey_May_22__2023_11_005[[#This Row],[Q8_2]]-Table_EH_Pre_Survey_May_20__2023_08_224[[#This Row],[Q8_2]]</f>
        <v>4</v>
      </c>
      <c r="AI3" s="4">
        <f>Table_EH_Post_Survey_May_22__2023_11_005[[#This Row],[Q8_3]]-Table_EH_Pre_Survey_May_20__2023_08_224[[#This Row],[Q8_3]]</f>
        <v>2</v>
      </c>
      <c r="AJ3" s="4">
        <f>Table_EH_Post_Survey_May_22__2023_11_005[[#This Row],[Q8_4]]-Table_EH_Pre_Survey_May_20__2023_08_224[[#This Row],[Q8_4]]</f>
        <v>4</v>
      </c>
      <c r="AK3" s="4">
        <f>Table_EH_Post_Survey_May_22__2023_11_005[[#This Row],[Q8_5]]-Table_EH_Pre_Survey_May_20__2023_08_224[[#This Row],[Q8_5]]</f>
        <v>2</v>
      </c>
      <c r="AL3" s="4">
        <f>Table_EH_Post_Survey_May_22__2023_11_005[[#This Row],[Q8_6]]-Table_EH_Pre_Survey_May_20__2023_08_224[[#This Row],[Q8_6]]</f>
        <v>2</v>
      </c>
      <c r="AM3" s="4">
        <f>Table_EH_Post_Survey_May_22__2023_11_005[[#This Row],[Q9_1]]-Table_EH_Pre_Survey_May_20__2023_08_224[[#This Row],[Q9_1]]</f>
        <v>2</v>
      </c>
    </row>
    <row r="4" spans="1:39" x14ac:dyDescent="0.25">
      <c r="A4" t="s">
        <v>1132</v>
      </c>
      <c r="B4" t="s">
        <v>1133</v>
      </c>
      <c r="C4" t="s">
        <v>42</v>
      </c>
      <c r="D4" t="s">
        <v>307</v>
      </c>
      <c r="E4" t="s">
        <v>112</v>
      </c>
      <c r="F4" s="3">
        <v>53</v>
      </c>
      <c r="G4" s="3">
        <f>_xlfn.NUMBERVALUE(Table_EH_Post_Survey_May_22__2023_11_0056[[#This Row],[Duration (in seconds) - Duration (in seconds)]])</f>
        <v>53</v>
      </c>
      <c r="H4" t="s">
        <v>114</v>
      </c>
      <c r="I4" t="s">
        <v>1133</v>
      </c>
      <c r="J4" t="s">
        <v>1134</v>
      </c>
      <c r="K4" t="s">
        <v>111</v>
      </c>
      <c r="L4" t="s">
        <v>111</v>
      </c>
      <c r="M4" t="s">
        <v>111</v>
      </c>
      <c r="N4" t="s">
        <v>111</v>
      </c>
      <c r="O4" t="s">
        <v>311</v>
      </c>
      <c r="P4" t="s">
        <v>312</v>
      </c>
      <c r="Q4" t="s">
        <v>127</v>
      </c>
      <c r="R4" t="s">
        <v>117</v>
      </c>
      <c r="S4" s="17" t="s">
        <v>1135</v>
      </c>
      <c r="T4" s="17" t="str">
        <f>VLOOKUP(Table_EH_Post_Survey_May_22__2023_11_0056[[#This Row],[Q1 - NetID]], Table_EH_Pre_Survey_May_20__2023_08_224[Q1 - NetID Post-Survey], 1, FALSE)</f>
        <v>Agg108</v>
      </c>
      <c r="U4" s="4">
        <f>Table_EH_Post_Survey_May_22__2023_11_005[[#This Row],[Q2]]-Table_EH_Pre_Survey_May_20__2023_08_224[[#This Row],[Q2]]</f>
        <v>1</v>
      </c>
      <c r="V4" s="4">
        <f>Table_EH_Post_Survey_May_22__2023_11_005[[#This Row],[Q3_1]]-Table_EH_Pre_Survey_May_20__2023_08_224[[#This Row],[Q3_1]]</f>
        <v>-1</v>
      </c>
      <c r="W4" s="4">
        <f>Table_EH_Post_Survey_May_22__2023_11_005[[#This Row],[Q3_2]]-Table_EH_Pre_Survey_May_20__2023_08_224[[#This Row],[Q3_2]]</f>
        <v>-1</v>
      </c>
      <c r="X4" s="4">
        <f>Table_EH_Post_Survey_May_22__2023_11_005[[#This Row],[Q3_3]]-Table_EH_Pre_Survey_May_20__2023_08_224[[#This Row],[Q3_3]]</f>
        <v>-1</v>
      </c>
      <c r="Y4" s="4">
        <f>Table_EH_Post_Survey_May_22__2023_11_005[[#This Row],[Q3_4]]-Table_EH_Pre_Survey_May_20__2023_08_224[[#This Row],[Q3_4]]</f>
        <v>2</v>
      </c>
      <c r="Z4" s="4">
        <f>Table_EH_Post_Survey_May_22__2023_11_005[[#This Row],[Q3_5]]-Table_EH_Pre_Survey_May_20__2023_08_224[[#This Row],[Q3_5]]</f>
        <v>2</v>
      </c>
      <c r="AA4" s="4">
        <f>Table_EH_Post_Survey_May_22__2023_11_005[[#This Row],[Q3_6]]-Table_EH_Pre_Survey_May_20__2023_08_224[[#This Row],[Q3_6]]</f>
        <v>0</v>
      </c>
      <c r="AB4" s="4">
        <f>Table_EH_Post_Survey_May_22__2023_11_005[[#This Row],[Q3_7]]-Table_EH_Pre_Survey_May_20__2023_08_224[[#This Row],[Q3_7]]</f>
        <v>2</v>
      </c>
      <c r="AC4" s="4">
        <f>Table_EH_Post_Survey_May_22__2023_11_005[[#This Row],[Q4_1]]-Table_EH_Pre_Survey_May_20__2023_08_224[[#This Row],[Q4_1]]</f>
        <v>0</v>
      </c>
      <c r="AD4" s="4">
        <f>Table_EH_Post_Survey_May_22__2023_11_005[[#This Row],[Q5 Coded Responses]]-Table_EH_Pre_Survey_May_20__2023_08_224[[#This Row],[Q5 Coded Responses]]</f>
        <v>0</v>
      </c>
      <c r="AE4" s="4">
        <f>Table_EH_Post_Survey_May_22__2023_11_005[[#This Row],[Q6 Coded Responses]]-Table_EH_Pre_Survey_May_20__2023_08_224[[#This Row],[Q6 Coded Responses]]</f>
        <v>0</v>
      </c>
      <c r="AF4" s="4">
        <f>Table_EH_Post_Survey_May_22__2023_11_005[[#This Row],[Q7 Responses Coded]]-Table_EH_Pre_Survey_May_20__2023_08_224[[#This Row],[Q7 Responses Coded]]</f>
        <v>0</v>
      </c>
      <c r="AG4" s="4">
        <f>Table_EH_Post_Survey_May_22__2023_11_005[[#This Row],[Q8_1]]-Table_EH_Pre_Survey_May_20__2023_08_224[[#This Row],[Q8_1]]</f>
        <v>0</v>
      </c>
      <c r="AH4" s="4">
        <f>Table_EH_Post_Survey_May_22__2023_11_005[[#This Row],[Q8_2]]-Table_EH_Pre_Survey_May_20__2023_08_224[[#This Row],[Q8_2]]</f>
        <v>-1</v>
      </c>
      <c r="AI4" s="4">
        <f>Table_EH_Post_Survey_May_22__2023_11_005[[#This Row],[Q8_3]]-Table_EH_Pre_Survey_May_20__2023_08_224[[#This Row],[Q8_3]]</f>
        <v>0</v>
      </c>
      <c r="AJ4" s="4">
        <f>Table_EH_Post_Survey_May_22__2023_11_005[[#This Row],[Q8_4]]-Table_EH_Pre_Survey_May_20__2023_08_224[[#This Row],[Q8_4]]</f>
        <v>1</v>
      </c>
      <c r="AK4" s="4">
        <f>Table_EH_Post_Survey_May_22__2023_11_005[[#This Row],[Q8_5]]-Table_EH_Pre_Survey_May_20__2023_08_224[[#This Row],[Q8_5]]</f>
        <v>-1</v>
      </c>
      <c r="AL4" s="4">
        <f>Table_EH_Post_Survey_May_22__2023_11_005[[#This Row],[Q8_6]]-Table_EH_Pre_Survey_May_20__2023_08_224[[#This Row],[Q8_6]]</f>
        <v>-1</v>
      </c>
      <c r="AM4" s="4">
        <f>Table_EH_Post_Survey_May_22__2023_11_005[[#This Row],[Q9_1]]-Table_EH_Pre_Survey_May_20__2023_08_224[[#This Row],[Q9_1]]</f>
        <v>4</v>
      </c>
    </row>
    <row r="5" spans="1:39" x14ac:dyDescent="0.25">
      <c r="A5" t="s">
        <v>984</v>
      </c>
      <c r="B5" t="s">
        <v>985</v>
      </c>
      <c r="C5" t="s">
        <v>42</v>
      </c>
      <c r="D5" t="s">
        <v>986</v>
      </c>
      <c r="E5" s="2" t="s">
        <v>112</v>
      </c>
      <c r="F5" s="3">
        <v>93</v>
      </c>
      <c r="G5" s="3">
        <f>_xlfn.NUMBERVALUE(Table_EH_Post_Survey_May_22__2023_11_0056[[#This Row],[Duration (in seconds) - Duration (in seconds)]])</f>
        <v>93</v>
      </c>
      <c r="H5" t="s">
        <v>114</v>
      </c>
      <c r="I5" t="s">
        <v>985</v>
      </c>
      <c r="J5" t="s">
        <v>987</v>
      </c>
      <c r="K5" t="s">
        <v>111</v>
      </c>
      <c r="L5" t="s">
        <v>111</v>
      </c>
      <c r="M5" t="s">
        <v>111</v>
      </c>
      <c r="N5" t="s">
        <v>111</v>
      </c>
      <c r="O5" t="s">
        <v>988</v>
      </c>
      <c r="P5" t="s">
        <v>989</v>
      </c>
      <c r="Q5" t="s">
        <v>487</v>
      </c>
      <c r="R5" t="s">
        <v>117</v>
      </c>
      <c r="S5" s="17" t="s">
        <v>990</v>
      </c>
      <c r="T5" s="17" t="str">
        <f>VLOOKUP(Table_EH_Post_Survey_May_22__2023_11_0056[[#This Row],[Q1 - NetID]], Table_EH_Pre_Survey_May_20__2023_08_224[Q1 - NetID Post-Survey], 1, FALSE)</f>
        <v>amc754</v>
      </c>
      <c r="U5" s="4">
        <f>Table_EH_Post_Survey_May_22__2023_11_005[[#This Row],[Q2]]-Table_EH_Pre_Survey_May_20__2023_08_224[[#This Row],[Q2]]</f>
        <v>0</v>
      </c>
      <c r="V5" s="4">
        <f>Table_EH_Post_Survey_May_22__2023_11_005[[#This Row],[Q3_1]]-Table_EH_Pre_Survey_May_20__2023_08_224[[#This Row],[Q3_1]]</f>
        <v>1</v>
      </c>
      <c r="W5" s="4">
        <f>Table_EH_Post_Survey_May_22__2023_11_005[[#This Row],[Q3_2]]-Table_EH_Pre_Survey_May_20__2023_08_224[[#This Row],[Q3_2]]</f>
        <v>0</v>
      </c>
      <c r="X5" s="4">
        <f>Table_EH_Post_Survey_May_22__2023_11_005[[#This Row],[Q3_3]]-Table_EH_Pre_Survey_May_20__2023_08_224[[#This Row],[Q3_3]]</f>
        <v>0</v>
      </c>
      <c r="Y5" s="4">
        <f>Table_EH_Post_Survey_May_22__2023_11_005[[#This Row],[Q3_4]]-Table_EH_Pre_Survey_May_20__2023_08_224[[#This Row],[Q3_4]]</f>
        <v>0</v>
      </c>
      <c r="Z5" s="4">
        <f>Table_EH_Post_Survey_May_22__2023_11_005[[#This Row],[Q3_5]]-Table_EH_Pre_Survey_May_20__2023_08_224[[#This Row],[Q3_5]]</f>
        <v>-1</v>
      </c>
      <c r="AA5" s="4">
        <f>Table_EH_Post_Survey_May_22__2023_11_005[[#This Row],[Q3_6]]-Table_EH_Pre_Survey_May_20__2023_08_224[[#This Row],[Q3_6]]</f>
        <v>0</v>
      </c>
      <c r="AB5" s="4">
        <f>Table_EH_Post_Survey_May_22__2023_11_005[[#This Row],[Q3_7]]-Table_EH_Pre_Survey_May_20__2023_08_224[[#This Row],[Q3_7]]</f>
        <v>0</v>
      </c>
      <c r="AC5" s="4">
        <f>Table_EH_Post_Survey_May_22__2023_11_005[[#This Row],[Q4_1]]-Table_EH_Pre_Survey_May_20__2023_08_224[[#This Row],[Q4_1]]</f>
        <v>0</v>
      </c>
      <c r="AD5" s="4">
        <f>Table_EH_Post_Survey_May_22__2023_11_005[[#This Row],[Q5 Coded Responses]]-Table_EH_Pre_Survey_May_20__2023_08_224[[#This Row],[Q5 Coded Responses]]</f>
        <v>1</v>
      </c>
      <c r="AE5" s="4">
        <f>Table_EH_Post_Survey_May_22__2023_11_005[[#This Row],[Q6 Coded Responses]]-Table_EH_Pre_Survey_May_20__2023_08_224[[#This Row],[Q6 Coded Responses]]</f>
        <v>0</v>
      </c>
      <c r="AF5" s="4">
        <f>Table_EH_Post_Survey_May_22__2023_11_005[[#This Row],[Q7 Responses Coded]]-Table_EH_Pre_Survey_May_20__2023_08_224[[#This Row],[Q7 Responses Coded]]</f>
        <v>0</v>
      </c>
      <c r="AG5" s="4">
        <f>Table_EH_Post_Survey_May_22__2023_11_005[[#This Row],[Q8_1]]-Table_EH_Pre_Survey_May_20__2023_08_224[[#This Row],[Q8_1]]</f>
        <v>3</v>
      </c>
      <c r="AH5" s="4">
        <f>Table_EH_Post_Survey_May_22__2023_11_005[[#This Row],[Q8_2]]-Table_EH_Pre_Survey_May_20__2023_08_224[[#This Row],[Q8_2]]</f>
        <v>2</v>
      </c>
      <c r="AI5" s="4">
        <f>Table_EH_Post_Survey_May_22__2023_11_005[[#This Row],[Q8_3]]-Table_EH_Pre_Survey_May_20__2023_08_224[[#This Row],[Q8_3]]</f>
        <v>2</v>
      </c>
      <c r="AJ5" s="4">
        <f>Table_EH_Post_Survey_May_22__2023_11_005[[#This Row],[Q8_4]]-Table_EH_Pre_Survey_May_20__2023_08_224[[#This Row],[Q8_4]]</f>
        <v>3</v>
      </c>
      <c r="AK5" s="4">
        <f>Table_EH_Post_Survey_May_22__2023_11_005[[#This Row],[Q8_5]]-Table_EH_Pre_Survey_May_20__2023_08_224[[#This Row],[Q8_5]]</f>
        <v>2</v>
      </c>
      <c r="AL5" s="4">
        <f>Table_EH_Post_Survey_May_22__2023_11_005[[#This Row],[Q8_6]]-Table_EH_Pre_Survey_May_20__2023_08_224[[#This Row],[Q8_6]]</f>
        <v>1</v>
      </c>
      <c r="AM5" s="4">
        <f>Table_EH_Post_Survey_May_22__2023_11_005[[#This Row],[Q9_1]]-Table_EH_Pre_Survey_May_20__2023_08_224[[#This Row],[Q9_1]]</f>
        <v>0</v>
      </c>
    </row>
    <row r="6" spans="1:39" x14ac:dyDescent="0.25">
      <c r="A6" t="s">
        <v>972</v>
      </c>
      <c r="B6" t="s">
        <v>973</v>
      </c>
      <c r="C6" t="s">
        <v>42</v>
      </c>
      <c r="D6" t="s">
        <v>398</v>
      </c>
      <c r="E6" t="s">
        <v>112</v>
      </c>
      <c r="F6" s="3">
        <v>77</v>
      </c>
      <c r="G6" s="3">
        <f>_xlfn.NUMBERVALUE(Table_EH_Post_Survey_May_22__2023_11_0056[[#This Row],[Duration (in seconds) - Duration (in seconds)]])</f>
        <v>77</v>
      </c>
      <c r="H6" t="s">
        <v>114</v>
      </c>
      <c r="I6" t="s">
        <v>973</v>
      </c>
      <c r="J6" t="s">
        <v>974</v>
      </c>
      <c r="K6" t="s">
        <v>111</v>
      </c>
      <c r="L6" t="s">
        <v>111</v>
      </c>
      <c r="M6" t="s">
        <v>111</v>
      </c>
      <c r="N6" t="s">
        <v>111</v>
      </c>
      <c r="O6" t="s">
        <v>351</v>
      </c>
      <c r="P6" t="s">
        <v>352</v>
      </c>
      <c r="Q6" t="s">
        <v>487</v>
      </c>
      <c r="R6" t="s">
        <v>117</v>
      </c>
      <c r="S6" s="17" t="s">
        <v>401</v>
      </c>
      <c r="T6" s="17" t="str">
        <f>VLOOKUP(Table_EH_Post_Survey_May_22__2023_11_0056[[#This Row],[Q1 - NetID]], Table_EH_Pre_Survey_May_20__2023_08_224[Q1 - NetID Post-Survey], 1, FALSE)</f>
        <v>ar1522</v>
      </c>
      <c r="U6" s="4">
        <f>Table_EH_Post_Survey_May_22__2023_11_005[[#This Row],[Q2]]-Table_EH_Pre_Survey_May_20__2023_08_224[[#This Row],[Q2]]</f>
        <v>0</v>
      </c>
      <c r="V6" s="4">
        <f>Table_EH_Post_Survey_May_22__2023_11_005[[#This Row],[Q3_1]]-Table_EH_Pre_Survey_May_20__2023_08_224[[#This Row],[Q3_1]]</f>
        <v>2</v>
      </c>
      <c r="W6" s="4">
        <f>Table_EH_Post_Survey_May_22__2023_11_005[[#This Row],[Q3_2]]-Table_EH_Pre_Survey_May_20__2023_08_224[[#This Row],[Q3_2]]</f>
        <v>0</v>
      </c>
      <c r="X6" s="4">
        <f>Table_EH_Post_Survey_May_22__2023_11_005[[#This Row],[Q3_3]]-Table_EH_Pre_Survey_May_20__2023_08_224[[#This Row],[Q3_3]]</f>
        <v>0</v>
      </c>
      <c r="Y6" s="4">
        <f>Table_EH_Post_Survey_May_22__2023_11_005[[#This Row],[Q3_4]]-Table_EH_Pre_Survey_May_20__2023_08_224[[#This Row],[Q3_4]]</f>
        <v>0</v>
      </c>
      <c r="Z6" s="4">
        <f>Table_EH_Post_Survey_May_22__2023_11_005[[#This Row],[Q3_5]]-Table_EH_Pre_Survey_May_20__2023_08_224[[#This Row],[Q3_5]]</f>
        <v>-2</v>
      </c>
      <c r="AA6" s="4">
        <f>Table_EH_Post_Survey_May_22__2023_11_005[[#This Row],[Q3_6]]-Table_EH_Pre_Survey_May_20__2023_08_224[[#This Row],[Q3_6]]</f>
        <v>0</v>
      </c>
      <c r="AB6" s="4">
        <f>Table_EH_Post_Survey_May_22__2023_11_005[[#This Row],[Q3_7]]-Table_EH_Pre_Survey_May_20__2023_08_224[[#This Row],[Q3_7]]</f>
        <v>0</v>
      </c>
      <c r="AC6" s="4">
        <f>Table_EH_Post_Survey_May_22__2023_11_005[[#This Row],[Q4_1]]-Table_EH_Pre_Survey_May_20__2023_08_224[[#This Row],[Q4_1]]</f>
        <v>1</v>
      </c>
      <c r="AD6" s="4">
        <f>Table_EH_Post_Survey_May_22__2023_11_005[[#This Row],[Q5 Coded Responses]]-Table_EH_Pre_Survey_May_20__2023_08_224[[#This Row],[Q5 Coded Responses]]</f>
        <v>1</v>
      </c>
      <c r="AE6" s="4">
        <f>Table_EH_Post_Survey_May_22__2023_11_005[[#This Row],[Q6 Coded Responses]]-Table_EH_Pre_Survey_May_20__2023_08_224[[#This Row],[Q6 Coded Responses]]</f>
        <v>1</v>
      </c>
      <c r="AF6" s="4">
        <f>Table_EH_Post_Survey_May_22__2023_11_005[[#This Row],[Q7 Responses Coded]]-Table_EH_Pre_Survey_May_20__2023_08_224[[#This Row],[Q7 Responses Coded]]</f>
        <v>1</v>
      </c>
      <c r="AG6" s="4">
        <f>Table_EH_Post_Survey_May_22__2023_11_005[[#This Row],[Q8_1]]-Table_EH_Pre_Survey_May_20__2023_08_224[[#This Row],[Q8_1]]</f>
        <v>0</v>
      </c>
      <c r="AH6" s="4">
        <f>Table_EH_Post_Survey_May_22__2023_11_005[[#This Row],[Q8_2]]-Table_EH_Pre_Survey_May_20__2023_08_224[[#This Row],[Q8_2]]</f>
        <v>2</v>
      </c>
      <c r="AI6" s="4">
        <f>Table_EH_Post_Survey_May_22__2023_11_005[[#This Row],[Q8_3]]-Table_EH_Pre_Survey_May_20__2023_08_224[[#This Row],[Q8_3]]</f>
        <v>0</v>
      </c>
      <c r="AJ6" s="4">
        <f>Table_EH_Post_Survey_May_22__2023_11_005[[#This Row],[Q8_4]]-Table_EH_Pre_Survey_May_20__2023_08_224[[#This Row],[Q8_4]]</f>
        <v>2</v>
      </c>
      <c r="AK6" s="4">
        <f>Table_EH_Post_Survey_May_22__2023_11_005[[#This Row],[Q8_5]]-Table_EH_Pre_Survey_May_20__2023_08_224[[#This Row],[Q8_5]]</f>
        <v>0</v>
      </c>
      <c r="AL6" s="4">
        <f>Table_EH_Post_Survey_May_22__2023_11_005[[#This Row],[Q8_6]]-Table_EH_Pre_Survey_May_20__2023_08_224[[#This Row],[Q8_6]]</f>
        <v>0</v>
      </c>
      <c r="AM6" s="4">
        <f>Table_EH_Post_Survey_May_22__2023_11_005[[#This Row],[Q9_1]]-Table_EH_Pre_Survey_May_20__2023_08_224[[#This Row],[Q9_1]]</f>
        <v>2</v>
      </c>
    </row>
    <row r="7" spans="1:39" x14ac:dyDescent="0.25">
      <c r="A7" t="s">
        <v>1087</v>
      </c>
      <c r="B7" t="s">
        <v>1088</v>
      </c>
      <c r="C7" t="s">
        <v>42</v>
      </c>
      <c r="D7" t="s">
        <v>307</v>
      </c>
      <c r="E7" t="s">
        <v>112</v>
      </c>
      <c r="F7" s="3">
        <v>177</v>
      </c>
      <c r="G7" s="3">
        <f>_xlfn.NUMBERVALUE(Table_EH_Post_Survey_May_22__2023_11_0056[[#This Row],[Duration (in seconds) - Duration (in seconds)]])</f>
        <v>177</v>
      </c>
      <c r="H7" t="s">
        <v>114</v>
      </c>
      <c r="I7" t="s">
        <v>1089</v>
      </c>
      <c r="J7" t="s">
        <v>1090</v>
      </c>
      <c r="K7" t="s">
        <v>111</v>
      </c>
      <c r="L7" t="s">
        <v>111</v>
      </c>
      <c r="M7" t="s">
        <v>111</v>
      </c>
      <c r="N7" t="s">
        <v>111</v>
      </c>
      <c r="O7" t="s">
        <v>311</v>
      </c>
      <c r="P7" t="s">
        <v>312</v>
      </c>
      <c r="Q7" t="s">
        <v>127</v>
      </c>
      <c r="R7" t="s">
        <v>117</v>
      </c>
      <c r="S7" s="17" t="s">
        <v>1091</v>
      </c>
      <c r="T7" s="17" t="str">
        <f>VLOOKUP(Table_EH_Post_Survey_May_22__2023_11_0056[[#This Row],[Q1 - NetID]], Table_EH_Pre_Survey_May_20__2023_08_224[Q1 - NetID Post-Survey], 1, FALSE)</f>
        <v>crk117</v>
      </c>
      <c r="U7" s="4">
        <f>Table_EH_Post_Survey_May_22__2023_11_005[[#This Row],[Q2]]-Table_EH_Pre_Survey_May_20__2023_08_224[[#This Row],[Q2]]</f>
        <v>0</v>
      </c>
      <c r="V7" s="4">
        <f>Table_EH_Post_Survey_May_22__2023_11_005[[#This Row],[Q3_1]]-Table_EH_Pre_Survey_May_20__2023_08_224[[#This Row],[Q3_1]]</f>
        <v>1</v>
      </c>
      <c r="W7" s="4">
        <f>Table_EH_Post_Survey_May_22__2023_11_005[[#This Row],[Q3_2]]-Table_EH_Pre_Survey_May_20__2023_08_224[[#This Row],[Q3_2]]</f>
        <v>0</v>
      </c>
      <c r="X7" s="4">
        <f>Table_EH_Post_Survey_May_22__2023_11_005[[#This Row],[Q3_3]]-Table_EH_Pre_Survey_May_20__2023_08_224[[#This Row],[Q3_3]]</f>
        <v>0</v>
      </c>
      <c r="Y7" s="4">
        <f>Table_EH_Post_Survey_May_22__2023_11_005[[#This Row],[Q3_4]]-Table_EH_Pre_Survey_May_20__2023_08_224[[#This Row],[Q3_4]]</f>
        <v>0</v>
      </c>
      <c r="Z7" s="4">
        <f>Table_EH_Post_Survey_May_22__2023_11_005[[#This Row],[Q3_5]]-Table_EH_Pre_Survey_May_20__2023_08_224[[#This Row],[Q3_5]]</f>
        <v>0</v>
      </c>
      <c r="AA7" s="4">
        <f>Table_EH_Post_Survey_May_22__2023_11_005[[#This Row],[Q3_6]]-Table_EH_Pre_Survey_May_20__2023_08_224[[#This Row],[Q3_6]]</f>
        <v>0</v>
      </c>
      <c r="AB7" s="4">
        <f>Table_EH_Post_Survey_May_22__2023_11_005[[#This Row],[Q3_7]]-Table_EH_Pre_Survey_May_20__2023_08_224[[#This Row],[Q3_7]]</f>
        <v>0</v>
      </c>
      <c r="AC7" s="4">
        <f>Table_EH_Post_Survey_May_22__2023_11_005[[#This Row],[Q4_1]]-Table_EH_Pre_Survey_May_20__2023_08_224[[#This Row],[Q4_1]]</f>
        <v>-1.5</v>
      </c>
      <c r="AD7" s="4">
        <f>Table_EH_Post_Survey_May_22__2023_11_005[[#This Row],[Q5 Coded Responses]]-Table_EH_Pre_Survey_May_20__2023_08_224[[#This Row],[Q5 Coded Responses]]</f>
        <v>0</v>
      </c>
      <c r="AE7" s="4">
        <f>Table_EH_Post_Survey_May_22__2023_11_005[[#This Row],[Q6 Coded Responses]]-Table_EH_Pre_Survey_May_20__2023_08_224[[#This Row],[Q6 Coded Responses]]</f>
        <v>1</v>
      </c>
      <c r="AF7" s="4">
        <f>Table_EH_Post_Survey_May_22__2023_11_005[[#This Row],[Q7 Responses Coded]]-Table_EH_Pre_Survey_May_20__2023_08_224[[#This Row],[Q7 Responses Coded]]</f>
        <v>-1</v>
      </c>
      <c r="AG7" s="4">
        <f>Table_EH_Post_Survey_May_22__2023_11_005[[#This Row],[Q8_1]]-Table_EH_Pre_Survey_May_20__2023_08_224[[#This Row],[Q8_1]]</f>
        <v>3</v>
      </c>
      <c r="AH7" s="4">
        <f>Table_EH_Post_Survey_May_22__2023_11_005[[#This Row],[Q8_2]]-Table_EH_Pre_Survey_May_20__2023_08_224[[#This Row],[Q8_2]]</f>
        <v>4</v>
      </c>
      <c r="AI7" s="4">
        <f>Table_EH_Post_Survey_May_22__2023_11_005[[#This Row],[Q8_3]]-Table_EH_Pre_Survey_May_20__2023_08_224[[#This Row],[Q8_3]]</f>
        <v>3</v>
      </c>
      <c r="AJ7" s="4">
        <f>Table_EH_Post_Survey_May_22__2023_11_005[[#This Row],[Q8_4]]-Table_EH_Pre_Survey_May_20__2023_08_224[[#This Row],[Q8_4]]</f>
        <v>3</v>
      </c>
      <c r="AK7" s="4">
        <f>Table_EH_Post_Survey_May_22__2023_11_005[[#This Row],[Q8_5]]-Table_EH_Pre_Survey_May_20__2023_08_224[[#This Row],[Q8_5]]</f>
        <v>3</v>
      </c>
      <c r="AL7" s="4">
        <f>Table_EH_Post_Survey_May_22__2023_11_005[[#This Row],[Q8_6]]-Table_EH_Pre_Survey_May_20__2023_08_224[[#This Row],[Q8_6]]</f>
        <v>1</v>
      </c>
      <c r="AM7" s="4">
        <f>Table_EH_Post_Survey_May_22__2023_11_005[[#This Row],[Q9_1]]-Table_EH_Pre_Survey_May_20__2023_08_224[[#This Row],[Q9_1]]</f>
        <v>3</v>
      </c>
    </row>
    <row r="8" spans="1:39" x14ac:dyDescent="0.25">
      <c r="A8" t="s">
        <v>1242</v>
      </c>
      <c r="B8" t="s">
        <v>1243</v>
      </c>
      <c r="C8" t="s">
        <v>42</v>
      </c>
      <c r="D8" t="s">
        <v>1244</v>
      </c>
      <c r="E8" t="s">
        <v>112</v>
      </c>
      <c r="F8" s="3">
        <v>90</v>
      </c>
      <c r="G8" s="3">
        <f>_xlfn.NUMBERVALUE(Table_EH_Post_Survey_May_22__2023_11_0056[[#This Row],[Duration (in seconds) - Duration (in seconds)]])</f>
        <v>90</v>
      </c>
      <c r="H8" t="s">
        <v>114</v>
      </c>
      <c r="I8" t="s">
        <v>1243</v>
      </c>
      <c r="J8" t="s">
        <v>1245</v>
      </c>
      <c r="K8" t="s">
        <v>111</v>
      </c>
      <c r="L8" t="s">
        <v>111</v>
      </c>
      <c r="M8" t="s">
        <v>111</v>
      </c>
      <c r="N8" t="s">
        <v>111</v>
      </c>
      <c r="O8" t="s">
        <v>351</v>
      </c>
      <c r="P8" t="s">
        <v>352</v>
      </c>
      <c r="Q8" t="s">
        <v>127</v>
      </c>
      <c r="R8" t="s">
        <v>117</v>
      </c>
      <c r="S8" s="17" t="s">
        <v>449</v>
      </c>
      <c r="T8" s="17" t="str">
        <f>VLOOKUP(Table_EH_Post_Survey_May_22__2023_11_0056[[#This Row],[Q1 - NetID]], Table_EH_Pre_Survey_May_20__2023_08_224[Q1 - NetID Post-Survey], 1, FALSE)</f>
        <v>djs481</v>
      </c>
      <c r="U8" s="4">
        <f>Table_EH_Post_Survey_May_22__2023_11_005[[#This Row],[Q2]]-Table_EH_Pre_Survey_May_20__2023_08_224[[#This Row],[Q2]]</f>
        <v>0</v>
      </c>
      <c r="V8" s="4">
        <f>Table_EH_Post_Survey_May_22__2023_11_005[[#This Row],[Q3_1]]-Table_EH_Pre_Survey_May_20__2023_08_224[[#This Row],[Q3_1]]</f>
        <v>-1</v>
      </c>
      <c r="W8" s="4">
        <f>Table_EH_Post_Survey_May_22__2023_11_005[[#This Row],[Q3_2]]-Table_EH_Pre_Survey_May_20__2023_08_224[[#This Row],[Q3_2]]</f>
        <v>-1</v>
      </c>
      <c r="X8" s="4">
        <f>Table_EH_Post_Survey_May_22__2023_11_005[[#This Row],[Q3_3]]-Table_EH_Pre_Survey_May_20__2023_08_224[[#This Row],[Q3_3]]</f>
        <v>0</v>
      </c>
      <c r="Y8" s="4">
        <f>Table_EH_Post_Survey_May_22__2023_11_005[[#This Row],[Q3_4]]-Table_EH_Pre_Survey_May_20__2023_08_224[[#This Row],[Q3_4]]</f>
        <v>0</v>
      </c>
      <c r="Z8" s="4">
        <f>Table_EH_Post_Survey_May_22__2023_11_005[[#This Row],[Q3_5]]-Table_EH_Pre_Survey_May_20__2023_08_224[[#This Row],[Q3_5]]</f>
        <v>0</v>
      </c>
      <c r="AA8" s="4">
        <f>Table_EH_Post_Survey_May_22__2023_11_005[[#This Row],[Q3_6]]-Table_EH_Pre_Survey_May_20__2023_08_224[[#This Row],[Q3_6]]</f>
        <v>0</v>
      </c>
      <c r="AB8" s="4">
        <f>Table_EH_Post_Survey_May_22__2023_11_005[[#This Row],[Q3_7]]-Table_EH_Pre_Survey_May_20__2023_08_224[[#This Row],[Q3_7]]</f>
        <v>0</v>
      </c>
      <c r="AC8" s="4">
        <f>Table_EH_Post_Survey_May_22__2023_11_005[[#This Row],[Q4_1]]-Table_EH_Pre_Survey_May_20__2023_08_224[[#This Row],[Q4_1]]</f>
        <v>1</v>
      </c>
      <c r="AD8" s="4">
        <f>Table_EH_Post_Survey_May_22__2023_11_005[[#This Row],[Q5 Coded Responses]]-Table_EH_Pre_Survey_May_20__2023_08_224[[#This Row],[Q5 Coded Responses]]</f>
        <v>0</v>
      </c>
      <c r="AE8" s="4">
        <f>Table_EH_Post_Survey_May_22__2023_11_005[[#This Row],[Q6 Coded Responses]]-Table_EH_Pre_Survey_May_20__2023_08_224[[#This Row],[Q6 Coded Responses]]</f>
        <v>1</v>
      </c>
      <c r="AF8" s="4">
        <f>Table_EH_Post_Survey_May_22__2023_11_005[[#This Row],[Q7 Responses Coded]]-Table_EH_Pre_Survey_May_20__2023_08_224[[#This Row],[Q7 Responses Coded]]</f>
        <v>-1</v>
      </c>
      <c r="AG8" s="4">
        <f>Table_EH_Post_Survey_May_22__2023_11_005[[#This Row],[Q8_1]]-Table_EH_Pre_Survey_May_20__2023_08_224[[#This Row],[Q8_1]]</f>
        <v>-1</v>
      </c>
      <c r="AH8" s="4">
        <f>Table_EH_Post_Survey_May_22__2023_11_005[[#This Row],[Q8_2]]-Table_EH_Pre_Survey_May_20__2023_08_224[[#This Row],[Q8_2]]</f>
        <v>-2</v>
      </c>
      <c r="AI8" s="4">
        <f>Table_EH_Post_Survey_May_22__2023_11_005[[#This Row],[Q8_3]]-Table_EH_Pre_Survey_May_20__2023_08_224[[#This Row],[Q8_3]]</f>
        <v>2</v>
      </c>
      <c r="AJ8" s="4">
        <f>Table_EH_Post_Survey_May_22__2023_11_005[[#This Row],[Q8_4]]-Table_EH_Pre_Survey_May_20__2023_08_224[[#This Row],[Q8_4]]</f>
        <v>-3</v>
      </c>
      <c r="AK8" s="4">
        <f>Table_EH_Post_Survey_May_22__2023_11_005[[#This Row],[Q8_5]]-Table_EH_Pre_Survey_May_20__2023_08_224[[#This Row],[Q8_5]]</f>
        <v>-2</v>
      </c>
      <c r="AL8" s="4">
        <f>Table_EH_Post_Survey_May_22__2023_11_005[[#This Row],[Q8_6]]-Table_EH_Pre_Survey_May_20__2023_08_224[[#This Row],[Q8_6]]</f>
        <v>-1</v>
      </c>
      <c r="AM8" s="4">
        <f>Table_EH_Post_Survey_May_22__2023_11_005[[#This Row],[Q9_1]]-Table_EH_Pre_Survey_May_20__2023_08_224[[#This Row],[Q9_1]]</f>
        <v>-2</v>
      </c>
    </row>
    <row r="9" spans="1:39" x14ac:dyDescent="0.25">
      <c r="A9" t="s">
        <v>1227</v>
      </c>
      <c r="B9" t="s">
        <v>1228</v>
      </c>
      <c r="C9" t="s">
        <v>42</v>
      </c>
      <c r="D9" t="s">
        <v>389</v>
      </c>
      <c r="E9" t="s">
        <v>112</v>
      </c>
      <c r="F9" s="3">
        <v>81</v>
      </c>
      <c r="G9" s="3">
        <f>_xlfn.NUMBERVALUE(Table_EH_Post_Survey_May_22__2023_11_0056[[#This Row],[Duration (in seconds) - Duration (in seconds)]])</f>
        <v>81</v>
      </c>
      <c r="H9" t="s">
        <v>114</v>
      </c>
      <c r="I9" t="s">
        <v>1228</v>
      </c>
      <c r="J9" t="s">
        <v>1229</v>
      </c>
      <c r="K9" t="s">
        <v>111</v>
      </c>
      <c r="L9" t="s">
        <v>111</v>
      </c>
      <c r="M9" t="s">
        <v>111</v>
      </c>
      <c r="N9" t="s">
        <v>111</v>
      </c>
      <c r="O9" t="s">
        <v>392</v>
      </c>
      <c r="P9" t="s">
        <v>393</v>
      </c>
      <c r="Q9" t="s">
        <v>127</v>
      </c>
      <c r="R9" t="s">
        <v>117</v>
      </c>
      <c r="S9" s="17" t="s">
        <v>731</v>
      </c>
      <c r="T9" s="17" t="str">
        <f>VLOOKUP(Table_EH_Post_Survey_May_22__2023_11_0056[[#This Row],[Q1 - NetID]], Table_EH_Pre_Survey_May_20__2023_08_224[Q1 - NetID Post-Survey], 1, FALSE)</f>
        <v>ebm87</v>
      </c>
      <c r="U9" s="4">
        <f>Table_EH_Post_Survey_May_22__2023_11_005[[#This Row],[Q2]]-Table_EH_Pre_Survey_May_20__2023_08_224[[#This Row],[Q2]]</f>
        <v>1</v>
      </c>
      <c r="V9" s="4">
        <f>Table_EH_Post_Survey_May_22__2023_11_005[[#This Row],[Q3_1]]-Table_EH_Pre_Survey_May_20__2023_08_224[[#This Row],[Q3_1]]</f>
        <v>0</v>
      </c>
      <c r="W9" s="4">
        <f>Table_EH_Post_Survey_May_22__2023_11_005[[#This Row],[Q3_2]]-Table_EH_Pre_Survey_May_20__2023_08_224[[#This Row],[Q3_2]]</f>
        <v>1</v>
      </c>
      <c r="X9" s="4">
        <f>Table_EH_Post_Survey_May_22__2023_11_005[[#This Row],[Q3_3]]-Table_EH_Pre_Survey_May_20__2023_08_224[[#This Row],[Q3_3]]</f>
        <v>0</v>
      </c>
      <c r="Y9" s="4">
        <f>Table_EH_Post_Survey_May_22__2023_11_005[[#This Row],[Q3_4]]-Table_EH_Pre_Survey_May_20__2023_08_224[[#This Row],[Q3_4]]</f>
        <v>1</v>
      </c>
      <c r="Z9" s="4">
        <f>Table_EH_Post_Survey_May_22__2023_11_005[[#This Row],[Q3_5]]-Table_EH_Pre_Survey_May_20__2023_08_224[[#This Row],[Q3_5]]</f>
        <v>2</v>
      </c>
      <c r="AA9" s="4">
        <f>Table_EH_Post_Survey_May_22__2023_11_005[[#This Row],[Q3_6]]-Table_EH_Pre_Survey_May_20__2023_08_224[[#This Row],[Q3_6]]</f>
        <v>0</v>
      </c>
      <c r="AB9" s="4">
        <f>Table_EH_Post_Survey_May_22__2023_11_005[[#This Row],[Q3_7]]-Table_EH_Pre_Survey_May_20__2023_08_224[[#This Row],[Q3_7]]</f>
        <v>1</v>
      </c>
      <c r="AC9" s="4">
        <f>Table_EH_Post_Survey_May_22__2023_11_005[[#This Row],[Q4_1]]-Table_EH_Pre_Survey_May_20__2023_08_224[[#This Row],[Q4_1]]</f>
        <v>-1</v>
      </c>
      <c r="AD9" s="4">
        <f>Table_EH_Post_Survey_May_22__2023_11_005[[#This Row],[Q5 Coded Responses]]-Table_EH_Pre_Survey_May_20__2023_08_224[[#This Row],[Q5 Coded Responses]]</f>
        <v>1</v>
      </c>
      <c r="AE9" s="4">
        <f>Table_EH_Post_Survey_May_22__2023_11_005[[#This Row],[Q6 Coded Responses]]-Table_EH_Pre_Survey_May_20__2023_08_224[[#This Row],[Q6 Coded Responses]]</f>
        <v>1</v>
      </c>
      <c r="AF9" s="4">
        <f>Table_EH_Post_Survey_May_22__2023_11_005[[#This Row],[Q7 Responses Coded]]-Table_EH_Pre_Survey_May_20__2023_08_224[[#This Row],[Q7 Responses Coded]]</f>
        <v>1</v>
      </c>
      <c r="AG9" s="4">
        <f>Table_EH_Post_Survey_May_22__2023_11_005[[#This Row],[Q8_1]]-Table_EH_Pre_Survey_May_20__2023_08_224[[#This Row],[Q8_1]]</f>
        <v>0</v>
      </c>
      <c r="AH9" s="4">
        <f>Table_EH_Post_Survey_May_22__2023_11_005[[#This Row],[Q8_2]]-Table_EH_Pre_Survey_May_20__2023_08_224[[#This Row],[Q8_2]]</f>
        <v>2</v>
      </c>
      <c r="AI9" s="4">
        <f>Table_EH_Post_Survey_May_22__2023_11_005[[#This Row],[Q8_3]]-Table_EH_Pre_Survey_May_20__2023_08_224[[#This Row],[Q8_3]]</f>
        <v>0</v>
      </c>
      <c r="AJ9" s="4">
        <f>Table_EH_Post_Survey_May_22__2023_11_005[[#This Row],[Q8_4]]-Table_EH_Pre_Survey_May_20__2023_08_224[[#This Row],[Q8_4]]</f>
        <v>0</v>
      </c>
      <c r="AK9" s="4">
        <f>Table_EH_Post_Survey_May_22__2023_11_005[[#This Row],[Q8_5]]-Table_EH_Pre_Survey_May_20__2023_08_224[[#This Row],[Q8_5]]</f>
        <v>0</v>
      </c>
      <c r="AL9" s="4">
        <f>Table_EH_Post_Survey_May_22__2023_11_005[[#This Row],[Q8_6]]-Table_EH_Pre_Survey_May_20__2023_08_224[[#This Row],[Q8_6]]</f>
        <v>1</v>
      </c>
      <c r="AM9" s="4">
        <f>Table_EH_Post_Survey_May_22__2023_11_005[[#This Row],[Q9_1]]-Table_EH_Pre_Survey_May_20__2023_08_224[[#This Row],[Q9_1]]</f>
        <v>1</v>
      </c>
    </row>
    <row r="10" spans="1:39" x14ac:dyDescent="0.25">
      <c r="A10" t="s">
        <v>1251</v>
      </c>
      <c r="B10" t="s">
        <v>1252</v>
      </c>
      <c r="C10" t="s">
        <v>42</v>
      </c>
      <c r="D10" t="s">
        <v>1253</v>
      </c>
      <c r="E10" t="s">
        <v>112</v>
      </c>
      <c r="F10" s="3">
        <v>176</v>
      </c>
      <c r="G10" s="3">
        <f>_xlfn.NUMBERVALUE(Table_EH_Post_Survey_May_22__2023_11_0056[[#This Row],[Duration (in seconds) - Duration (in seconds)]])</f>
        <v>176</v>
      </c>
      <c r="H10" t="s">
        <v>114</v>
      </c>
      <c r="I10" t="s">
        <v>1254</v>
      </c>
      <c r="J10" t="s">
        <v>1255</v>
      </c>
      <c r="K10" t="s">
        <v>111</v>
      </c>
      <c r="L10" t="s">
        <v>111</v>
      </c>
      <c r="M10" t="s">
        <v>111</v>
      </c>
      <c r="N10" t="s">
        <v>111</v>
      </c>
      <c r="O10" t="s">
        <v>351</v>
      </c>
      <c r="P10" t="s">
        <v>352</v>
      </c>
      <c r="Q10" t="s">
        <v>127</v>
      </c>
      <c r="R10" t="s">
        <v>117</v>
      </c>
      <c r="S10" s="17" t="s">
        <v>1256</v>
      </c>
      <c r="T10" s="17" t="str">
        <f>VLOOKUP(Table_EH_Post_Survey_May_22__2023_11_0056[[#This Row],[Q1 - NetID]], Table_EH_Pre_Survey_May_20__2023_08_224[Q1 - NetID Post-Survey], 1, FALSE)</f>
        <v>Eia16</v>
      </c>
      <c r="U10" s="4">
        <f>Table_EH_Post_Survey_May_22__2023_11_005[[#This Row],[Q2]]-Table_EH_Pre_Survey_May_20__2023_08_224[[#This Row],[Q2]]</f>
        <v>0</v>
      </c>
      <c r="V10" s="4">
        <f>Table_EH_Post_Survey_May_22__2023_11_005[[#This Row],[Q3_1]]-Table_EH_Pre_Survey_May_20__2023_08_224[[#This Row],[Q3_1]]</f>
        <v>0</v>
      </c>
      <c r="W10" s="4">
        <f>Table_EH_Post_Survey_May_22__2023_11_005[[#This Row],[Q3_2]]-Table_EH_Pre_Survey_May_20__2023_08_224[[#This Row],[Q3_2]]</f>
        <v>2</v>
      </c>
      <c r="X10" s="4">
        <f>Table_EH_Post_Survey_May_22__2023_11_005[[#This Row],[Q3_3]]-Table_EH_Pre_Survey_May_20__2023_08_224[[#This Row],[Q3_3]]</f>
        <v>0</v>
      </c>
      <c r="Y10" s="4">
        <f>Table_EH_Post_Survey_May_22__2023_11_005[[#This Row],[Q3_4]]-Table_EH_Pre_Survey_May_20__2023_08_224[[#This Row],[Q3_4]]</f>
        <v>1</v>
      </c>
      <c r="Z10" s="4">
        <f>Table_EH_Post_Survey_May_22__2023_11_005[[#This Row],[Q3_5]]-Table_EH_Pre_Survey_May_20__2023_08_224[[#This Row],[Q3_5]]</f>
        <v>0</v>
      </c>
      <c r="AA10" s="4">
        <f>Table_EH_Post_Survey_May_22__2023_11_005[[#This Row],[Q3_6]]-Table_EH_Pre_Survey_May_20__2023_08_224[[#This Row],[Q3_6]]</f>
        <v>0</v>
      </c>
      <c r="AB10" s="4">
        <f>Table_EH_Post_Survey_May_22__2023_11_005[[#This Row],[Q3_7]]-Table_EH_Pre_Survey_May_20__2023_08_224[[#This Row],[Q3_7]]</f>
        <v>2</v>
      </c>
      <c r="AC10" s="4">
        <f>Table_EH_Post_Survey_May_22__2023_11_005[[#This Row],[Q4_1]]-Table_EH_Pre_Survey_May_20__2023_08_224[[#This Row],[Q4_1]]</f>
        <v>-1</v>
      </c>
      <c r="AD10" s="4">
        <f>Table_EH_Post_Survey_May_22__2023_11_005[[#This Row],[Q5 Coded Responses]]-Table_EH_Pre_Survey_May_20__2023_08_224[[#This Row],[Q5 Coded Responses]]</f>
        <v>0</v>
      </c>
      <c r="AE10" s="4">
        <f>Table_EH_Post_Survey_May_22__2023_11_005[[#This Row],[Q6 Coded Responses]]-Table_EH_Pre_Survey_May_20__2023_08_224[[#This Row],[Q6 Coded Responses]]</f>
        <v>1</v>
      </c>
      <c r="AF10" s="4">
        <f>Table_EH_Post_Survey_May_22__2023_11_005[[#This Row],[Q7 Responses Coded]]-Table_EH_Pre_Survey_May_20__2023_08_224[[#This Row],[Q7 Responses Coded]]</f>
        <v>1</v>
      </c>
      <c r="AG10" s="4">
        <f>Table_EH_Post_Survey_May_22__2023_11_005[[#This Row],[Q8_1]]-Table_EH_Pre_Survey_May_20__2023_08_224[[#This Row],[Q8_1]]</f>
        <v>1</v>
      </c>
      <c r="AH10" s="4">
        <f>Table_EH_Post_Survey_May_22__2023_11_005[[#This Row],[Q8_2]]-Table_EH_Pre_Survey_May_20__2023_08_224[[#This Row],[Q8_2]]</f>
        <v>1</v>
      </c>
      <c r="AI10" s="4">
        <f>Table_EH_Post_Survey_May_22__2023_11_005[[#This Row],[Q8_3]]-Table_EH_Pre_Survey_May_20__2023_08_224[[#This Row],[Q8_3]]</f>
        <v>0</v>
      </c>
      <c r="AJ10" s="4">
        <f>Table_EH_Post_Survey_May_22__2023_11_005[[#This Row],[Q8_4]]-Table_EH_Pre_Survey_May_20__2023_08_224[[#This Row],[Q8_4]]</f>
        <v>-1</v>
      </c>
      <c r="AK10" s="4">
        <f>Table_EH_Post_Survey_May_22__2023_11_005[[#This Row],[Q8_5]]-Table_EH_Pre_Survey_May_20__2023_08_224[[#This Row],[Q8_5]]</f>
        <v>0</v>
      </c>
      <c r="AL10" s="4">
        <f>Table_EH_Post_Survey_May_22__2023_11_005[[#This Row],[Q8_6]]-Table_EH_Pre_Survey_May_20__2023_08_224[[#This Row],[Q8_6]]</f>
        <v>1</v>
      </c>
      <c r="AM10" s="4">
        <f>Table_EH_Post_Survey_May_22__2023_11_005[[#This Row],[Q9_1]]-Table_EH_Pre_Survey_May_20__2023_08_224[[#This Row],[Q9_1]]</f>
        <v>0</v>
      </c>
    </row>
    <row r="11" spans="1:39" x14ac:dyDescent="0.25">
      <c r="A11" t="s">
        <v>1272</v>
      </c>
      <c r="B11" t="s">
        <v>1273</v>
      </c>
      <c r="C11" t="s">
        <v>42</v>
      </c>
      <c r="D11" t="s">
        <v>284</v>
      </c>
      <c r="E11" t="s">
        <v>112</v>
      </c>
      <c r="F11" s="3">
        <v>341</v>
      </c>
      <c r="G11" s="3">
        <f>_xlfn.NUMBERVALUE(Table_EH_Post_Survey_May_22__2023_11_0056[[#This Row],[Duration (in seconds) - Duration (in seconds)]])</f>
        <v>341</v>
      </c>
      <c r="H11" t="s">
        <v>114</v>
      </c>
      <c r="I11" t="s">
        <v>1273</v>
      </c>
      <c r="J11" t="s">
        <v>1274</v>
      </c>
      <c r="K11" t="s">
        <v>111</v>
      </c>
      <c r="L11" t="s">
        <v>111</v>
      </c>
      <c r="M11" t="s">
        <v>111</v>
      </c>
      <c r="N11" t="s">
        <v>111</v>
      </c>
      <c r="O11" t="s">
        <v>288</v>
      </c>
      <c r="P11" t="s">
        <v>289</v>
      </c>
      <c r="Q11" t="s">
        <v>127</v>
      </c>
      <c r="R11" t="s">
        <v>117</v>
      </c>
      <c r="S11" s="17" t="s">
        <v>1275</v>
      </c>
      <c r="T11" s="17" t="str">
        <f>VLOOKUP(Table_EH_Post_Survey_May_22__2023_11_0056[[#This Row],[Q1 - NetID]], Table_EH_Pre_Survey_May_20__2023_08_224[Q1 - NetID Post-Survey], 1, FALSE)</f>
        <v>ep692</v>
      </c>
      <c r="U11" s="4">
        <f>Table_EH_Post_Survey_May_22__2023_11_005[[#This Row],[Q2]]-Table_EH_Pre_Survey_May_20__2023_08_224[[#This Row],[Q2]]</f>
        <v>2</v>
      </c>
      <c r="V11" s="4">
        <f>Table_EH_Post_Survey_May_22__2023_11_005[[#This Row],[Q3_1]]-Table_EH_Pre_Survey_May_20__2023_08_224[[#This Row],[Q3_1]]</f>
        <v>2</v>
      </c>
      <c r="W11" s="4">
        <f>Table_EH_Post_Survey_May_22__2023_11_005[[#This Row],[Q3_2]]-Table_EH_Pre_Survey_May_20__2023_08_224[[#This Row],[Q3_2]]</f>
        <v>0</v>
      </c>
      <c r="X11" s="4">
        <f>Table_EH_Post_Survey_May_22__2023_11_005[[#This Row],[Q3_3]]-Table_EH_Pre_Survey_May_20__2023_08_224[[#This Row],[Q3_3]]</f>
        <v>0</v>
      </c>
      <c r="Y11" s="4">
        <f>Table_EH_Post_Survey_May_22__2023_11_005[[#This Row],[Q3_4]]-Table_EH_Pre_Survey_May_20__2023_08_224[[#This Row],[Q3_4]]</f>
        <v>1</v>
      </c>
      <c r="Z11" s="4">
        <f>Table_EH_Post_Survey_May_22__2023_11_005[[#This Row],[Q3_5]]-Table_EH_Pre_Survey_May_20__2023_08_224[[#This Row],[Q3_5]]</f>
        <v>0</v>
      </c>
      <c r="AA11" s="4">
        <f>Table_EH_Post_Survey_May_22__2023_11_005[[#This Row],[Q3_6]]-Table_EH_Pre_Survey_May_20__2023_08_224[[#This Row],[Q3_6]]</f>
        <v>0</v>
      </c>
      <c r="AB11" s="4">
        <f>Table_EH_Post_Survey_May_22__2023_11_005[[#This Row],[Q3_7]]-Table_EH_Pre_Survey_May_20__2023_08_224[[#This Row],[Q3_7]]</f>
        <v>1</v>
      </c>
      <c r="AC11" s="4">
        <f>Table_EH_Post_Survey_May_22__2023_11_005[[#This Row],[Q4_1]]-Table_EH_Pre_Survey_May_20__2023_08_224[[#This Row],[Q4_1]]</f>
        <v>0</v>
      </c>
      <c r="AD11" s="4">
        <f>Table_EH_Post_Survey_May_22__2023_11_005[[#This Row],[Q5 Coded Responses]]-Table_EH_Pre_Survey_May_20__2023_08_224[[#This Row],[Q5 Coded Responses]]</f>
        <v>1</v>
      </c>
      <c r="AE11" s="4">
        <f>Table_EH_Post_Survey_May_22__2023_11_005[[#This Row],[Q6 Coded Responses]]-Table_EH_Pre_Survey_May_20__2023_08_224[[#This Row],[Q6 Coded Responses]]</f>
        <v>0</v>
      </c>
      <c r="AF11" s="4">
        <f>Table_EH_Post_Survey_May_22__2023_11_005[[#This Row],[Q7 Responses Coded]]-Table_EH_Pre_Survey_May_20__2023_08_224[[#This Row],[Q7 Responses Coded]]</f>
        <v>3</v>
      </c>
      <c r="AG11" s="4">
        <f>Table_EH_Post_Survey_May_22__2023_11_005[[#This Row],[Q8_1]]-Table_EH_Pre_Survey_May_20__2023_08_224[[#This Row],[Q8_1]]</f>
        <v>1</v>
      </c>
      <c r="AH11" s="4">
        <f>Table_EH_Post_Survey_May_22__2023_11_005[[#This Row],[Q8_2]]-Table_EH_Pre_Survey_May_20__2023_08_224[[#This Row],[Q8_2]]</f>
        <v>4</v>
      </c>
      <c r="AI11" s="4">
        <f>Table_EH_Post_Survey_May_22__2023_11_005[[#This Row],[Q8_3]]-Table_EH_Pre_Survey_May_20__2023_08_224[[#This Row],[Q8_3]]</f>
        <v>2</v>
      </c>
      <c r="AJ11" s="4">
        <f>Table_EH_Post_Survey_May_22__2023_11_005[[#This Row],[Q8_4]]-Table_EH_Pre_Survey_May_20__2023_08_224[[#This Row],[Q8_4]]</f>
        <v>2</v>
      </c>
      <c r="AK11" s="4">
        <f>Table_EH_Post_Survey_May_22__2023_11_005[[#This Row],[Q8_5]]-Table_EH_Pre_Survey_May_20__2023_08_224[[#This Row],[Q8_5]]</f>
        <v>0</v>
      </c>
      <c r="AL11" s="4">
        <f>Table_EH_Post_Survey_May_22__2023_11_005[[#This Row],[Q8_6]]-Table_EH_Pre_Survey_May_20__2023_08_224[[#This Row],[Q8_6]]</f>
        <v>2</v>
      </c>
      <c r="AM11" s="4">
        <f>Table_EH_Post_Survey_May_22__2023_11_005[[#This Row],[Q9_1]]-Table_EH_Pre_Survey_May_20__2023_08_224[[#This Row],[Q9_1]]</f>
        <v>1</v>
      </c>
    </row>
    <row r="12" spans="1:39" x14ac:dyDescent="0.25">
      <c r="A12" t="s">
        <v>1121</v>
      </c>
      <c r="B12" t="s">
        <v>1122</v>
      </c>
      <c r="C12" t="s">
        <v>42</v>
      </c>
      <c r="D12" t="s">
        <v>1123</v>
      </c>
      <c r="E12" t="s">
        <v>112</v>
      </c>
      <c r="F12" s="3">
        <v>858</v>
      </c>
      <c r="G12" s="3">
        <f>_xlfn.NUMBERVALUE(Table_EH_Post_Survey_May_22__2023_11_0056[[#This Row],[Duration (in seconds) - Duration (in seconds)]])</f>
        <v>858</v>
      </c>
      <c r="H12" t="s">
        <v>114</v>
      </c>
      <c r="I12" t="s">
        <v>1124</v>
      </c>
      <c r="J12" t="s">
        <v>1125</v>
      </c>
      <c r="K12" t="s">
        <v>111</v>
      </c>
      <c r="L12" t="s">
        <v>111</v>
      </c>
      <c r="M12" t="s">
        <v>111</v>
      </c>
      <c r="N12" t="s">
        <v>111</v>
      </c>
      <c r="O12" t="s">
        <v>193</v>
      </c>
      <c r="P12" t="s">
        <v>194</v>
      </c>
      <c r="Q12" t="s">
        <v>127</v>
      </c>
      <c r="R12" t="s">
        <v>117</v>
      </c>
      <c r="S12" s="17" t="s">
        <v>799</v>
      </c>
      <c r="T12" s="17" t="str">
        <f>VLOOKUP(Table_EH_Post_Survey_May_22__2023_11_0056[[#This Row],[Q1 - NetID]], Table_EH_Pre_Survey_May_20__2023_08_224[Q1 - NetID Post-Survey], 1, FALSE)</f>
        <v>gmh100</v>
      </c>
      <c r="U12" s="4">
        <f>Table_EH_Post_Survey_May_22__2023_11_005[[#This Row],[Q2]]-Table_EH_Pre_Survey_May_20__2023_08_224[[#This Row],[Q2]]</f>
        <v>0</v>
      </c>
      <c r="V12" s="4">
        <f>Table_EH_Post_Survey_May_22__2023_11_005[[#This Row],[Q3_1]]-Table_EH_Pre_Survey_May_20__2023_08_224[[#This Row],[Q3_1]]</f>
        <v>-1</v>
      </c>
      <c r="W12" s="4">
        <f>Table_EH_Post_Survey_May_22__2023_11_005[[#This Row],[Q3_2]]-Table_EH_Pre_Survey_May_20__2023_08_224[[#This Row],[Q3_2]]</f>
        <v>1</v>
      </c>
      <c r="X12" s="4">
        <f>Table_EH_Post_Survey_May_22__2023_11_005[[#This Row],[Q3_3]]-Table_EH_Pre_Survey_May_20__2023_08_224[[#This Row],[Q3_3]]</f>
        <v>0</v>
      </c>
      <c r="Y12" s="4">
        <f>Table_EH_Post_Survey_May_22__2023_11_005[[#This Row],[Q3_4]]-Table_EH_Pre_Survey_May_20__2023_08_224[[#This Row],[Q3_4]]</f>
        <v>1</v>
      </c>
      <c r="Z12" s="4">
        <f>Table_EH_Post_Survey_May_22__2023_11_005[[#This Row],[Q3_5]]-Table_EH_Pre_Survey_May_20__2023_08_224[[#This Row],[Q3_5]]</f>
        <v>1</v>
      </c>
      <c r="AA12" s="4">
        <f>Table_EH_Post_Survey_May_22__2023_11_005[[#This Row],[Q3_6]]-Table_EH_Pre_Survey_May_20__2023_08_224[[#This Row],[Q3_6]]</f>
        <v>0</v>
      </c>
      <c r="AB12" s="4">
        <f>Table_EH_Post_Survey_May_22__2023_11_005[[#This Row],[Q3_7]]-Table_EH_Pre_Survey_May_20__2023_08_224[[#This Row],[Q3_7]]</f>
        <v>0</v>
      </c>
      <c r="AC12" s="4">
        <f>Table_EH_Post_Survey_May_22__2023_11_005[[#This Row],[Q4_1]]-Table_EH_Pre_Survey_May_20__2023_08_224[[#This Row],[Q4_1]]</f>
        <v>0</v>
      </c>
      <c r="AD12" s="4">
        <f>Table_EH_Post_Survey_May_22__2023_11_005[[#This Row],[Q5 Coded Responses]]-Table_EH_Pre_Survey_May_20__2023_08_224[[#This Row],[Q5 Coded Responses]]</f>
        <v>1</v>
      </c>
      <c r="AE12" s="4">
        <f>Table_EH_Post_Survey_May_22__2023_11_005[[#This Row],[Q6 Coded Responses]]-Table_EH_Pre_Survey_May_20__2023_08_224[[#This Row],[Q6 Coded Responses]]</f>
        <v>0</v>
      </c>
      <c r="AF12" s="4">
        <f>Table_EH_Post_Survey_May_22__2023_11_005[[#This Row],[Q7 Responses Coded]]-Table_EH_Pre_Survey_May_20__2023_08_224[[#This Row],[Q7 Responses Coded]]</f>
        <v>2</v>
      </c>
      <c r="AG12" s="4">
        <f>Table_EH_Post_Survey_May_22__2023_11_005[[#This Row],[Q8_1]]-Table_EH_Pre_Survey_May_20__2023_08_224[[#This Row],[Q8_1]]</f>
        <v>1</v>
      </c>
      <c r="AH12" s="4">
        <f>Table_EH_Post_Survey_May_22__2023_11_005[[#This Row],[Q8_2]]-Table_EH_Pre_Survey_May_20__2023_08_224[[#This Row],[Q8_2]]</f>
        <v>0</v>
      </c>
      <c r="AI12" s="4">
        <f>Table_EH_Post_Survey_May_22__2023_11_005[[#This Row],[Q8_3]]-Table_EH_Pre_Survey_May_20__2023_08_224[[#This Row],[Q8_3]]</f>
        <v>1</v>
      </c>
      <c r="AJ12" s="4">
        <f>Table_EH_Post_Survey_May_22__2023_11_005[[#This Row],[Q8_4]]-Table_EH_Pre_Survey_May_20__2023_08_224[[#This Row],[Q8_4]]</f>
        <v>1</v>
      </c>
      <c r="AK12" s="4">
        <f>Table_EH_Post_Survey_May_22__2023_11_005[[#This Row],[Q8_5]]-Table_EH_Pre_Survey_May_20__2023_08_224[[#This Row],[Q8_5]]</f>
        <v>1</v>
      </c>
      <c r="AL12" s="4">
        <f>Table_EH_Post_Survey_May_22__2023_11_005[[#This Row],[Q8_6]]-Table_EH_Pre_Survey_May_20__2023_08_224[[#This Row],[Q8_6]]</f>
        <v>2</v>
      </c>
      <c r="AM12" s="4">
        <f>Table_EH_Post_Survey_May_22__2023_11_005[[#This Row],[Q9_1]]-Table_EH_Pre_Survey_May_20__2023_08_224[[#This Row],[Q9_1]]</f>
        <v>2</v>
      </c>
    </row>
    <row r="13" spans="1:39" x14ac:dyDescent="0.25">
      <c r="A13" t="s">
        <v>1262</v>
      </c>
      <c r="B13" t="s">
        <v>1263</v>
      </c>
      <c r="C13" t="s">
        <v>42</v>
      </c>
      <c r="D13" t="s">
        <v>1264</v>
      </c>
      <c r="E13" t="s">
        <v>112</v>
      </c>
      <c r="F13" s="3">
        <v>68</v>
      </c>
      <c r="G13" s="3">
        <f>_xlfn.NUMBERVALUE(Table_EH_Post_Survey_May_22__2023_11_0056[[#This Row],[Duration (in seconds) - Duration (in seconds)]])</f>
        <v>68</v>
      </c>
      <c r="H13" t="s">
        <v>114</v>
      </c>
      <c r="I13" t="s">
        <v>1265</v>
      </c>
      <c r="J13" t="s">
        <v>1266</v>
      </c>
      <c r="K13" t="s">
        <v>111</v>
      </c>
      <c r="L13" t="s">
        <v>111</v>
      </c>
      <c r="M13" t="s">
        <v>111</v>
      </c>
      <c r="N13" t="s">
        <v>111</v>
      </c>
      <c r="O13" t="s">
        <v>351</v>
      </c>
      <c r="P13" t="s">
        <v>352</v>
      </c>
      <c r="Q13" t="s">
        <v>127</v>
      </c>
      <c r="R13" t="s">
        <v>117</v>
      </c>
      <c r="S13" s="17" t="s">
        <v>437</v>
      </c>
      <c r="T13" s="17" t="str">
        <f>VLOOKUP(Table_EH_Post_Survey_May_22__2023_11_0056[[#This Row],[Q1 - NetID]], Table_EH_Pre_Survey_May_20__2023_08_224[Q1 - NetID Post-Survey], 1, FALSE)</f>
        <v>hg295</v>
      </c>
      <c r="U13" s="4">
        <f>Table_EH_Post_Survey_May_22__2023_11_005[[#This Row],[Q2]]-Table_EH_Pre_Survey_May_20__2023_08_224[[#This Row],[Q2]]</f>
        <v>0</v>
      </c>
      <c r="V13" s="4">
        <f>Table_EH_Post_Survey_May_22__2023_11_005[[#This Row],[Q3_1]]-Table_EH_Pre_Survey_May_20__2023_08_224[[#This Row],[Q3_1]]</f>
        <v>1</v>
      </c>
      <c r="W13" s="4">
        <f>Table_EH_Post_Survey_May_22__2023_11_005[[#This Row],[Q3_2]]-Table_EH_Pre_Survey_May_20__2023_08_224[[#This Row],[Q3_2]]</f>
        <v>1</v>
      </c>
      <c r="X13" s="4">
        <f>Table_EH_Post_Survey_May_22__2023_11_005[[#This Row],[Q3_3]]-Table_EH_Pre_Survey_May_20__2023_08_224[[#This Row],[Q3_3]]</f>
        <v>1</v>
      </c>
      <c r="Y13" s="4">
        <f>Table_EH_Post_Survey_May_22__2023_11_005[[#This Row],[Q3_4]]-Table_EH_Pre_Survey_May_20__2023_08_224[[#This Row],[Q3_4]]</f>
        <v>1</v>
      </c>
      <c r="Z13" s="4">
        <f>Table_EH_Post_Survey_May_22__2023_11_005[[#This Row],[Q3_5]]-Table_EH_Pre_Survey_May_20__2023_08_224[[#This Row],[Q3_5]]</f>
        <v>-1</v>
      </c>
      <c r="AA13" s="4">
        <f>Table_EH_Post_Survey_May_22__2023_11_005[[#This Row],[Q3_6]]-Table_EH_Pre_Survey_May_20__2023_08_224[[#This Row],[Q3_6]]</f>
        <v>0</v>
      </c>
      <c r="AB13" s="4">
        <f>Table_EH_Post_Survey_May_22__2023_11_005[[#This Row],[Q3_7]]-Table_EH_Pre_Survey_May_20__2023_08_224[[#This Row],[Q3_7]]</f>
        <v>0</v>
      </c>
      <c r="AC13" s="4">
        <f>Table_EH_Post_Survey_May_22__2023_11_005[[#This Row],[Q4_1]]-Table_EH_Pre_Survey_May_20__2023_08_224[[#This Row],[Q4_1]]</f>
        <v>0</v>
      </c>
      <c r="AD13" s="4">
        <f>Table_EH_Post_Survey_May_22__2023_11_005[[#This Row],[Q5 Coded Responses]]-Table_EH_Pre_Survey_May_20__2023_08_224[[#This Row],[Q5 Coded Responses]]</f>
        <v>1</v>
      </c>
      <c r="AE13" s="4">
        <f>Table_EH_Post_Survey_May_22__2023_11_005[[#This Row],[Q6 Coded Responses]]-Table_EH_Pre_Survey_May_20__2023_08_224[[#This Row],[Q6 Coded Responses]]</f>
        <v>0</v>
      </c>
      <c r="AF13" s="4">
        <f>Table_EH_Post_Survey_May_22__2023_11_005[[#This Row],[Q7 Responses Coded]]-Table_EH_Pre_Survey_May_20__2023_08_224[[#This Row],[Q7 Responses Coded]]</f>
        <v>0</v>
      </c>
      <c r="AG13" s="4">
        <f>Table_EH_Post_Survey_May_22__2023_11_005[[#This Row],[Q8_1]]-Table_EH_Pre_Survey_May_20__2023_08_224[[#This Row],[Q8_1]]</f>
        <v>0</v>
      </c>
      <c r="AH13" s="4">
        <f>Table_EH_Post_Survey_May_22__2023_11_005[[#This Row],[Q8_2]]-Table_EH_Pre_Survey_May_20__2023_08_224[[#This Row],[Q8_2]]</f>
        <v>3</v>
      </c>
      <c r="AI13" s="4">
        <f>Table_EH_Post_Survey_May_22__2023_11_005[[#This Row],[Q8_3]]-Table_EH_Pre_Survey_May_20__2023_08_224[[#This Row],[Q8_3]]</f>
        <v>1</v>
      </c>
      <c r="AJ13" s="4">
        <f>Table_EH_Post_Survey_May_22__2023_11_005[[#This Row],[Q8_4]]-Table_EH_Pre_Survey_May_20__2023_08_224[[#This Row],[Q8_4]]</f>
        <v>1</v>
      </c>
      <c r="AK13" s="4">
        <f>Table_EH_Post_Survey_May_22__2023_11_005[[#This Row],[Q8_5]]-Table_EH_Pre_Survey_May_20__2023_08_224[[#This Row],[Q8_5]]</f>
        <v>1</v>
      </c>
      <c r="AL13" s="4">
        <f>Table_EH_Post_Survey_May_22__2023_11_005[[#This Row],[Q8_6]]-Table_EH_Pre_Survey_May_20__2023_08_224[[#This Row],[Q8_6]]</f>
        <v>3</v>
      </c>
      <c r="AM13" s="4">
        <f>Table_EH_Post_Survey_May_22__2023_11_005[[#This Row],[Q9_1]]-Table_EH_Pre_Survey_May_20__2023_08_224[[#This Row],[Q9_1]]</f>
        <v>3</v>
      </c>
    </row>
    <row r="14" spans="1:39" x14ac:dyDescent="0.25">
      <c r="A14" t="s">
        <v>1211</v>
      </c>
      <c r="B14" t="s">
        <v>1212</v>
      </c>
      <c r="C14" t="s">
        <v>42</v>
      </c>
      <c r="D14" t="s">
        <v>389</v>
      </c>
      <c r="E14" t="s">
        <v>112</v>
      </c>
      <c r="F14" s="3">
        <v>375</v>
      </c>
      <c r="G14" s="3">
        <f>_xlfn.NUMBERVALUE(Table_EH_Post_Survey_May_22__2023_11_0056[[#This Row],[Duration (in seconds) - Duration (in seconds)]])</f>
        <v>375</v>
      </c>
      <c r="H14" t="s">
        <v>114</v>
      </c>
      <c r="I14" t="s">
        <v>1212</v>
      </c>
      <c r="J14" t="s">
        <v>1213</v>
      </c>
      <c r="K14" t="s">
        <v>111</v>
      </c>
      <c r="L14" t="s">
        <v>111</v>
      </c>
      <c r="M14" t="s">
        <v>111</v>
      </c>
      <c r="N14" t="s">
        <v>111</v>
      </c>
      <c r="O14" t="s">
        <v>392</v>
      </c>
      <c r="P14" t="s">
        <v>393</v>
      </c>
      <c r="Q14" t="s">
        <v>127</v>
      </c>
      <c r="R14" t="s">
        <v>117</v>
      </c>
      <c r="S14" s="17" t="s">
        <v>473</v>
      </c>
      <c r="T14" s="17" t="str">
        <f>VLOOKUP(Table_EH_Post_Survey_May_22__2023_11_0056[[#This Row],[Q1 - NetID]], Table_EH_Pre_Survey_May_20__2023_08_224[Q1 - NetID Post-Survey], 1, FALSE)</f>
        <v>ht372</v>
      </c>
      <c r="U14" s="4">
        <f>Table_EH_Post_Survey_May_22__2023_11_005[[#This Row],[Q2]]-Table_EH_Pre_Survey_May_20__2023_08_224[[#This Row],[Q2]]</f>
        <v>1</v>
      </c>
      <c r="V14" s="4">
        <f>Table_EH_Post_Survey_May_22__2023_11_005[[#This Row],[Q3_1]]-Table_EH_Pre_Survey_May_20__2023_08_224[[#This Row],[Q3_1]]</f>
        <v>-1</v>
      </c>
      <c r="W14" s="4">
        <f>Table_EH_Post_Survey_May_22__2023_11_005[[#This Row],[Q3_2]]-Table_EH_Pre_Survey_May_20__2023_08_224[[#This Row],[Q3_2]]</f>
        <v>0</v>
      </c>
      <c r="X14" s="4">
        <f>Table_EH_Post_Survey_May_22__2023_11_005[[#This Row],[Q3_3]]-Table_EH_Pre_Survey_May_20__2023_08_224[[#This Row],[Q3_3]]</f>
        <v>0</v>
      </c>
      <c r="Y14" s="4">
        <f>Table_EH_Post_Survey_May_22__2023_11_005[[#This Row],[Q3_4]]-Table_EH_Pre_Survey_May_20__2023_08_224[[#This Row],[Q3_4]]</f>
        <v>0</v>
      </c>
      <c r="Z14" s="4">
        <f>Table_EH_Post_Survey_May_22__2023_11_005[[#This Row],[Q3_5]]-Table_EH_Pre_Survey_May_20__2023_08_224[[#This Row],[Q3_5]]</f>
        <v>-1</v>
      </c>
      <c r="AA14" s="4">
        <f>Table_EH_Post_Survey_May_22__2023_11_005[[#This Row],[Q3_6]]-Table_EH_Pre_Survey_May_20__2023_08_224[[#This Row],[Q3_6]]</f>
        <v>0</v>
      </c>
      <c r="AB14" s="4">
        <f>Table_EH_Post_Survey_May_22__2023_11_005[[#This Row],[Q3_7]]-Table_EH_Pre_Survey_May_20__2023_08_224[[#This Row],[Q3_7]]</f>
        <v>0</v>
      </c>
      <c r="AC14" s="4">
        <f>Table_EH_Post_Survey_May_22__2023_11_005[[#This Row],[Q4_1]]-Table_EH_Pre_Survey_May_20__2023_08_224[[#This Row],[Q4_1]]</f>
        <v>1</v>
      </c>
      <c r="AD14" s="4">
        <f>Table_EH_Post_Survey_May_22__2023_11_005[[#This Row],[Q5 Coded Responses]]-Table_EH_Pre_Survey_May_20__2023_08_224[[#This Row],[Q5 Coded Responses]]</f>
        <v>0</v>
      </c>
      <c r="AE14" s="4">
        <f>Table_EH_Post_Survey_May_22__2023_11_005[[#This Row],[Q6 Coded Responses]]-Table_EH_Pre_Survey_May_20__2023_08_224[[#This Row],[Q6 Coded Responses]]</f>
        <v>0</v>
      </c>
      <c r="AF14" s="4">
        <f>Table_EH_Post_Survey_May_22__2023_11_005[[#This Row],[Q7 Responses Coded]]-Table_EH_Pre_Survey_May_20__2023_08_224[[#This Row],[Q7 Responses Coded]]</f>
        <v>-1</v>
      </c>
      <c r="AG14" s="4">
        <f>Table_EH_Post_Survey_May_22__2023_11_005[[#This Row],[Q8_1]]-Table_EH_Pre_Survey_May_20__2023_08_224[[#This Row],[Q8_1]]</f>
        <v>-1</v>
      </c>
      <c r="AH14" s="4">
        <f>Table_EH_Post_Survey_May_22__2023_11_005[[#This Row],[Q8_2]]-Table_EH_Pre_Survey_May_20__2023_08_224[[#This Row],[Q8_2]]</f>
        <v>3</v>
      </c>
      <c r="AI14" s="4">
        <f>Table_EH_Post_Survey_May_22__2023_11_005[[#This Row],[Q8_3]]-Table_EH_Pre_Survey_May_20__2023_08_224[[#This Row],[Q8_3]]</f>
        <v>2</v>
      </c>
      <c r="AJ14" s="4">
        <f>Table_EH_Post_Survey_May_22__2023_11_005[[#This Row],[Q8_4]]-Table_EH_Pre_Survey_May_20__2023_08_224[[#This Row],[Q8_4]]</f>
        <v>1</v>
      </c>
      <c r="AK14" s="4">
        <f>Table_EH_Post_Survey_May_22__2023_11_005[[#This Row],[Q8_5]]-Table_EH_Pre_Survey_May_20__2023_08_224[[#This Row],[Q8_5]]</f>
        <v>-1</v>
      </c>
      <c r="AL14" s="4">
        <f>Table_EH_Post_Survey_May_22__2023_11_005[[#This Row],[Q8_6]]-Table_EH_Pre_Survey_May_20__2023_08_224[[#This Row],[Q8_6]]</f>
        <v>1</v>
      </c>
      <c r="AM14" s="4">
        <f>Table_EH_Post_Survey_May_22__2023_11_005[[#This Row],[Q9_1]]-Table_EH_Pre_Survey_May_20__2023_08_224[[#This Row],[Q9_1]]</f>
        <v>0</v>
      </c>
    </row>
    <row r="15" spans="1:39" x14ac:dyDescent="0.25">
      <c r="A15" t="s">
        <v>1014</v>
      </c>
      <c r="B15" t="s">
        <v>1070</v>
      </c>
      <c r="C15" t="s">
        <v>42</v>
      </c>
      <c r="D15" t="s">
        <v>389</v>
      </c>
      <c r="E15" t="s">
        <v>112</v>
      </c>
      <c r="F15" s="3">
        <v>1323</v>
      </c>
      <c r="G15" s="3">
        <f>_xlfn.NUMBERVALUE(Table_EH_Post_Survey_May_22__2023_11_0056[[#This Row],[Duration (in seconds) - Duration (in seconds)]])</f>
        <v>1323</v>
      </c>
      <c r="H15" t="s">
        <v>114</v>
      </c>
      <c r="I15" t="s">
        <v>1071</v>
      </c>
      <c r="J15" t="s">
        <v>1072</v>
      </c>
      <c r="K15" t="s">
        <v>111</v>
      </c>
      <c r="L15" t="s">
        <v>111</v>
      </c>
      <c r="M15" t="s">
        <v>111</v>
      </c>
      <c r="N15" t="s">
        <v>111</v>
      </c>
      <c r="O15" t="s">
        <v>392</v>
      </c>
      <c r="P15" t="s">
        <v>393</v>
      </c>
      <c r="Q15" t="s">
        <v>487</v>
      </c>
      <c r="R15" t="s">
        <v>117</v>
      </c>
      <c r="S15" s="17" t="s">
        <v>1073</v>
      </c>
      <c r="T15" s="17" t="str">
        <f>VLOOKUP(Table_EH_Post_Survey_May_22__2023_11_0056[[#This Row],[Q1 - NetID]], Table_EH_Pre_Survey_May_20__2023_08_224[Q1 - NetID Post-Survey], 1, FALSE)</f>
        <v>ige8</v>
      </c>
      <c r="U15" s="4">
        <f>Table_EH_Post_Survey_May_22__2023_11_005[[#This Row],[Q2]]-Table_EH_Pre_Survey_May_20__2023_08_224[[#This Row],[Q2]]</f>
        <v>0</v>
      </c>
      <c r="V15" s="4">
        <f>Table_EH_Post_Survey_May_22__2023_11_005[[#This Row],[Q3_1]]-Table_EH_Pre_Survey_May_20__2023_08_224[[#This Row],[Q3_1]]</f>
        <v>-1</v>
      </c>
      <c r="W15" s="4">
        <f>Table_EH_Post_Survey_May_22__2023_11_005[[#This Row],[Q3_2]]-Table_EH_Pre_Survey_May_20__2023_08_224[[#This Row],[Q3_2]]</f>
        <v>1</v>
      </c>
      <c r="X15" s="4">
        <f>Table_EH_Post_Survey_May_22__2023_11_005[[#This Row],[Q3_3]]-Table_EH_Pre_Survey_May_20__2023_08_224[[#This Row],[Q3_3]]</f>
        <v>0</v>
      </c>
      <c r="Y15" s="4">
        <f>Table_EH_Post_Survey_May_22__2023_11_005[[#This Row],[Q3_4]]-Table_EH_Pre_Survey_May_20__2023_08_224[[#This Row],[Q3_4]]</f>
        <v>1</v>
      </c>
      <c r="Z15" s="4">
        <f>Table_EH_Post_Survey_May_22__2023_11_005[[#This Row],[Q3_5]]-Table_EH_Pre_Survey_May_20__2023_08_224[[#This Row],[Q3_5]]</f>
        <v>1</v>
      </c>
      <c r="AA15" s="4">
        <f>Table_EH_Post_Survey_May_22__2023_11_005[[#This Row],[Q3_6]]-Table_EH_Pre_Survey_May_20__2023_08_224[[#This Row],[Q3_6]]</f>
        <v>0</v>
      </c>
      <c r="AB15" s="4">
        <f>Table_EH_Post_Survey_May_22__2023_11_005[[#This Row],[Q3_7]]-Table_EH_Pre_Survey_May_20__2023_08_224[[#This Row],[Q3_7]]</f>
        <v>0</v>
      </c>
      <c r="AC15" s="4">
        <f>Table_EH_Post_Survey_May_22__2023_11_005[[#This Row],[Q4_1]]-Table_EH_Pre_Survey_May_20__2023_08_224[[#This Row],[Q4_1]]</f>
        <v>0</v>
      </c>
      <c r="AD15" s="4">
        <f>Table_EH_Post_Survey_May_22__2023_11_005[[#This Row],[Q5 Coded Responses]]-Table_EH_Pre_Survey_May_20__2023_08_224[[#This Row],[Q5 Coded Responses]]</f>
        <v>1</v>
      </c>
      <c r="AE15" s="4">
        <f>Table_EH_Post_Survey_May_22__2023_11_005[[#This Row],[Q6 Coded Responses]]-Table_EH_Pre_Survey_May_20__2023_08_224[[#This Row],[Q6 Coded Responses]]</f>
        <v>0</v>
      </c>
      <c r="AF15" s="4">
        <f>Table_EH_Post_Survey_May_22__2023_11_005[[#This Row],[Q7 Responses Coded]]-Table_EH_Pre_Survey_May_20__2023_08_224[[#This Row],[Q7 Responses Coded]]</f>
        <v>0</v>
      </c>
      <c r="AG15" s="4">
        <f>Table_EH_Post_Survey_May_22__2023_11_005[[#This Row],[Q8_1]]-Table_EH_Pre_Survey_May_20__2023_08_224[[#This Row],[Q8_1]]</f>
        <v>0</v>
      </c>
      <c r="AH15" s="4">
        <f>Table_EH_Post_Survey_May_22__2023_11_005[[#This Row],[Q8_2]]-Table_EH_Pre_Survey_May_20__2023_08_224[[#This Row],[Q8_2]]</f>
        <v>2</v>
      </c>
      <c r="AI15" s="4">
        <f>Table_EH_Post_Survey_May_22__2023_11_005[[#This Row],[Q8_3]]-Table_EH_Pre_Survey_May_20__2023_08_224[[#This Row],[Q8_3]]</f>
        <v>-2</v>
      </c>
      <c r="AJ15" s="4">
        <f>Table_EH_Post_Survey_May_22__2023_11_005[[#This Row],[Q8_4]]-Table_EH_Pre_Survey_May_20__2023_08_224[[#This Row],[Q8_4]]</f>
        <v>-2</v>
      </c>
      <c r="AK15" s="4">
        <f>Table_EH_Post_Survey_May_22__2023_11_005[[#This Row],[Q8_5]]-Table_EH_Pre_Survey_May_20__2023_08_224[[#This Row],[Q8_5]]</f>
        <v>-2</v>
      </c>
      <c r="AL15" s="4">
        <f>Table_EH_Post_Survey_May_22__2023_11_005[[#This Row],[Q8_6]]-Table_EH_Pre_Survey_May_20__2023_08_224[[#This Row],[Q8_6]]</f>
        <v>-2</v>
      </c>
      <c r="AM15" s="4">
        <f>Table_EH_Post_Survey_May_22__2023_11_005[[#This Row],[Q9_1]]-Table_EH_Pre_Survey_May_20__2023_08_224[[#This Row],[Q9_1]]</f>
        <v>0</v>
      </c>
    </row>
    <row r="16" spans="1:39" x14ac:dyDescent="0.25">
      <c r="A16" t="s">
        <v>984</v>
      </c>
      <c r="B16" t="s">
        <v>1047</v>
      </c>
      <c r="C16" t="s">
        <v>42</v>
      </c>
      <c r="D16" t="s">
        <v>389</v>
      </c>
      <c r="E16" t="s">
        <v>112</v>
      </c>
      <c r="F16" s="3">
        <v>551</v>
      </c>
      <c r="G16" s="3">
        <f>_xlfn.NUMBERVALUE(Table_EH_Post_Survey_May_22__2023_11_0056[[#This Row],[Duration (in seconds) - Duration (in seconds)]])</f>
        <v>551</v>
      </c>
      <c r="H16" t="s">
        <v>114</v>
      </c>
      <c r="I16" t="s">
        <v>1048</v>
      </c>
      <c r="J16" t="s">
        <v>1049</v>
      </c>
      <c r="K16" t="s">
        <v>111</v>
      </c>
      <c r="L16" t="s">
        <v>111</v>
      </c>
      <c r="M16" t="s">
        <v>111</v>
      </c>
      <c r="N16" t="s">
        <v>111</v>
      </c>
      <c r="O16" t="s">
        <v>392</v>
      </c>
      <c r="P16" t="s">
        <v>393</v>
      </c>
      <c r="Q16" t="s">
        <v>487</v>
      </c>
      <c r="R16" t="s">
        <v>117</v>
      </c>
      <c r="S16" s="17" t="s">
        <v>128</v>
      </c>
      <c r="T16" s="17" t="str">
        <f>VLOOKUP(Table_EH_Post_Survey_May_22__2023_11_0056[[#This Row],[Q1 - NetID]], Table_EH_Pre_Survey_May_20__2023_08_224[Q1 - NetID Post-Survey], 1, FALSE)</f>
        <v>Jm2722</v>
      </c>
      <c r="U16" s="4">
        <f>Table_EH_Post_Survey_May_22__2023_11_005[[#This Row],[Q2]]-Table_EH_Pre_Survey_May_20__2023_08_224[[#This Row],[Q2]]</f>
        <v>1</v>
      </c>
      <c r="V16" s="4">
        <f>Table_EH_Post_Survey_May_22__2023_11_005[[#This Row],[Q3_1]]-Table_EH_Pre_Survey_May_20__2023_08_224[[#This Row],[Q3_1]]</f>
        <v>2</v>
      </c>
      <c r="W16" s="4">
        <f>Table_EH_Post_Survey_May_22__2023_11_005[[#This Row],[Q3_2]]-Table_EH_Pre_Survey_May_20__2023_08_224[[#This Row],[Q3_2]]</f>
        <v>2</v>
      </c>
      <c r="X16" s="4">
        <f>Table_EH_Post_Survey_May_22__2023_11_005[[#This Row],[Q3_3]]-Table_EH_Pre_Survey_May_20__2023_08_224[[#This Row],[Q3_3]]</f>
        <v>1</v>
      </c>
      <c r="Y16" s="4">
        <f>Table_EH_Post_Survey_May_22__2023_11_005[[#This Row],[Q3_4]]-Table_EH_Pre_Survey_May_20__2023_08_224[[#This Row],[Q3_4]]</f>
        <v>0</v>
      </c>
      <c r="Z16" s="4">
        <f>Table_EH_Post_Survey_May_22__2023_11_005[[#This Row],[Q3_5]]-Table_EH_Pre_Survey_May_20__2023_08_224[[#This Row],[Q3_5]]</f>
        <v>0</v>
      </c>
      <c r="AA16" s="4">
        <f>Table_EH_Post_Survey_May_22__2023_11_005[[#This Row],[Q3_6]]-Table_EH_Pre_Survey_May_20__2023_08_224[[#This Row],[Q3_6]]</f>
        <v>0</v>
      </c>
      <c r="AB16" s="4">
        <f>Table_EH_Post_Survey_May_22__2023_11_005[[#This Row],[Q3_7]]-Table_EH_Pre_Survey_May_20__2023_08_224[[#This Row],[Q3_7]]</f>
        <v>1</v>
      </c>
      <c r="AC16" s="4">
        <f>Table_EH_Post_Survey_May_22__2023_11_005[[#This Row],[Q4_1]]-Table_EH_Pre_Survey_May_20__2023_08_224[[#This Row],[Q4_1]]</f>
        <v>-1</v>
      </c>
      <c r="AD16" s="4">
        <f>Table_EH_Post_Survey_May_22__2023_11_005[[#This Row],[Q5 Coded Responses]]-Table_EH_Pre_Survey_May_20__2023_08_224[[#This Row],[Q5 Coded Responses]]</f>
        <v>1</v>
      </c>
      <c r="AE16" s="4">
        <f>Table_EH_Post_Survey_May_22__2023_11_005[[#This Row],[Q6 Coded Responses]]-Table_EH_Pre_Survey_May_20__2023_08_224[[#This Row],[Q6 Coded Responses]]</f>
        <v>1</v>
      </c>
      <c r="AF16" s="4">
        <f>Table_EH_Post_Survey_May_22__2023_11_005[[#This Row],[Q7 Responses Coded]]-Table_EH_Pre_Survey_May_20__2023_08_224[[#This Row],[Q7 Responses Coded]]</f>
        <v>-1</v>
      </c>
      <c r="AG16" s="4">
        <f>Table_EH_Post_Survey_May_22__2023_11_005[[#This Row],[Q8_1]]-Table_EH_Pre_Survey_May_20__2023_08_224[[#This Row],[Q8_1]]</f>
        <v>2</v>
      </c>
      <c r="AH16" s="4">
        <f>Table_EH_Post_Survey_May_22__2023_11_005[[#This Row],[Q8_2]]-Table_EH_Pre_Survey_May_20__2023_08_224[[#This Row],[Q8_2]]</f>
        <v>0</v>
      </c>
      <c r="AI16" s="4">
        <f>Table_EH_Post_Survey_May_22__2023_11_005[[#This Row],[Q8_3]]-Table_EH_Pre_Survey_May_20__2023_08_224[[#This Row],[Q8_3]]</f>
        <v>1</v>
      </c>
      <c r="AJ16" s="4">
        <f>Table_EH_Post_Survey_May_22__2023_11_005[[#This Row],[Q8_4]]-Table_EH_Pre_Survey_May_20__2023_08_224[[#This Row],[Q8_4]]</f>
        <v>3</v>
      </c>
      <c r="AK16" s="4">
        <f>Table_EH_Post_Survey_May_22__2023_11_005[[#This Row],[Q8_5]]-Table_EH_Pre_Survey_May_20__2023_08_224[[#This Row],[Q8_5]]</f>
        <v>1</v>
      </c>
      <c r="AL16" s="4">
        <f>Table_EH_Post_Survey_May_22__2023_11_005[[#This Row],[Q8_6]]-Table_EH_Pre_Survey_May_20__2023_08_224[[#This Row],[Q8_6]]</f>
        <v>0</v>
      </c>
      <c r="AM16" s="4">
        <f>Table_EH_Post_Survey_May_22__2023_11_005[[#This Row],[Q9_1]]-Table_EH_Pre_Survey_May_20__2023_08_224[[#This Row],[Q9_1]]</f>
        <v>2</v>
      </c>
    </row>
    <row r="17" spans="1:39" x14ac:dyDescent="0.25">
      <c r="A17" t="s">
        <v>958</v>
      </c>
      <c r="B17" t="s">
        <v>959</v>
      </c>
      <c r="C17" t="s">
        <v>42</v>
      </c>
      <c r="D17" t="s">
        <v>389</v>
      </c>
      <c r="E17" t="s">
        <v>112</v>
      </c>
      <c r="F17" s="3">
        <v>113</v>
      </c>
      <c r="G17" s="3">
        <f>_xlfn.NUMBERVALUE(Table_EH_Post_Survey_May_22__2023_11_0056[[#This Row],[Duration (in seconds) - Duration (in seconds)]])</f>
        <v>113</v>
      </c>
      <c r="H17" t="s">
        <v>114</v>
      </c>
      <c r="I17" t="s">
        <v>960</v>
      </c>
      <c r="J17" t="s">
        <v>961</v>
      </c>
      <c r="K17" t="s">
        <v>111</v>
      </c>
      <c r="L17" t="s">
        <v>111</v>
      </c>
      <c r="M17" t="s">
        <v>111</v>
      </c>
      <c r="N17" t="s">
        <v>111</v>
      </c>
      <c r="O17" t="s">
        <v>392</v>
      </c>
      <c r="P17" t="s">
        <v>393</v>
      </c>
      <c r="Q17" t="s">
        <v>487</v>
      </c>
      <c r="R17" t="s">
        <v>117</v>
      </c>
      <c r="S17" s="17" t="s">
        <v>616</v>
      </c>
      <c r="T17" s="17" t="str">
        <f>VLOOKUP(Table_EH_Post_Survey_May_22__2023_11_0056[[#This Row],[Q1 - NetID]], Table_EH_Pre_Survey_May_20__2023_08_224[Q1 - NetID Post-Survey], 1, FALSE)</f>
        <v>kf511</v>
      </c>
      <c r="U17" s="4">
        <f>Table_EH_Post_Survey_May_22__2023_11_005[[#This Row],[Q2]]-Table_EH_Pre_Survey_May_20__2023_08_224[[#This Row],[Q2]]</f>
        <v>0</v>
      </c>
      <c r="V17" s="4">
        <f>Table_EH_Post_Survey_May_22__2023_11_005[[#This Row],[Q3_1]]-Table_EH_Pre_Survey_May_20__2023_08_224[[#This Row],[Q3_1]]</f>
        <v>0</v>
      </c>
      <c r="W17" s="4">
        <f>Table_EH_Post_Survey_May_22__2023_11_005[[#This Row],[Q3_2]]-Table_EH_Pre_Survey_May_20__2023_08_224[[#This Row],[Q3_2]]</f>
        <v>-2</v>
      </c>
      <c r="X17" s="4">
        <f>Table_EH_Post_Survey_May_22__2023_11_005[[#This Row],[Q3_3]]-Table_EH_Pre_Survey_May_20__2023_08_224[[#This Row],[Q3_3]]</f>
        <v>0</v>
      </c>
      <c r="Y17" s="4">
        <f>Table_EH_Post_Survey_May_22__2023_11_005[[#This Row],[Q3_4]]-Table_EH_Pre_Survey_May_20__2023_08_224[[#This Row],[Q3_4]]</f>
        <v>-1</v>
      </c>
      <c r="Z17" s="4">
        <f>Table_EH_Post_Survey_May_22__2023_11_005[[#This Row],[Q3_5]]-Table_EH_Pre_Survey_May_20__2023_08_224[[#This Row],[Q3_5]]</f>
        <v>0</v>
      </c>
      <c r="AA17" s="4">
        <f>Table_EH_Post_Survey_May_22__2023_11_005[[#This Row],[Q3_6]]-Table_EH_Pre_Survey_May_20__2023_08_224[[#This Row],[Q3_6]]</f>
        <v>0</v>
      </c>
      <c r="AB17" s="4">
        <f>Table_EH_Post_Survey_May_22__2023_11_005[[#This Row],[Q3_7]]-Table_EH_Pre_Survey_May_20__2023_08_224[[#This Row],[Q3_7]]</f>
        <v>-2</v>
      </c>
      <c r="AC17" s="4">
        <f>Table_EH_Post_Survey_May_22__2023_11_005[[#This Row],[Q4_1]]-Table_EH_Pre_Survey_May_20__2023_08_224[[#This Row],[Q4_1]]</f>
        <v>-0.5</v>
      </c>
      <c r="AD17" s="4">
        <f>Table_EH_Post_Survey_May_22__2023_11_005[[#This Row],[Q5 Coded Responses]]-Table_EH_Pre_Survey_May_20__2023_08_224[[#This Row],[Q5 Coded Responses]]</f>
        <v>1</v>
      </c>
      <c r="AE17" s="4">
        <f>Table_EH_Post_Survey_May_22__2023_11_005[[#This Row],[Q6 Coded Responses]]-Table_EH_Pre_Survey_May_20__2023_08_224[[#This Row],[Q6 Coded Responses]]</f>
        <v>-1</v>
      </c>
      <c r="AF17" s="4">
        <f>Table_EH_Post_Survey_May_22__2023_11_005[[#This Row],[Q7 Responses Coded]]-Table_EH_Pre_Survey_May_20__2023_08_224[[#This Row],[Q7 Responses Coded]]</f>
        <v>0</v>
      </c>
      <c r="AG17" s="4">
        <f>Table_EH_Post_Survey_May_22__2023_11_005[[#This Row],[Q8_1]]-Table_EH_Pre_Survey_May_20__2023_08_224[[#This Row],[Q8_1]]</f>
        <v>0</v>
      </c>
      <c r="AH17" s="4">
        <f>Table_EH_Post_Survey_May_22__2023_11_005[[#This Row],[Q8_2]]-Table_EH_Pre_Survey_May_20__2023_08_224[[#This Row],[Q8_2]]</f>
        <v>3</v>
      </c>
      <c r="AI17" s="4">
        <f>Table_EH_Post_Survey_May_22__2023_11_005[[#This Row],[Q8_3]]-Table_EH_Pre_Survey_May_20__2023_08_224[[#This Row],[Q8_3]]</f>
        <v>3</v>
      </c>
      <c r="AJ17" s="4">
        <f>Table_EH_Post_Survey_May_22__2023_11_005[[#This Row],[Q8_4]]-Table_EH_Pre_Survey_May_20__2023_08_224[[#This Row],[Q8_4]]</f>
        <v>0</v>
      </c>
      <c r="AK17" s="4">
        <f>Table_EH_Post_Survey_May_22__2023_11_005[[#This Row],[Q8_5]]-Table_EH_Pre_Survey_May_20__2023_08_224[[#This Row],[Q8_5]]</f>
        <v>1</v>
      </c>
      <c r="AL17" s="4">
        <f>Table_EH_Post_Survey_May_22__2023_11_005[[#This Row],[Q8_6]]-Table_EH_Pre_Survey_May_20__2023_08_224[[#This Row],[Q8_6]]</f>
        <v>0</v>
      </c>
      <c r="AM17" s="4">
        <f>Table_EH_Post_Survey_May_22__2023_11_005[[#This Row],[Q9_1]]-Table_EH_Pre_Survey_May_20__2023_08_224[[#This Row],[Q9_1]]</f>
        <v>2</v>
      </c>
    </row>
    <row r="18" spans="1:39" x14ac:dyDescent="0.25">
      <c r="A18" t="s">
        <v>976</v>
      </c>
      <c r="B18" t="s">
        <v>977</v>
      </c>
      <c r="C18" t="s">
        <v>42</v>
      </c>
      <c r="D18" t="s">
        <v>601</v>
      </c>
      <c r="E18" t="s">
        <v>112</v>
      </c>
      <c r="F18" s="3">
        <v>94</v>
      </c>
      <c r="G18" s="3">
        <f>_xlfn.NUMBERVALUE(Table_EH_Post_Survey_May_22__2023_11_0056[[#This Row],[Duration (in seconds) - Duration (in seconds)]])</f>
        <v>94</v>
      </c>
      <c r="H18" t="s">
        <v>114</v>
      </c>
      <c r="I18" t="s">
        <v>977</v>
      </c>
      <c r="J18" t="s">
        <v>978</v>
      </c>
      <c r="K18" t="s">
        <v>111</v>
      </c>
      <c r="L18" t="s">
        <v>111</v>
      </c>
      <c r="M18" t="s">
        <v>111</v>
      </c>
      <c r="N18" t="s">
        <v>111</v>
      </c>
      <c r="O18" t="s">
        <v>351</v>
      </c>
      <c r="P18" t="s">
        <v>352</v>
      </c>
      <c r="Q18" t="s">
        <v>487</v>
      </c>
      <c r="R18" t="s">
        <v>117</v>
      </c>
      <c r="S18" s="17" t="s">
        <v>604</v>
      </c>
      <c r="T18" s="17" t="str">
        <f>VLOOKUP(Table_EH_Post_Survey_May_22__2023_11_0056[[#This Row],[Q1 - NetID]], Table_EH_Pre_Survey_May_20__2023_08_224[Q1 - NetID Post-Survey], 1, FALSE)</f>
        <v>Krb195</v>
      </c>
      <c r="U18" s="4">
        <f>Table_EH_Post_Survey_May_22__2023_11_005[[#This Row],[Q2]]-Table_EH_Pre_Survey_May_20__2023_08_224[[#This Row],[Q2]]</f>
        <v>0</v>
      </c>
      <c r="V18" s="4">
        <f>Table_EH_Post_Survey_May_22__2023_11_005[[#This Row],[Q3_1]]-Table_EH_Pre_Survey_May_20__2023_08_224[[#This Row],[Q3_1]]</f>
        <v>1</v>
      </c>
      <c r="W18" s="4">
        <f>Table_EH_Post_Survey_May_22__2023_11_005[[#This Row],[Q3_2]]-Table_EH_Pre_Survey_May_20__2023_08_224[[#This Row],[Q3_2]]</f>
        <v>0</v>
      </c>
      <c r="X18" s="4">
        <f>Table_EH_Post_Survey_May_22__2023_11_005[[#This Row],[Q3_3]]-Table_EH_Pre_Survey_May_20__2023_08_224[[#This Row],[Q3_3]]</f>
        <v>1</v>
      </c>
      <c r="Y18" s="4">
        <f>Table_EH_Post_Survey_May_22__2023_11_005[[#This Row],[Q3_4]]-Table_EH_Pre_Survey_May_20__2023_08_224[[#This Row],[Q3_4]]</f>
        <v>4</v>
      </c>
      <c r="Z18" s="4">
        <f>Table_EH_Post_Survey_May_22__2023_11_005[[#This Row],[Q3_5]]-Table_EH_Pre_Survey_May_20__2023_08_224[[#This Row],[Q3_5]]</f>
        <v>3</v>
      </c>
      <c r="AA18" s="4">
        <f>Table_EH_Post_Survey_May_22__2023_11_005[[#This Row],[Q3_6]]-Table_EH_Pre_Survey_May_20__2023_08_224[[#This Row],[Q3_6]]</f>
        <v>0</v>
      </c>
      <c r="AB18" s="4">
        <f>Table_EH_Post_Survey_May_22__2023_11_005[[#This Row],[Q3_7]]-Table_EH_Pre_Survey_May_20__2023_08_224[[#This Row],[Q3_7]]</f>
        <v>1</v>
      </c>
      <c r="AC18" s="4">
        <f>Table_EH_Post_Survey_May_22__2023_11_005[[#This Row],[Q4_1]]-Table_EH_Pre_Survey_May_20__2023_08_224[[#This Row],[Q4_1]]</f>
        <v>0</v>
      </c>
      <c r="AD18" s="4">
        <f>Table_EH_Post_Survey_May_22__2023_11_005[[#This Row],[Q5 Coded Responses]]-Table_EH_Pre_Survey_May_20__2023_08_224[[#This Row],[Q5 Coded Responses]]</f>
        <v>1</v>
      </c>
      <c r="AE18" s="4">
        <f>Table_EH_Post_Survey_May_22__2023_11_005[[#This Row],[Q6 Coded Responses]]-Table_EH_Pre_Survey_May_20__2023_08_224[[#This Row],[Q6 Coded Responses]]</f>
        <v>0</v>
      </c>
      <c r="AF18" s="4">
        <f>Table_EH_Post_Survey_May_22__2023_11_005[[#This Row],[Q7 Responses Coded]]-Table_EH_Pre_Survey_May_20__2023_08_224[[#This Row],[Q7 Responses Coded]]</f>
        <v>0</v>
      </c>
      <c r="AG18" s="4">
        <f>Table_EH_Post_Survey_May_22__2023_11_005[[#This Row],[Q8_1]]-Table_EH_Pre_Survey_May_20__2023_08_224[[#This Row],[Q8_1]]</f>
        <v>1</v>
      </c>
      <c r="AH18" s="4">
        <f>Table_EH_Post_Survey_May_22__2023_11_005[[#This Row],[Q8_2]]-Table_EH_Pre_Survey_May_20__2023_08_224[[#This Row],[Q8_2]]</f>
        <v>0</v>
      </c>
      <c r="AI18" s="4">
        <f>Table_EH_Post_Survey_May_22__2023_11_005[[#This Row],[Q8_3]]-Table_EH_Pre_Survey_May_20__2023_08_224[[#This Row],[Q8_3]]</f>
        <v>3</v>
      </c>
      <c r="AJ18" s="4">
        <f>Table_EH_Post_Survey_May_22__2023_11_005[[#This Row],[Q8_4]]-Table_EH_Pre_Survey_May_20__2023_08_224[[#This Row],[Q8_4]]</f>
        <v>3</v>
      </c>
      <c r="AK18" s="4">
        <f>Table_EH_Post_Survey_May_22__2023_11_005[[#This Row],[Q8_5]]-Table_EH_Pre_Survey_May_20__2023_08_224[[#This Row],[Q8_5]]</f>
        <v>2</v>
      </c>
      <c r="AL18" s="4">
        <f>Table_EH_Post_Survey_May_22__2023_11_005[[#This Row],[Q8_6]]-Table_EH_Pre_Survey_May_20__2023_08_224[[#This Row],[Q8_6]]</f>
        <v>0</v>
      </c>
      <c r="AM18" s="4">
        <f>Table_EH_Post_Survey_May_22__2023_11_005[[#This Row],[Q9_1]]-Table_EH_Pre_Survey_May_20__2023_08_224[[#This Row],[Q9_1]]</f>
        <v>2</v>
      </c>
    </row>
    <row r="19" spans="1:39" x14ac:dyDescent="0.25">
      <c r="A19" t="s">
        <v>1004</v>
      </c>
      <c r="B19" t="s">
        <v>1005</v>
      </c>
      <c r="C19" t="s">
        <v>42</v>
      </c>
      <c r="D19" t="s">
        <v>1006</v>
      </c>
      <c r="E19" t="s">
        <v>112</v>
      </c>
      <c r="F19" s="3">
        <v>109</v>
      </c>
      <c r="G19" s="3">
        <f>_xlfn.NUMBERVALUE(Table_EH_Post_Survey_May_22__2023_11_0056[[#This Row],[Duration (in seconds) - Duration (in seconds)]])</f>
        <v>109</v>
      </c>
      <c r="H19" t="s">
        <v>114</v>
      </c>
      <c r="I19" t="s">
        <v>1007</v>
      </c>
      <c r="J19" t="s">
        <v>1008</v>
      </c>
      <c r="K19" t="s">
        <v>111</v>
      </c>
      <c r="L19" t="s">
        <v>111</v>
      </c>
      <c r="M19" t="s">
        <v>111</v>
      </c>
      <c r="N19" t="s">
        <v>111</v>
      </c>
      <c r="O19" t="s">
        <v>351</v>
      </c>
      <c r="P19" t="s">
        <v>352</v>
      </c>
      <c r="Q19" t="s">
        <v>487</v>
      </c>
      <c r="R19" t="s">
        <v>117</v>
      </c>
      <c r="S19" s="17" t="s">
        <v>319</v>
      </c>
      <c r="T19" s="17" t="str">
        <f>VLOOKUP(Table_EH_Post_Survey_May_22__2023_11_0056[[#This Row],[Q1 - NetID]], Table_EH_Pre_Survey_May_20__2023_08_224[Q1 - NetID Post-Survey], 1, FALSE)</f>
        <v>ks1403</v>
      </c>
      <c r="U19" s="4">
        <f>Table_EH_Post_Survey_May_22__2023_11_005[[#This Row],[Q2]]-Table_EH_Pre_Survey_May_20__2023_08_224[[#This Row],[Q2]]</f>
        <v>1</v>
      </c>
      <c r="V19" s="4">
        <f>Table_EH_Post_Survey_May_22__2023_11_005[[#This Row],[Q3_1]]-Table_EH_Pre_Survey_May_20__2023_08_224[[#This Row],[Q3_1]]</f>
        <v>0</v>
      </c>
      <c r="W19" s="4">
        <f>Table_EH_Post_Survey_May_22__2023_11_005[[#This Row],[Q3_2]]-Table_EH_Pre_Survey_May_20__2023_08_224[[#This Row],[Q3_2]]</f>
        <v>1</v>
      </c>
      <c r="X19" s="4">
        <f>Table_EH_Post_Survey_May_22__2023_11_005[[#This Row],[Q3_3]]-Table_EH_Pre_Survey_May_20__2023_08_224[[#This Row],[Q3_3]]</f>
        <v>0</v>
      </c>
      <c r="Y19" s="4">
        <f>Table_EH_Post_Survey_May_22__2023_11_005[[#This Row],[Q3_4]]-Table_EH_Pre_Survey_May_20__2023_08_224[[#This Row],[Q3_4]]</f>
        <v>0</v>
      </c>
      <c r="Z19" s="4">
        <f>Table_EH_Post_Survey_May_22__2023_11_005[[#This Row],[Q3_5]]-Table_EH_Pre_Survey_May_20__2023_08_224[[#This Row],[Q3_5]]</f>
        <v>1</v>
      </c>
      <c r="AA19" s="4">
        <f>Table_EH_Post_Survey_May_22__2023_11_005[[#This Row],[Q3_6]]-Table_EH_Pre_Survey_May_20__2023_08_224[[#This Row],[Q3_6]]</f>
        <v>0</v>
      </c>
      <c r="AB19" s="4">
        <f>Table_EH_Post_Survey_May_22__2023_11_005[[#This Row],[Q3_7]]-Table_EH_Pre_Survey_May_20__2023_08_224[[#This Row],[Q3_7]]</f>
        <v>1</v>
      </c>
      <c r="AC19" s="4">
        <f>Table_EH_Post_Survey_May_22__2023_11_005[[#This Row],[Q4_1]]-Table_EH_Pre_Survey_May_20__2023_08_224[[#This Row],[Q4_1]]</f>
        <v>0</v>
      </c>
      <c r="AD19" s="4">
        <f>Table_EH_Post_Survey_May_22__2023_11_005[[#This Row],[Q5 Coded Responses]]-Table_EH_Pre_Survey_May_20__2023_08_224[[#This Row],[Q5 Coded Responses]]</f>
        <v>1</v>
      </c>
      <c r="AE19" s="4">
        <f>Table_EH_Post_Survey_May_22__2023_11_005[[#This Row],[Q6 Coded Responses]]-Table_EH_Pre_Survey_May_20__2023_08_224[[#This Row],[Q6 Coded Responses]]</f>
        <v>0</v>
      </c>
      <c r="AF19" s="4">
        <f>Table_EH_Post_Survey_May_22__2023_11_005[[#This Row],[Q7 Responses Coded]]-Table_EH_Pre_Survey_May_20__2023_08_224[[#This Row],[Q7 Responses Coded]]</f>
        <v>-1</v>
      </c>
      <c r="AG19" s="4">
        <f>Table_EH_Post_Survey_May_22__2023_11_005[[#This Row],[Q8_1]]-Table_EH_Pre_Survey_May_20__2023_08_224[[#This Row],[Q8_1]]</f>
        <v>1</v>
      </c>
      <c r="AH19" s="4">
        <f>Table_EH_Post_Survey_May_22__2023_11_005[[#This Row],[Q8_2]]-Table_EH_Pre_Survey_May_20__2023_08_224[[#This Row],[Q8_2]]</f>
        <v>1</v>
      </c>
      <c r="AI19" s="4">
        <f>Table_EH_Post_Survey_May_22__2023_11_005[[#This Row],[Q8_3]]-Table_EH_Pre_Survey_May_20__2023_08_224[[#This Row],[Q8_3]]</f>
        <v>1</v>
      </c>
      <c r="AJ19" s="4">
        <f>Table_EH_Post_Survey_May_22__2023_11_005[[#This Row],[Q8_4]]-Table_EH_Pre_Survey_May_20__2023_08_224[[#This Row],[Q8_4]]</f>
        <v>0</v>
      </c>
      <c r="AK19" s="4">
        <f>Table_EH_Post_Survey_May_22__2023_11_005[[#This Row],[Q8_5]]-Table_EH_Pre_Survey_May_20__2023_08_224[[#This Row],[Q8_5]]</f>
        <v>0</v>
      </c>
      <c r="AL19" s="4">
        <f>Table_EH_Post_Survey_May_22__2023_11_005[[#This Row],[Q8_6]]-Table_EH_Pre_Survey_May_20__2023_08_224[[#This Row],[Q8_6]]</f>
        <v>0</v>
      </c>
      <c r="AM19" s="4">
        <f>Table_EH_Post_Survey_May_22__2023_11_005[[#This Row],[Q9_1]]-Table_EH_Pre_Survey_May_20__2023_08_224[[#This Row],[Q9_1]]</f>
        <v>1</v>
      </c>
    </row>
    <row r="20" spans="1:39" x14ac:dyDescent="0.25">
      <c r="A20" t="s">
        <v>1078</v>
      </c>
      <c r="B20" t="s">
        <v>1079</v>
      </c>
      <c r="C20" t="s">
        <v>42</v>
      </c>
      <c r="D20" t="s">
        <v>389</v>
      </c>
      <c r="E20" t="s">
        <v>112</v>
      </c>
      <c r="F20" s="3">
        <v>3436</v>
      </c>
      <c r="G20" s="3">
        <f>_xlfn.NUMBERVALUE(Table_EH_Post_Survey_May_22__2023_11_0056[[#This Row],[Duration (in seconds) - Duration (in seconds)]])</f>
        <v>3436</v>
      </c>
      <c r="H20" t="s">
        <v>114</v>
      </c>
      <c r="I20" t="s">
        <v>1079</v>
      </c>
      <c r="J20" t="s">
        <v>1080</v>
      </c>
      <c r="K20" t="s">
        <v>111</v>
      </c>
      <c r="L20" t="s">
        <v>111</v>
      </c>
      <c r="M20" t="s">
        <v>111</v>
      </c>
      <c r="N20" t="s">
        <v>111</v>
      </c>
      <c r="O20" t="s">
        <v>392</v>
      </c>
      <c r="P20" t="s">
        <v>393</v>
      </c>
      <c r="Q20" t="s">
        <v>487</v>
      </c>
      <c r="R20" t="s">
        <v>117</v>
      </c>
      <c r="S20" s="17" t="s">
        <v>748</v>
      </c>
      <c r="T20" s="17" t="str">
        <f>VLOOKUP(Table_EH_Post_Survey_May_22__2023_11_0056[[#This Row],[Q1 - NetID]], Table_EH_Pre_Survey_May_20__2023_08_224[Q1 - NetID Post-Survey], 1, FALSE)</f>
        <v>Lma216</v>
      </c>
      <c r="U20" s="4">
        <f>Table_EH_Post_Survey_May_22__2023_11_005[[#This Row],[Q2]]-Table_EH_Pre_Survey_May_20__2023_08_224[[#This Row],[Q2]]</f>
        <v>0</v>
      </c>
      <c r="V20" s="4">
        <f>Table_EH_Post_Survey_May_22__2023_11_005[[#This Row],[Q3_1]]-Table_EH_Pre_Survey_May_20__2023_08_224[[#This Row],[Q3_1]]</f>
        <v>1</v>
      </c>
      <c r="W20" s="4">
        <f>Table_EH_Post_Survey_May_22__2023_11_005[[#This Row],[Q3_2]]-Table_EH_Pre_Survey_May_20__2023_08_224[[#This Row],[Q3_2]]</f>
        <v>1</v>
      </c>
      <c r="X20" s="4">
        <f>Table_EH_Post_Survey_May_22__2023_11_005[[#This Row],[Q3_3]]-Table_EH_Pre_Survey_May_20__2023_08_224[[#This Row],[Q3_3]]</f>
        <v>0</v>
      </c>
      <c r="Y20" s="4">
        <f>Table_EH_Post_Survey_May_22__2023_11_005[[#This Row],[Q3_4]]-Table_EH_Pre_Survey_May_20__2023_08_224[[#This Row],[Q3_4]]</f>
        <v>0</v>
      </c>
      <c r="Z20" s="4">
        <f>Table_EH_Post_Survey_May_22__2023_11_005[[#This Row],[Q3_5]]-Table_EH_Pre_Survey_May_20__2023_08_224[[#This Row],[Q3_5]]</f>
        <v>0</v>
      </c>
      <c r="AA20" s="4">
        <f>Table_EH_Post_Survey_May_22__2023_11_005[[#This Row],[Q3_6]]-Table_EH_Pre_Survey_May_20__2023_08_224[[#This Row],[Q3_6]]</f>
        <v>0</v>
      </c>
      <c r="AB20" s="4">
        <f>Table_EH_Post_Survey_May_22__2023_11_005[[#This Row],[Q3_7]]-Table_EH_Pre_Survey_May_20__2023_08_224[[#This Row],[Q3_7]]</f>
        <v>-2</v>
      </c>
      <c r="AC20" s="4">
        <f>Table_EH_Post_Survey_May_22__2023_11_005[[#This Row],[Q4_1]]-Table_EH_Pre_Survey_May_20__2023_08_224[[#This Row],[Q4_1]]</f>
        <v>-1</v>
      </c>
      <c r="AD20" s="4">
        <f>Table_EH_Post_Survey_May_22__2023_11_005[[#This Row],[Q5 Coded Responses]]-Table_EH_Pre_Survey_May_20__2023_08_224[[#This Row],[Q5 Coded Responses]]</f>
        <v>0</v>
      </c>
      <c r="AE20" s="4">
        <f>Table_EH_Post_Survey_May_22__2023_11_005[[#This Row],[Q6 Coded Responses]]-Table_EH_Pre_Survey_May_20__2023_08_224[[#This Row],[Q6 Coded Responses]]</f>
        <v>0</v>
      </c>
      <c r="AF20" s="4">
        <f>Table_EH_Post_Survey_May_22__2023_11_005[[#This Row],[Q7 Responses Coded]]-Table_EH_Pre_Survey_May_20__2023_08_224[[#This Row],[Q7 Responses Coded]]</f>
        <v>-1</v>
      </c>
      <c r="AG20" s="4">
        <f>Table_EH_Post_Survey_May_22__2023_11_005[[#This Row],[Q8_1]]-Table_EH_Pre_Survey_May_20__2023_08_224[[#This Row],[Q8_1]]</f>
        <v>0</v>
      </c>
      <c r="AH20" s="4">
        <f>Table_EH_Post_Survey_May_22__2023_11_005[[#This Row],[Q8_2]]-Table_EH_Pre_Survey_May_20__2023_08_224[[#This Row],[Q8_2]]</f>
        <v>-1</v>
      </c>
      <c r="AI20" s="4">
        <f>Table_EH_Post_Survey_May_22__2023_11_005[[#This Row],[Q8_3]]-Table_EH_Pre_Survey_May_20__2023_08_224[[#This Row],[Q8_3]]</f>
        <v>-2</v>
      </c>
      <c r="AJ20" s="4">
        <f>Table_EH_Post_Survey_May_22__2023_11_005[[#This Row],[Q8_4]]-Table_EH_Pre_Survey_May_20__2023_08_224[[#This Row],[Q8_4]]</f>
        <v>-1</v>
      </c>
      <c r="AK20" s="4">
        <f>Table_EH_Post_Survey_May_22__2023_11_005[[#This Row],[Q8_5]]-Table_EH_Pre_Survey_May_20__2023_08_224[[#This Row],[Q8_5]]</f>
        <v>3</v>
      </c>
      <c r="AL20" s="4">
        <f>Table_EH_Post_Survey_May_22__2023_11_005[[#This Row],[Q8_6]]-Table_EH_Pre_Survey_May_20__2023_08_224[[#This Row],[Q8_6]]</f>
        <v>1</v>
      </c>
      <c r="AM20" s="4">
        <f>Table_EH_Post_Survey_May_22__2023_11_005[[#This Row],[Q9_1]]-Table_EH_Pre_Survey_May_20__2023_08_224[[#This Row],[Q9_1]]</f>
        <v>0</v>
      </c>
    </row>
    <row r="21" spans="1:39" x14ac:dyDescent="0.25">
      <c r="A21" t="s">
        <v>1146</v>
      </c>
      <c r="B21" t="s">
        <v>1147</v>
      </c>
      <c r="C21" t="s">
        <v>42</v>
      </c>
      <c r="D21" t="s">
        <v>190</v>
      </c>
      <c r="E21" t="s">
        <v>112</v>
      </c>
      <c r="F21" s="3">
        <v>76</v>
      </c>
      <c r="G21" s="3">
        <f>_xlfn.NUMBERVALUE(Table_EH_Post_Survey_May_22__2023_11_0056[[#This Row],[Duration (in seconds) - Duration (in seconds)]])</f>
        <v>76</v>
      </c>
      <c r="H21" t="s">
        <v>114</v>
      </c>
      <c r="I21" t="s">
        <v>1148</v>
      </c>
      <c r="J21" t="s">
        <v>1149</v>
      </c>
      <c r="K21" t="s">
        <v>111</v>
      </c>
      <c r="L21" t="s">
        <v>111</v>
      </c>
      <c r="M21" t="s">
        <v>111</v>
      </c>
      <c r="N21" t="s">
        <v>111</v>
      </c>
      <c r="O21" t="s">
        <v>193</v>
      </c>
      <c r="P21" t="s">
        <v>194</v>
      </c>
      <c r="Q21" t="s">
        <v>127</v>
      </c>
      <c r="R21" t="s">
        <v>117</v>
      </c>
      <c r="S21" s="17" t="s">
        <v>297</v>
      </c>
      <c r="T21" s="17" t="str">
        <f>VLOOKUP(Table_EH_Post_Survey_May_22__2023_11_0056[[#This Row],[Q1 - NetID]], Table_EH_Pre_Survey_May_20__2023_08_224[Q1 - NetID Post-Survey], 1, FALSE)</f>
        <v>mmm564</v>
      </c>
      <c r="U21" s="4">
        <f>Table_EH_Post_Survey_May_22__2023_11_005[[#This Row],[Q2]]-Table_EH_Pre_Survey_May_20__2023_08_224[[#This Row],[Q2]]</f>
        <v>0</v>
      </c>
      <c r="V21" s="4">
        <f>Table_EH_Post_Survey_May_22__2023_11_005[[#This Row],[Q3_1]]-Table_EH_Pre_Survey_May_20__2023_08_224[[#This Row],[Q3_1]]</f>
        <v>0</v>
      </c>
      <c r="W21" s="4">
        <f>Table_EH_Post_Survey_May_22__2023_11_005[[#This Row],[Q3_2]]-Table_EH_Pre_Survey_May_20__2023_08_224[[#This Row],[Q3_2]]</f>
        <v>-1</v>
      </c>
      <c r="X21" s="4">
        <f>Table_EH_Post_Survey_May_22__2023_11_005[[#This Row],[Q3_3]]-Table_EH_Pre_Survey_May_20__2023_08_224[[#This Row],[Q3_3]]</f>
        <v>-1</v>
      </c>
      <c r="Y21" s="4">
        <f>Table_EH_Post_Survey_May_22__2023_11_005[[#This Row],[Q3_4]]-Table_EH_Pre_Survey_May_20__2023_08_224[[#This Row],[Q3_4]]</f>
        <v>0</v>
      </c>
      <c r="Z21" s="4">
        <f>Table_EH_Post_Survey_May_22__2023_11_005[[#This Row],[Q3_5]]-Table_EH_Pre_Survey_May_20__2023_08_224[[#This Row],[Q3_5]]</f>
        <v>0</v>
      </c>
      <c r="AA21" s="4">
        <f>Table_EH_Post_Survey_May_22__2023_11_005[[#This Row],[Q3_6]]-Table_EH_Pre_Survey_May_20__2023_08_224[[#This Row],[Q3_6]]</f>
        <v>0</v>
      </c>
      <c r="AB21" s="4">
        <f>Table_EH_Post_Survey_May_22__2023_11_005[[#This Row],[Q3_7]]-Table_EH_Pre_Survey_May_20__2023_08_224[[#This Row],[Q3_7]]</f>
        <v>0</v>
      </c>
      <c r="AC21" s="4">
        <f>Table_EH_Post_Survey_May_22__2023_11_005[[#This Row],[Q4_1]]-Table_EH_Pre_Survey_May_20__2023_08_224[[#This Row],[Q4_1]]</f>
        <v>0</v>
      </c>
      <c r="AD21" s="4">
        <f>Table_EH_Post_Survey_May_22__2023_11_005[[#This Row],[Q5 Coded Responses]]-Table_EH_Pre_Survey_May_20__2023_08_224[[#This Row],[Q5 Coded Responses]]</f>
        <v>0</v>
      </c>
      <c r="AE21" s="4">
        <f>Table_EH_Post_Survey_May_22__2023_11_005[[#This Row],[Q6 Coded Responses]]-Table_EH_Pre_Survey_May_20__2023_08_224[[#This Row],[Q6 Coded Responses]]</f>
        <v>0</v>
      </c>
      <c r="AF21" s="4">
        <f>Table_EH_Post_Survey_May_22__2023_11_005[[#This Row],[Q7 Responses Coded]]-Table_EH_Pre_Survey_May_20__2023_08_224[[#This Row],[Q7 Responses Coded]]</f>
        <v>-1</v>
      </c>
      <c r="AG21" s="4">
        <f>Table_EH_Post_Survey_May_22__2023_11_005[[#This Row],[Q8_1]]-Table_EH_Pre_Survey_May_20__2023_08_224[[#This Row],[Q8_1]]</f>
        <v>2</v>
      </c>
      <c r="AH21" s="4">
        <f>Table_EH_Post_Survey_May_22__2023_11_005[[#This Row],[Q8_2]]-Table_EH_Pre_Survey_May_20__2023_08_224[[#This Row],[Q8_2]]</f>
        <v>0</v>
      </c>
      <c r="AI21" s="4">
        <f>Table_EH_Post_Survey_May_22__2023_11_005[[#This Row],[Q8_3]]-Table_EH_Pre_Survey_May_20__2023_08_224[[#This Row],[Q8_3]]</f>
        <v>0</v>
      </c>
      <c r="AJ21" s="4">
        <f>Table_EH_Post_Survey_May_22__2023_11_005[[#This Row],[Q8_4]]-Table_EH_Pre_Survey_May_20__2023_08_224[[#This Row],[Q8_4]]</f>
        <v>0</v>
      </c>
      <c r="AK21" s="4">
        <f>Table_EH_Post_Survey_May_22__2023_11_005[[#This Row],[Q8_5]]-Table_EH_Pre_Survey_May_20__2023_08_224[[#This Row],[Q8_5]]</f>
        <v>1</v>
      </c>
      <c r="AL21" s="4">
        <f>Table_EH_Post_Survey_May_22__2023_11_005[[#This Row],[Q8_6]]-Table_EH_Pre_Survey_May_20__2023_08_224[[#This Row],[Q8_6]]</f>
        <v>0</v>
      </c>
      <c r="AM21" s="4">
        <f>Table_EH_Post_Survey_May_22__2023_11_005[[#This Row],[Q9_1]]-Table_EH_Pre_Survey_May_20__2023_08_224[[#This Row],[Q9_1]]</f>
        <v>0</v>
      </c>
    </row>
    <row r="22" spans="1:39" x14ac:dyDescent="0.25">
      <c r="A22" t="s">
        <v>1093</v>
      </c>
      <c r="B22" t="s">
        <v>1094</v>
      </c>
      <c r="C22" t="s">
        <v>42</v>
      </c>
      <c r="D22" t="s">
        <v>389</v>
      </c>
      <c r="E22" t="s">
        <v>112</v>
      </c>
      <c r="F22" s="3">
        <v>256</v>
      </c>
      <c r="G22" s="3">
        <f>_xlfn.NUMBERVALUE(Table_EH_Post_Survey_May_22__2023_11_0056[[#This Row],[Duration (in seconds) - Duration (in seconds)]])</f>
        <v>256</v>
      </c>
      <c r="H22" t="s">
        <v>114</v>
      </c>
      <c r="I22" t="s">
        <v>1094</v>
      </c>
      <c r="J22" t="s">
        <v>1095</v>
      </c>
      <c r="K22" t="s">
        <v>111</v>
      </c>
      <c r="L22" t="s">
        <v>111</v>
      </c>
      <c r="M22" t="s">
        <v>111</v>
      </c>
      <c r="N22" t="s">
        <v>111</v>
      </c>
      <c r="O22" t="s">
        <v>392</v>
      </c>
      <c r="P22" t="s">
        <v>393</v>
      </c>
      <c r="Q22" t="s">
        <v>127</v>
      </c>
      <c r="R22" t="s">
        <v>117</v>
      </c>
      <c r="S22" s="17" t="s">
        <v>139</v>
      </c>
      <c r="T22" s="17" t="str">
        <f>VLOOKUP(Table_EH_Post_Survey_May_22__2023_11_0056[[#This Row],[Q1 - NetID]], Table_EH_Pre_Survey_May_20__2023_08_224[Q1 - NetID Post-Survey], 1, FALSE)</f>
        <v>Nsa86</v>
      </c>
      <c r="U22" s="4">
        <f>Table_EH_Post_Survey_May_22__2023_11_005[[#This Row],[Q2]]-Table_EH_Pre_Survey_May_20__2023_08_224[[#This Row],[Q2]]</f>
        <v>1</v>
      </c>
      <c r="V22" s="4">
        <f>Table_EH_Post_Survey_May_22__2023_11_005[[#This Row],[Q3_1]]-Table_EH_Pre_Survey_May_20__2023_08_224[[#This Row],[Q3_1]]</f>
        <v>0</v>
      </c>
      <c r="W22" s="4">
        <f>Table_EH_Post_Survey_May_22__2023_11_005[[#This Row],[Q3_2]]-Table_EH_Pre_Survey_May_20__2023_08_224[[#This Row],[Q3_2]]</f>
        <v>0</v>
      </c>
      <c r="X22" s="4">
        <f>Table_EH_Post_Survey_May_22__2023_11_005[[#This Row],[Q3_3]]-Table_EH_Pre_Survey_May_20__2023_08_224[[#This Row],[Q3_3]]</f>
        <v>0</v>
      </c>
      <c r="Y22" s="4">
        <f>Table_EH_Post_Survey_May_22__2023_11_005[[#This Row],[Q3_4]]-Table_EH_Pre_Survey_May_20__2023_08_224[[#This Row],[Q3_4]]</f>
        <v>1</v>
      </c>
      <c r="Z22" s="4">
        <f>Table_EH_Post_Survey_May_22__2023_11_005[[#This Row],[Q3_5]]-Table_EH_Pre_Survey_May_20__2023_08_224[[#This Row],[Q3_5]]</f>
        <v>0</v>
      </c>
      <c r="AA22" s="4">
        <f>Table_EH_Post_Survey_May_22__2023_11_005[[#This Row],[Q3_6]]-Table_EH_Pre_Survey_May_20__2023_08_224[[#This Row],[Q3_6]]</f>
        <v>0</v>
      </c>
      <c r="AB22" s="4">
        <f>Table_EH_Post_Survey_May_22__2023_11_005[[#This Row],[Q3_7]]-Table_EH_Pre_Survey_May_20__2023_08_224[[#This Row],[Q3_7]]</f>
        <v>1</v>
      </c>
      <c r="AC22" s="4">
        <f>Table_EH_Post_Survey_May_22__2023_11_005[[#This Row],[Q4_1]]-Table_EH_Pre_Survey_May_20__2023_08_224[[#This Row],[Q4_1]]</f>
        <v>-1</v>
      </c>
      <c r="AD22" s="4">
        <f>Table_EH_Post_Survey_May_22__2023_11_005[[#This Row],[Q5 Coded Responses]]-Table_EH_Pre_Survey_May_20__2023_08_224[[#This Row],[Q5 Coded Responses]]</f>
        <v>0</v>
      </c>
      <c r="AE22" s="4">
        <f>Table_EH_Post_Survey_May_22__2023_11_005[[#This Row],[Q6 Coded Responses]]-Table_EH_Pre_Survey_May_20__2023_08_224[[#This Row],[Q6 Coded Responses]]</f>
        <v>0</v>
      </c>
      <c r="AF22" s="4">
        <f>Table_EH_Post_Survey_May_22__2023_11_005[[#This Row],[Q7 Responses Coded]]-Table_EH_Pre_Survey_May_20__2023_08_224[[#This Row],[Q7 Responses Coded]]</f>
        <v>0</v>
      </c>
      <c r="AG22" s="4">
        <f>Table_EH_Post_Survey_May_22__2023_11_005[[#This Row],[Q8_1]]-Table_EH_Pre_Survey_May_20__2023_08_224[[#This Row],[Q8_1]]</f>
        <v>2</v>
      </c>
      <c r="AH22" s="4">
        <f>Table_EH_Post_Survey_May_22__2023_11_005[[#This Row],[Q8_2]]-Table_EH_Pre_Survey_May_20__2023_08_224[[#This Row],[Q8_2]]</f>
        <v>4</v>
      </c>
      <c r="AI22" s="4">
        <f>Table_EH_Post_Survey_May_22__2023_11_005[[#This Row],[Q8_3]]-Table_EH_Pre_Survey_May_20__2023_08_224[[#This Row],[Q8_3]]</f>
        <v>2</v>
      </c>
      <c r="AJ22" s="4">
        <f>Table_EH_Post_Survey_May_22__2023_11_005[[#This Row],[Q8_4]]-Table_EH_Pre_Survey_May_20__2023_08_224[[#This Row],[Q8_4]]</f>
        <v>3</v>
      </c>
      <c r="AK22" s="4">
        <f>Table_EH_Post_Survey_May_22__2023_11_005[[#This Row],[Q8_5]]-Table_EH_Pre_Survey_May_20__2023_08_224[[#This Row],[Q8_5]]</f>
        <v>1</v>
      </c>
      <c r="AL22" s="4">
        <f>Table_EH_Post_Survey_May_22__2023_11_005[[#This Row],[Q8_6]]-Table_EH_Pre_Survey_May_20__2023_08_224[[#This Row],[Q8_6]]</f>
        <v>1</v>
      </c>
      <c r="AM22" s="4">
        <f>Table_EH_Post_Survey_May_22__2023_11_005[[#This Row],[Q9_1]]-Table_EH_Pre_Survey_May_20__2023_08_224[[#This Row],[Q9_1]]</f>
        <v>0</v>
      </c>
    </row>
    <row r="23" spans="1:39" x14ac:dyDescent="0.25">
      <c r="A23" t="s">
        <v>1142</v>
      </c>
      <c r="B23" t="s">
        <v>1143</v>
      </c>
      <c r="C23" t="s">
        <v>42</v>
      </c>
      <c r="D23" t="s">
        <v>389</v>
      </c>
      <c r="E23" t="s">
        <v>112</v>
      </c>
      <c r="F23" s="3">
        <v>139</v>
      </c>
      <c r="G23" s="3">
        <f>_xlfn.NUMBERVALUE(Table_EH_Post_Survey_May_22__2023_11_0056[[#This Row],[Duration (in seconds) - Duration (in seconds)]])</f>
        <v>139</v>
      </c>
      <c r="H23" t="s">
        <v>114</v>
      </c>
      <c r="I23" t="s">
        <v>1143</v>
      </c>
      <c r="J23" t="s">
        <v>1144</v>
      </c>
      <c r="K23" t="s">
        <v>111</v>
      </c>
      <c r="L23" t="s">
        <v>111</v>
      </c>
      <c r="M23" t="s">
        <v>111</v>
      </c>
      <c r="N23" t="s">
        <v>111</v>
      </c>
      <c r="O23" t="s">
        <v>392</v>
      </c>
      <c r="P23" t="s">
        <v>393</v>
      </c>
      <c r="Q23" t="s">
        <v>127</v>
      </c>
      <c r="R23" t="s">
        <v>117</v>
      </c>
      <c r="S23" s="17" t="s">
        <v>1145</v>
      </c>
      <c r="T23" s="17" t="str">
        <f>VLOOKUP(Table_EH_Post_Survey_May_22__2023_11_0056[[#This Row],[Q1 - NetID]], Table_EH_Pre_Survey_May_20__2023_08_224[Q1 - NetID Post-Survey], 1, FALSE)</f>
        <v>Oam38</v>
      </c>
      <c r="U23" s="4">
        <f>Table_EH_Post_Survey_May_22__2023_11_005[[#This Row],[Q2]]-Table_EH_Pre_Survey_May_20__2023_08_224[[#This Row],[Q2]]</f>
        <v>1</v>
      </c>
      <c r="V23" s="4">
        <f>Table_EH_Post_Survey_May_22__2023_11_005[[#This Row],[Q3_1]]-Table_EH_Pre_Survey_May_20__2023_08_224[[#This Row],[Q3_1]]</f>
        <v>1</v>
      </c>
      <c r="W23" s="4">
        <f>Table_EH_Post_Survey_May_22__2023_11_005[[#This Row],[Q3_2]]-Table_EH_Pre_Survey_May_20__2023_08_224[[#This Row],[Q3_2]]</f>
        <v>0</v>
      </c>
      <c r="X23" s="4">
        <f>Table_EH_Post_Survey_May_22__2023_11_005[[#This Row],[Q3_3]]-Table_EH_Pre_Survey_May_20__2023_08_224[[#This Row],[Q3_3]]</f>
        <v>-1</v>
      </c>
      <c r="Y23" s="4">
        <f>Table_EH_Post_Survey_May_22__2023_11_005[[#This Row],[Q3_4]]-Table_EH_Pre_Survey_May_20__2023_08_224[[#This Row],[Q3_4]]</f>
        <v>2</v>
      </c>
      <c r="Z23" s="4">
        <f>Table_EH_Post_Survey_May_22__2023_11_005[[#This Row],[Q3_5]]-Table_EH_Pre_Survey_May_20__2023_08_224[[#This Row],[Q3_5]]</f>
        <v>0</v>
      </c>
      <c r="AA23" s="4">
        <f>Table_EH_Post_Survey_May_22__2023_11_005[[#This Row],[Q3_6]]-Table_EH_Pre_Survey_May_20__2023_08_224[[#This Row],[Q3_6]]</f>
        <v>0</v>
      </c>
      <c r="AB23" s="4">
        <f>Table_EH_Post_Survey_May_22__2023_11_005[[#This Row],[Q3_7]]-Table_EH_Pre_Survey_May_20__2023_08_224[[#This Row],[Q3_7]]</f>
        <v>-1</v>
      </c>
      <c r="AC23" s="4">
        <f>Table_EH_Post_Survey_May_22__2023_11_005[[#This Row],[Q4_1]]-Table_EH_Pre_Survey_May_20__2023_08_224[[#This Row],[Q4_1]]</f>
        <v>-1</v>
      </c>
      <c r="AD23" s="4">
        <f>Table_EH_Post_Survey_May_22__2023_11_005[[#This Row],[Q5 Coded Responses]]-Table_EH_Pre_Survey_May_20__2023_08_224[[#This Row],[Q5 Coded Responses]]</f>
        <v>1</v>
      </c>
      <c r="AE23" s="4">
        <f>Table_EH_Post_Survey_May_22__2023_11_005[[#This Row],[Q6 Coded Responses]]-Table_EH_Pre_Survey_May_20__2023_08_224[[#This Row],[Q6 Coded Responses]]</f>
        <v>1</v>
      </c>
      <c r="AF23" s="4">
        <f>Table_EH_Post_Survey_May_22__2023_11_005[[#This Row],[Q7 Responses Coded]]-Table_EH_Pre_Survey_May_20__2023_08_224[[#This Row],[Q7 Responses Coded]]</f>
        <v>0</v>
      </c>
      <c r="AG23" s="4">
        <f>Table_EH_Post_Survey_May_22__2023_11_005[[#This Row],[Q8_1]]-Table_EH_Pre_Survey_May_20__2023_08_224[[#This Row],[Q8_1]]</f>
        <v>2</v>
      </c>
      <c r="AH23" s="4">
        <f>Table_EH_Post_Survey_May_22__2023_11_005[[#This Row],[Q8_2]]-Table_EH_Pre_Survey_May_20__2023_08_224[[#This Row],[Q8_2]]</f>
        <v>1</v>
      </c>
      <c r="AI23" s="4">
        <f>Table_EH_Post_Survey_May_22__2023_11_005[[#This Row],[Q8_3]]-Table_EH_Pre_Survey_May_20__2023_08_224[[#This Row],[Q8_3]]</f>
        <v>0</v>
      </c>
      <c r="AJ23" s="4">
        <f>Table_EH_Post_Survey_May_22__2023_11_005[[#This Row],[Q8_4]]-Table_EH_Pre_Survey_May_20__2023_08_224[[#This Row],[Q8_4]]</f>
        <v>0</v>
      </c>
      <c r="AK23" s="4">
        <f>Table_EH_Post_Survey_May_22__2023_11_005[[#This Row],[Q8_5]]-Table_EH_Pre_Survey_May_20__2023_08_224[[#This Row],[Q8_5]]</f>
        <v>0</v>
      </c>
      <c r="AL23" s="4">
        <f>Table_EH_Post_Survey_May_22__2023_11_005[[#This Row],[Q8_6]]-Table_EH_Pre_Survey_May_20__2023_08_224[[#This Row],[Q8_6]]</f>
        <v>1</v>
      </c>
      <c r="AM23" s="4">
        <f>Table_EH_Post_Survey_May_22__2023_11_005[[#This Row],[Q9_1]]-Table_EH_Pre_Survey_May_20__2023_08_224[[#This Row],[Q9_1]]</f>
        <v>4</v>
      </c>
    </row>
    <row r="24" spans="1:39" x14ac:dyDescent="0.25">
      <c r="A24" t="s">
        <v>1014</v>
      </c>
      <c r="B24" t="s">
        <v>1011</v>
      </c>
      <c r="C24" t="s">
        <v>42</v>
      </c>
      <c r="D24" t="s">
        <v>1015</v>
      </c>
      <c r="E24" t="s">
        <v>112</v>
      </c>
      <c r="F24" s="3">
        <v>233</v>
      </c>
      <c r="G24" s="3">
        <f>_xlfn.NUMBERVALUE(Table_EH_Post_Survey_May_22__2023_11_0056[[#This Row],[Duration (in seconds) - Duration (in seconds)]])</f>
        <v>233</v>
      </c>
      <c r="H24" t="s">
        <v>114</v>
      </c>
      <c r="I24" t="s">
        <v>1016</v>
      </c>
      <c r="J24" t="s">
        <v>1017</v>
      </c>
      <c r="K24" t="s">
        <v>111</v>
      </c>
      <c r="L24" t="s">
        <v>111</v>
      </c>
      <c r="M24" t="s">
        <v>111</v>
      </c>
      <c r="N24" t="s">
        <v>111</v>
      </c>
      <c r="O24" t="s">
        <v>351</v>
      </c>
      <c r="P24" t="s">
        <v>352</v>
      </c>
      <c r="Q24" t="s">
        <v>487</v>
      </c>
      <c r="R24" t="s">
        <v>117</v>
      </c>
      <c r="S24" s="17" t="s">
        <v>1018</v>
      </c>
      <c r="T24" s="17" t="str">
        <f>VLOOKUP(Table_EH_Post_Survey_May_22__2023_11_0056[[#This Row],[Q1 - NetID]], Table_EH_Pre_Survey_May_20__2023_08_224[Q1 - NetID Post-Survey], 1, FALSE)</f>
        <v>pb658</v>
      </c>
      <c r="U24" s="4">
        <f>Table_EH_Post_Survey_May_22__2023_11_005[[#This Row],[Q2]]-Table_EH_Pre_Survey_May_20__2023_08_224[[#This Row],[Q2]]</f>
        <v>2</v>
      </c>
      <c r="V24" s="4">
        <f>Table_EH_Post_Survey_May_22__2023_11_005[[#This Row],[Q3_1]]-Table_EH_Pre_Survey_May_20__2023_08_224[[#This Row],[Q3_1]]</f>
        <v>2</v>
      </c>
      <c r="W24" s="4">
        <f>Table_EH_Post_Survey_May_22__2023_11_005[[#This Row],[Q3_2]]-Table_EH_Pre_Survey_May_20__2023_08_224[[#This Row],[Q3_2]]</f>
        <v>-1</v>
      </c>
      <c r="X24" s="4">
        <f>Table_EH_Post_Survey_May_22__2023_11_005[[#This Row],[Q3_3]]-Table_EH_Pre_Survey_May_20__2023_08_224[[#This Row],[Q3_3]]</f>
        <v>3</v>
      </c>
      <c r="Y24" s="4">
        <f>Table_EH_Post_Survey_May_22__2023_11_005[[#This Row],[Q3_4]]-Table_EH_Pre_Survey_May_20__2023_08_224[[#This Row],[Q3_4]]</f>
        <v>0</v>
      </c>
      <c r="Z24" s="4">
        <f>Table_EH_Post_Survey_May_22__2023_11_005[[#This Row],[Q3_5]]-Table_EH_Pre_Survey_May_20__2023_08_224[[#This Row],[Q3_5]]</f>
        <v>0</v>
      </c>
      <c r="AA24" s="4">
        <f>Table_EH_Post_Survey_May_22__2023_11_005[[#This Row],[Q3_6]]-Table_EH_Pre_Survey_May_20__2023_08_224[[#This Row],[Q3_6]]</f>
        <v>3</v>
      </c>
      <c r="AB24" s="4">
        <f>Table_EH_Post_Survey_May_22__2023_11_005[[#This Row],[Q3_7]]-Table_EH_Pre_Survey_May_20__2023_08_224[[#This Row],[Q3_7]]</f>
        <v>0</v>
      </c>
      <c r="AC24" s="4">
        <f>Table_EH_Post_Survey_May_22__2023_11_005[[#This Row],[Q4_1]]-Table_EH_Pre_Survey_May_20__2023_08_224[[#This Row],[Q4_1]]</f>
        <v>0</v>
      </c>
      <c r="AD24" s="4">
        <f>Table_EH_Post_Survey_May_22__2023_11_005[[#This Row],[Q5 Coded Responses]]-Table_EH_Pre_Survey_May_20__2023_08_224[[#This Row],[Q5 Coded Responses]]</f>
        <v>1</v>
      </c>
      <c r="AE24" s="4">
        <f>Table_EH_Post_Survey_May_22__2023_11_005[[#This Row],[Q6 Coded Responses]]-Table_EH_Pre_Survey_May_20__2023_08_224[[#This Row],[Q6 Coded Responses]]</f>
        <v>1</v>
      </c>
      <c r="AF24" s="4">
        <f>Table_EH_Post_Survey_May_22__2023_11_005[[#This Row],[Q7 Responses Coded]]-Table_EH_Pre_Survey_May_20__2023_08_224[[#This Row],[Q7 Responses Coded]]</f>
        <v>-1</v>
      </c>
      <c r="AG24" s="4">
        <f>Table_EH_Post_Survey_May_22__2023_11_005[[#This Row],[Q8_1]]-Table_EH_Pre_Survey_May_20__2023_08_224[[#This Row],[Q8_1]]</f>
        <v>-1</v>
      </c>
      <c r="AH24" s="4">
        <f>Table_EH_Post_Survey_May_22__2023_11_005[[#This Row],[Q8_2]]-Table_EH_Pre_Survey_May_20__2023_08_224[[#This Row],[Q8_2]]</f>
        <v>1</v>
      </c>
      <c r="AI24" s="4">
        <f>Table_EH_Post_Survey_May_22__2023_11_005[[#This Row],[Q8_3]]-Table_EH_Pre_Survey_May_20__2023_08_224[[#This Row],[Q8_3]]</f>
        <v>-1</v>
      </c>
      <c r="AJ24" s="4">
        <f>Table_EH_Post_Survey_May_22__2023_11_005[[#This Row],[Q8_4]]-Table_EH_Pre_Survey_May_20__2023_08_224[[#This Row],[Q8_4]]</f>
        <v>-1</v>
      </c>
      <c r="AK24" s="4">
        <f>Table_EH_Post_Survey_May_22__2023_11_005[[#This Row],[Q8_5]]-Table_EH_Pre_Survey_May_20__2023_08_224[[#This Row],[Q8_5]]</f>
        <v>-1</v>
      </c>
      <c r="AL24" s="4">
        <f>Table_EH_Post_Survey_May_22__2023_11_005[[#This Row],[Q8_6]]-Table_EH_Pre_Survey_May_20__2023_08_224[[#This Row],[Q8_6]]</f>
        <v>-1</v>
      </c>
      <c r="AM24" s="4">
        <f>Table_EH_Post_Survey_May_22__2023_11_005[[#This Row],[Q9_1]]-Table_EH_Pre_Survey_May_20__2023_08_224[[#This Row],[Q9_1]]</f>
        <v>-2</v>
      </c>
    </row>
    <row r="25" spans="1:39" x14ac:dyDescent="0.25">
      <c r="A25" t="s">
        <v>1137</v>
      </c>
      <c r="B25" t="s">
        <v>1138</v>
      </c>
      <c r="C25" t="s">
        <v>42</v>
      </c>
      <c r="D25" t="s">
        <v>826</v>
      </c>
      <c r="E25" t="s">
        <v>112</v>
      </c>
      <c r="F25" s="3">
        <v>184</v>
      </c>
      <c r="G25" s="3">
        <f>_xlfn.NUMBERVALUE(Table_EH_Post_Survey_May_22__2023_11_0056[[#This Row],[Duration (in seconds) - Duration (in seconds)]])</f>
        <v>184</v>
      </c>
      <c r="H25" t="s">
        <v>114</v>
      </c>
      <c r="I25" t="s">
        <v>1139</v>
      </c>
      <c r="J25" t="s">
        <v>1140</v>
      </c>
      <c r="K25" t="s">
        <v>111</v>
      </c>
      <c r="L25" t="s">
        <v>111</v>
      </c>
      <c r="M25" t="s">
        <v>111</v>
      </c>
      <c r="N25" t="s">
        <v>111</v>
      </c>
      <c r="O25" t="s">
        <v>115</v>
      </c>
      <c r="P25" t="s">
        <v>116</v>
      </c>
      <c r="Q25" t="s">
        <v>127</v>
      </c>
      <c r="R25" t="s">
        <v>117</v>
      </c>
      <c r="S25" s="17" t="s">
        <v>496</v>
      </c>
      <c r="T25" s="17" t="str">
        <f>VLOOKUP(Table_EH_Post_Survey_May_22__2023_11_0056[[#This Row],[Q1 - NetID]], Table_EH_Pre_Survey_May_20__2023_08_224[Q1 - NetID Post-Survey], 1, FALSE)</f>
        <v>Pfa13</v>
      </c>
      <c r="U25" s="4">
        <f>Table_EH_Post_Survey_May_22__2023_11_005[[#This Row],[Q2]]-Table_EH_Pre_Survey_May_20__2023_08_224[[#This Row],[Q2]]</f>
        <v>1</v>
      </c>
      <c r="V25" s="4">
        <f>Table_EH_Post_Survey_May_22__2023_11_005[[#This Row],[Q3_1]]-Table_EH_Pre_Survey_May_20__2023_08_224[[#This Row],[Q3_1]]</f>
        <v>3</v>
      </c>
      <c r="W25" s="4">
        <f>Table_EH_Post_Survey_May_22__2023_11_005[[#This Row],[Q3_2]]-Table_EH_Pre_Survey_May_20__2023_08_224[[#This Row],[Q3_2]]</f>
        <v>-1</v>
      </c>
      <c r="X25" s="4">
        <f>Table_EH_Post_Survey_May_22__2023_11_005[[#This Row],[Q3_3]]-Table_EH_Pre_Survey_May_20__2023_08_224[[#This Row],[Q3_3]]</f>
        <v>-1</v>
      </c>
      <c r="Y25" s="4">
        <f>Table_EH_Post_Survey_May_22__2023_11_005[[#This Row],[Q3_4]]-Table_EH_Pre_Survey_May_20__2023_08_224[[#This Row],[Q3_4]]</f>
        <v>0</v>
      </c>
      <c r="Z25" s="4">
        <f>Table_EH_Post_Survey_May_22__2023_11_005[[#This Row],[Q3_5]]-Table_EH_Pre_Survey_May_20__2023_08_224[[#This Row],[Q3_5]]</f>
        <v>-1</v>
      </c>
      <c r="AA25" s="4">
        <f>Table_EH_Post_Survey_May_22__2023_11_005[[#This Row],[Q3_6]]-Table_EH_Pre_Survey_May_20__2023_08_224[[#This Row],[Q3_6]]</f>
        <v>-1</v>
      </c>
      <c r="AB25" s="4">
        <f>Table_EH_Post_Survey_May_22__2023_11_005[[#This Row],[Q3_7]]-Table_EH_Pre_Survey_May_20__2023_08_224[[#This Row],[Q3_7]]</f>
        <v>-1</v>
      </c>
      <c r="AC25" s="4">
        <f>Table_EH_Post_Survey_May_22__2023_11_005[[#This Row],[Q4_1]]-Table_EH_Pre_Survey_May_20__2023_08_224[[#This Row],[Q4_1]]</f>
        <v>-1.5</v>
      </c>
      <c r="AD25" s="4">
        <f>Table_EH_Post_Survey_May_22__2023_11_005[[#This Row],[Q5 Coded Responses]]-Table_EH_Pre_Survey_May_20__2023_08_224[[#This Row],[Q5 Coded Responses]]</f>
        <v>0</v>
      </c>
      <c r="AE25" s="4">
        <f>Table_EH_Post_Survey_May_22__2023_11_005[[#This Row],[Q6 Coded Responses]]-Table_EH_Pre_Survey_May_20__2023_08_224[[#This Row],[Q6 Coded Responses]]</f>
        <v>0</v>
      </c>
      <c r="AF25" s="4">
        <f>Table_EH_Post_Survey_May_22__2023_11_005[[#This Row],[Q7 Responses Coded]]-Table_EH_Pre_Survey_May_20__2023_08_224[[#This Row],[Q7 Responses Coded]]</f>
        <v>-1</v>
      </c>
      <c r="AG25" s="4">
        <f>Table_EH_Post_Survey_May_22__2023_11_005[[#This Row],[Q8_1]]-Table_EH_Pre_Survey_May_20__2023_08_224[[#This Row],[Q8_1]]</f>
        <v>0</v>
      </c>
      <c r="AH25" s="4">
        <f>Table_EH_Post_Survey_May_22__2023_11_005[[#This Row],[Q8_2]]-Table_EH_Pre_Survey_May_20__2023_08_224[[#This Row],[Q8_2]]</f>
        <v>2</v>
      </c>
      <c r="AI25" s="4">
        <f>Table_EH_Post_Survey_May_22__2023_11_005[[#This Row],[Q8_3]]-Table_EH_Pre_Survey_May_20__2023_08_224[[#This Row],[Q8_3]]</f>
        <v>-2</v>
      </c>
      <c r="AJ25" s="4">
        <f>Table_EH_Post_Survey_May_22__2023_11_005[[#This Row],[Q8_4]]-Table_EH_Pre_Survey_May_20__2023_08_224[[#This Row],[Q8_4]]</f>
        <v>1</v>
      </c>
      <c r="AK25" s="4">
        <f>Table_EH_Post_Survey_May_22__2023_11_005[[#This Row],[Q8_5]]-Table_EH_Pre_Survey_May_20__2023_08_224[[#This Row],[Q8_5]]</f>
        <v>1</v>
      </c>
      <c r="AL25" s="4">
        <f>Table_EH_Post_Survey_May_22__2023_11_005[[#This Row],[Q8_6]]-Table_EH_Pre_Survey_May_20__2023_08_224[[#This Row],[Q8_6]]</f>
        <v>1</v>
      </c>
      <c r="AM25" s="4">
        <f>Table_EH_Post_Survey_May_22__2023_11_005[[#This Row],[Q9_1]]-Table_EH_Pre_Survey_May_20__2023_08_224[[#This Row],[Q9_1]]</f>
        <v>3</v>
      </c>
    </row>
    <row r="26" spans="1:39" x14ac:dyDescent="0.25">
      <c r="A26" t="s">
        <v>1066</v>
      </c>
      <c r="B26" t="s">
        <v>1067</v>
      </c>
      <c r="C26" t="s">
        <v>42</v>
      </c>
      <c r="D26" t="s">
        <v>1068</v>
      </c>
      <c r="E26" t="s">
        <v>112</v>
      </c>
      <c r="F26" s="3">
        <v>1277</v>
      </c>
      <c r="G26" s="3">
        <f>_xlfn.NUMBERVALUE(Table_EH_Post_Survey_May_22__2023_11_0056[[#This Row],[Duration (in seconds) - Duration (in seconds)]])</f>
        <v>1277</v>
      </c>
      <c r="H26" t="s">
        <v>114</v>
      </c>
      <c r="I26" t="s">
        <v>1067</v>
      </c>
      <c r="J26" t="s">
        <v>1069</v>
      </c>
      <c r="K26" t="s">
        <v>111</v>
      </c>
      <c r="L26" t="s">
        <v>111</v>
      </c>
      <c r="M26" t="s">
        <v>111</v>
      </c>
      <c r="N26" t="s">
        <v>111</v>
      </c>
      <c r="O26" t="s">
        <v>656</v>
      </c>
      <c r="P26" t="s">
        <v>657</v>
      </c>
      <c r="Q26" t="s">
        <v>487</v>
      </c>
      <c r="R26" t="s">
        <v>117</v>
      </c>
      <c r="S26" s="17" t="s">
        <v>304</v>
      </c>
      <c r="T26" s="17" t="str">
        <f>VLOOKUP(Table_EH_Post_Survey_May_22__2023_11_0056[[#This Row],[Q1 - NetID]], Table_EH_Pre_Survey_May_20__2023_08_224[Q1 - NetID Post-Survey], 1, FALSE)</f>
        <v>Phl28</v>
      </c>
      <c r="U26" s="4">
        <f>Table_EH_Post_Survey_May_22__2023_11_005[[#This Row],[Q2]]-Table_EH_Pre_Survey_May_20__2023_08_224[[#This Row],[Q2]]</f>
        <v>1</v>
      </c>
      <c r="V26" s="4">
        <f>Table_EH_Post_Survey_May_22__2023_11_005[[#This Row],[Q3_1]]-Table_EH_Pre_Survey_May_20__2023_08_224[[#This Row],[Q3_1]]</f>
        <v>0</v>
      </c>
      <c r="W26" s="4">
        <f>Table_EH_Post_Survey_May_22__2023_11_005[[#This Row],[Q3_2]]-Table_EH_Pre_Survey_May_20__2023_08_224[[#This Row],[Q3_2]]</f>
        <v>-1</v>
      </c>
      <c r="X26" s="4">
        <f>Table_EH_Post_Survey_May_22__2023_11_005[[#This Row],[Q3_3]]-Table_EH_Pre_Survey_May_20__2023_08_224[[#This Row],[Q3_3]]</f>
        <v>-1</v>
      </c>
      <c r="Y26" s="4">
        <f>Table_EH_Post_Survey_May_22__2023_11_005[[#This Row],[Q3_4]]-Table_EH_Pre_Survey_May_20__2023_08_224[[#This Row],[Q3_4]]</f>
        <v>0</v>
      </c>
      <c r="Z26" s="4">
        <f>Table_EH_Post_Survey_May_22__2023_11_005[[#This Row],[Q3_5]]-Table_EH_Pre_Survey_May_20__2023_08_224[[#This Row],[Q3_5]]</f>
        <v>0</v>
      </c>
      <c r="AA26" s="4">
        <f>Table_EH_Post_Survey_May_22__2023_11_005[[#This Row],[Q3_6]]-Table_EH_Pre_Survey_May_20__2023_08_224[[#This Row],[Q3_6]]</f>
        <v>0</v>
      </c>
      <c r="AB26" s="4">
        <f>Table_EH_Post_Survey_May_22__2023_11_005[[#This Row],[Q3_7]]-Table_EH_Pre_Survey_May_20__2023_08_224[[#This Row],[Q3_7]]</f>
        <v>0</v>
      </c>
      <c r="AC26" s="4">
        <f>Table_EH_Post_Survey_May_22__2023_11_005[[#This Row],[Q4_1]]-Table_EH_Pre_Survey_May_20__2023_08_224[[#This Row],[Q4_1]]</f>
        <v>1</v>
      </c>
      <c r="AD26" s="4">
        <f>Table_EH_Post_Survey_May_22__2023_11_005[[#This Row],[Q5 Coded Responses]]-Table_EH_Pre_Survey_May_20__2023_08_224[[#This Row],[Q5 Coded Responses]]</f>
        <v>0</v>
      </c>
      <c r="AE26" s="4">
        <f>Table_EH_Post_Survey_May_22__2023_11_005[[#This Row],[Q6 Coded Responses]]-Table_EH_Pre_Survey_May_20__2023_08_224[[#This Row],[Q6 Coded Responses]]</f>
        <v>0</v>
      </c>
      <c r="AF26" s="4">
        <f>Table_EH_Post_Survey_May_22__2023_11_005[[#This Row],[Q7 Responses Coded]]-Table_EH_Pre_Survey_May_20__2023_08_224[[#This Row],[Q7 Responses Coded]]</f>
        <v>1</v>
      </c>
      <c r="AG26" s="4">
        <f>Table_EH_Post_Survey_May_22__2023_11_005[[#This Row],[Q8_1]]-Table_EH_Pre_Survey_May_20__2023_08_224[[#This Row],[Q8_1]]</f>
        <v>1</v>
      </c>
      <c r="AH26" s="4">
        <f>Table_EH_Post_Survey_May_22__2023_11_005[[#This Row],[Q8_2]]-Table_EH_Pre_Survey_May_20__2023_08_224[[#This Row],[Q8_2]]</f>
        <v>1</v>
      </c>
      <c r="AI26" s="4">
        <f>Table_EH_Post_Survey_May_22__2023_11_005[[#This Row],[Q8_3]]-Table_EH_Pre_Survey_May_20__2023_08_224[[#This Row],[Q8_3]]</f>
        <v>0</v>
      </c>
      <c r="AJ26" s="4">
        <f>Table_EH_Post_Survey_May_22__2023_11_005[[#This Row],[Q8_4]]-Table_EH_Pre_Survey_May_20__2023_08_224[[#This Row],[Q8_4]]</f>
        <v>0</v>
      </c>
      <c r="AK26" s="4">
        <f>Table_EH_Post_Survey_May_22__2023_11_005[[#This Row],[Q8_5]]-Table_EH_Pre_Survey_May_20__2023_08_224[[#This Row],[Q8_5]]</f>
        <v>0</v>
      </c>
      <c r="AL26" s="4">
        <f>Table_EH_Post_Survey_May_22__2023_11_005[[#This Row],[Q8_6]]-Table_EH_Pre_Survey_May_20__2023_08_224[[#This Row],[Q8_6]]</f>
        <v>0</v>
      </c>
      <c r="AM26" s="4">
        <f>Table_EH_Post_Survey_May_22__2023_11_005[[#This Row],[Q9_1]]-Table_EH_Pre_Survey_May_20__2023_08_224[[#This Row],[Q9_1]]</f>
        <v>3</v>
      </c>
    </row>
    <row r="27" spans="1:39" x14ac:dyDescent="0.25">
      <c r="A27" t="s">
        <v>1267</v>
      </c>
      <c r="B27" t="s">
        <v>1268</v>
      </c>
      <c r="C27" t="s">
        <v>42</v>
      </c>
      <c r="D27" t="s">
        <v>190</v>
      </c>
      <c r="E27" t="s">
        <v>112</v>
      </c>
      <c r="F27" s="3">
        <v>155</v>
      </c>
      <c r="G27" s="3">
        <f>_xlfn.NUMBERVALUE(Table_EH_Post_Survey_May_22__2023_11_0056[[#This Row],[Duration (in seconds) - Duration (in seconds)]])</f>
        <v>155</v>
      </c>
      <c r="H27" t="s">
        <v>114</v>
      </c>
      <c r="I27" t="s">
        <v>1269</v>
      </c>
      <c r="J27" t="s">
        <v>1270</v>
      </c>
      <c r="K27" t="s">
        <v>111</v>
      </c>
      <c r="L27" t="s">
        <v>111</v>
      </c>
      <c r="M27" t="s">
        <v>111</v>
      </c>
      <c r="N27" t="s">
        <v>111</v>
      </c>
      <c r="O27" t="s">
        <v>193</v>
      </c>
      <c r="P27" t="s">
        <v>194</v>
      </c>
      <c r="Q27" t="s">
        <v>127</v>
      </c>
      <c r="R27" t="s">
        <v>117</v>
      </c>
      <c r="S27" s="17" t="s">
        <v>1271</v>
      </c>
      <c r="T27" s="17" t="str">
        <f>VLOOKUP(Table_EH_Post_Survey_May_22__2023_11_0056[[#This Row],[Q1 - NetID]], Table_EH_Pre_Survey_May_20__2023_08_224[Q1 - NetID Post-Survey], 1, FALSE)</f>
        <v>Pmg128</v>
      </c>
      <c r="U27" s="4">
        <f>Table_EH_Post_Survey_May_22__2023_11_005[[#This Row],[Q2]]-Table_EH_Pre_Survey_May_20__2023_08_224[[#This Row],[Q2]]</f>
        <v>0</v>
      </c>
      <c r="V27" s="4">
        <f>Table_EH_Post_Survey_May_22__2023_11_005[[#This Row],[Q3_1]]-Table_EH_Pre_Survey_May_20__2023_08_224[[#This Row],[Q3_1]]</f>
        <v>1</v>
      </c>
      <c r="W27" s="4">
        <f>Table_EH_Post_Survey_May_22__2023_11_005[[#This Row],[Q3_2]]-Table_EH_Pre_Survey_May_20__2023_08_224[[#This Row],[Q3_2]]</f>
        <v>0</v>
      </c>
      <c r="X27" s="4">
        <f>Table_EH_Post_Survey_May_22__2023_11_005[[#This Row],[Q3_3]]-Table_EH_Pre_Survey_May_20__2023_08_224[[#This Row],[Q3_3]]</f>
        <v>0</v>
      </c>
      <c r="Y27" s="4">
        <f>Table_EH_Post_Survey_May_22__2023_11_005[[#This Row],[Q3_4]]-Table_EH_Pre_Survey_May_20__2023_08_224[[#This Row],[Q3_4]]</f>
        <v>0</v>
      </c>
      <c r="Z27" s="4">
        <f>Table_EH_Post_Survey_May_22__2023_11_005[[#This Row],[Q3_5]]-Table_EH_Pre_Survey_May_20__2023_08_224[[#This Row],[Q3_5]]</f>
        <v>0</v>
      </c>
      <c r="AA27" s="4">
        <f>Table_EH_Post_Survey_May_22__2023_11_005[[#This Row],[Q3_6]]-Table_EH_Pre_Survey_May_20__2023_08_224[[#This Row],[Q3_6]]</f>
        <v>0</v>
      </c>
      <c r="AB27" s="4">
        <f>Table_EH_Post_Survey_May_22__2023_11_005[[#This Row],[Q3_7]]-Table_EH_Pre_Survey_May_20__2023_08_224[[#This Row],[Q3_7]]</f>
        <v>1</v>
      </c>
      <c r="AC27" s="4">
        <f>Table_EH_Post_Survey_May_22__2023_11_005[[#This Row],[Q4_1]]-Table_EH_Pre_Survey_May_20__2023_08_224[[#This Row],[Q4_1]]</f>
        <v>-0.5</v>
      </c>
      <c r="AD27" s="4">
        <f>Table_EH_Post_Survey_May_22__2023_11_005[[#This Row],[Q5 Coded Responses]]-Table_EH_Pre_Survey_May_20__2023_08_224[[#This Row],[Q5 Coded Responses]]</f>
        <v>1</v>
      </c>
      <c r="AE27" s="4">
        <f>Table_EH_Post_Survey_May_22__2023_11_005[[#This Row],[Q6 Coded Responses]]-Table_EH_Pre_Survey_May_20__2023_08_224[[#This Row],[Q6 Coded Responses]]</f>
        <v>0</v>
      </c>
      <c r="AF27" s="4">
        <f>Table_EH_Post_Survey_May_22__2023_11_005[[#This Row],[Q7 Responses Coded]]-Table_EH_Pre_Survey_May_20__2023_08_224[[#This Row],[Q7 Responses Coded]]</f>
        <v>-2</v>
      </c>
      <c r="AG27" s="4">
        <f>Table_EH_Post_Survey_May_22__2023_11_005[[#This Row],[Q8_1]]-Table_EH_Pre_Survey_May_20__2023_08_224[[#This Row],[Q8_1]]</f>
        <v>4</v>
      </c>
      <c r="AH27" s="4">
        <f>Table_EH_Post_Survey_May_22__2023_11_005[[#This Row],[Q8_2]]-Table_EH_Pre_Survey_May_20__2023_08_224[[#This Row],[Q8_2]]</f>
        <v>1</v>
      </c>
      <c r="AI27" s="4">
        <f>Table_EH_Post_Survey_May_22__2023_11_005[[#This Row],[Q8_3]]-Table_EH_Pre_Survey_May_20__2023_08_224[[#This Row],[Q8_3]]</f>
        <v>1</v>
      </c>
      <c r="AJ27" s="4">
        <f>Table_EH_Post_Survey_May_22__2023_11_005[[#This Row],[Q8_4]]-Table_EH_Pre_Survey_May_20__2023_08_224[[#This Row],[Q8_4]]</f>
        <v>2</v>
      </c>
      <c r="AK27" s="4">
        <f>Table_EH_Post_Survey_May_22__2023_11_005[[#This Row],[Q8_5]]-Table_EH_Pre_Survey_May_20__2023_08_224[[#This Row],[Q8_5]]</f>
        <v>1</v>
      </c>
      <c r="AL27" s="4">
        <f>Table_EH_Post_Survey_May_22__2023_11_005[[#This Row],[Q8_6]]-Table_EH_Pre_Survey_May_20__2023_08_224[[#This Row],[Q8_6]]</f>
        <v>3</v>
      </c>
      <c r="AM27" s="4">
        <f>Table_EH_Post_Survey_May_22__2023_11_005[[#This Row],[Q9_1]]-Table_EH_Pre_Survey_May_20__2023_08_224[[#This Row],[Q9_1]]</f>
        <v>2</v>
      </c>
    </row>
    <row r="28" spans="1:39" x14ac:dyDescent="0.25">
      <c r="A28" t="s">
        <v>1062</v>
      </c>
      <c r="B28" t="s">
        <v>1063</v>
      </c>
      <c r="C28" t="s">
        <v>42</v>
      </c>
      <c r="D28" t="s">
        <v>389</v>
      </c>
      <c r="E28" t="s">
        <v>112</v>
      </c>
      <c r="F28" s="3">
        <v>1214</v>
      </c>
      <c r="G28" s="3">
        <f>_xlfn.NUMBERVALUE(Table_EH_Post_Survey_May_22__2023_11_0056[[#This Row],[Duration (in seconds) - Duration (in seconds)]])</f>
        <v>1214</v>
      </c>
      <c r="H28" t="s">
        <v>114</v>
      </c>
      <c r="I28" t="s">
        <v>1063</v>
      </c>
      <c r="J28" t="s">
        <v>1064</v>
      </c>
      <c r="K28" t="s">
        <v>111</v>
      </c>
      <c r="L28" t="s">
        <v>111</v>
      </c>
      <c r="M28" t="s">
        <v>111</v>
      </c>
      <c r="N28" t="s">
        <v>111</v>
      </c>
      <c r="O28" t="s">
        <v>392</v>
      </c>
      <c r="P28" t="s">
        <v>393</v>
      </c>
      <c r="Q28" t="s">
        <v>487</v>
      </c>
      <c r="R28" t="s">
        <v>117</v>
      </c>
      <c r="S28" s="17" t="s">
        <v>362</v>
      </c>
      <c r="T28" s="17" t="str">
        <f>VLOOKUP(Table_EH_Post_Survey_May_22__2023_11_0056[[#This Row],[Q1 - NetID]], Table_EH_Pre_Survey_May_20__2023_08_224[Q1 - NetID Post-Survey], 1, FALSE)</f>
        <v>rd968</v>
      </c>
      <c r="U28" s="4">
        <f>Table_EH_Post_Survey_May_22__2023_11_005[[#This Row],[Q2]]-Table_EH_Pre_Survey_May_20__2023_08_224[[#This Row],[Q2]]</f>
        <v>1</v>
      </c>
      <c r="V28" s="4">
        <f>Table_EH_Post_Survey_May_22__2023_11_005[[#This Row],[Q3_1]]-Table_EH_Pre_Survey_May_20__2023_08_224[[#This Row],[Q3_1]]</f>
        <v>2</v>
      </c>
      <c r="W28" s="4">
        <f>Table_EH_Post_Survey_May_22__2023_11_005[[#This Row],[Q3_2]]-Table_EH_Pre_Survey_May_20__2023_08_224[[#This Row],[Q3_2]]</f>
        <v>0</v>
      </c>
      <c r="X28" s="4">
        <f>Table_EH_Post_Survey_May_22__2023_11_005[[#This Row],[Q3_3]]-Table_EH_Pre_Survey_May_20__2023_08_224[[#This Row],[Q3_3]]</f>
        <v>0</v>
      </c>
      <c r="Y28" s="4">
        <f>Table_EH_Post_Survey_May_22__2023_11_005[[#This Row],[Q3_4]]-Table_EH_Pre_Survey_May_20__2023_08_224[[#This Row],[Q3_4]]</f>
        <v>1</v>
      </c>
      <c r="Z28" s="4">
        <f>Table_EH_Post_Survey_May_22__2023_11_005[[#This Row],[Q3_5]]-Table_EH_Pre_Survey_May_20__2023_08_224[[#This Row],[Q3_5]]</f>
        <v>-1</v>
      </c>
      <c r="AA28" s="4">
        <f>Table_EH_Post_Survey_May_22__2023_11_005[[#This Row],[Q3_6]]-Table_EH_Pre_Survey_May_20__2023_08_224[[#This Row],[Q3_6]]</f>
        <v>0</v>
      </c>
      <c r="AB28" s="4">
        <f>Table_EH_Post_Survey_May_22__2023_11_005[[#This Row],[Q3_7]]-Table_EH_Pre_Survey_May_20__2023_08_224[[#This Row],[Q3_7]]</f>
        <v>0</v>
      </c>
      <c r="AC28" s="4">
        <f>Table_EH_Post_Survey_May_22__2023_11_005[[#This Row],[Q4_1]]-Table_EH_Pre_Survey_May_20__2023_08_224[[#This Row],[Q4_1]]</f>
        <v>-2.5</v>
      </c>
      <c r="AD28" s="4">
        <f>Table_EH_Post_Survey_May_22__2023_11_005[[#This Row],[Q5 Coded Responses]]-Table_EH_Pre_Survey_May_20__2023_08_224[[#This Row],[Q5 Coded Responses]]</f>
        <v>0</v>
      </c>
      <c r="AE28" s="4">
        <f>Table_EH_Post_Survey_May_22__2023_11_005[[#This Row],[Q6 Coded Responses]]-Table_EH_Pre_Survey_May_20__2023_08_224[[#This Row],[Q6 Coded Responses]]</f>
        <v>0</v>
      </c>
      <c r="AF28" s="4">
        <f>Table_EH_Post_Survey_May_22__2023_11_005[[#This Row],[Q7 Responses Coded]]-Table_EH_Pre_Survey_May_20__2023_08_224[[#This Row],[Q7 Responses Coded]]</f>
        <v>1</v>
      </c>
      <c r="AG28" s="4">
        <f>Table_EH_Post_Survey_May_22__2023_11_005[[#This Row],[Q8_1]]-Table_EH_Pre_Survey_May_20__2023_08_224[[#This Row],[Q8_1]]</f>
        <v>0</v>
      </c>
      <c r="AH28" s="4">
        <f>Table_EH_Post_Survey_May_22__2023_11_005[[#This Row],[Q8_2]]-Table_EH_Pre_Survey_May_20__2023_08_224[[#This Row],[Q8_2]]</f>
        <v>1</v>
      </c>
      <c r="AI28" s="4">
        <f>Table_EH_Post_Survey_May_22__2023_11_005[[#This Row],[Q8_3]]-Table_EH_Pre_Survey_May_20__2023_08_224[[#This Row],[Q8_3]]</f>
        <v>-2</v>
      </c>
      <c r="AJ28" s="4">
        <f>Table_EH_Post_Survey_May_22__2023_11_005[[#This Row],[Q8_4]]-Table_EH_Pre_Survey_May_20__2023_08_224[[#This Row],[Q8_4]]</f>
        <v>-2</v>
      </c>
      <c r="AK28" s="4">
        <f>Table_EH_Post_Survey_May_22__2023_11_005[[#This Row],[Q8_5]]-Table_EH_Pre_Survey_May_20__2023_08_224[[#This Row],[Q8_5]]</f>
        <v>-1</v>
      </c>
      <c r="AL28" s="4">
        <f>Table_EH_Post_Survey_May_22__2023_11_005[[#This Row],[Q8_6]]-Table_EH_Pre_Survey_May_20__2023_08_224[[#This Row],[Q8_6]]</f>
        <v>0</v>
      </c>
      <c r="AM28" s="4">
        <f>Table_EH_Post_Survey_May_22__2023_11_005[[#This Row],[Q9_1]]-Table_EH_Pre_Survey_May_20__2023_08_224[[#This Row],[Q9_1]]</f>
        <v>1</v>
      </c>
    </row>
    <row r="29" spans="1:39" x14ac:dyDescent="0.25">
      <c r="A29" t="s">
        <v>882</v>
      </c>
      <c r="B29" t="s">
        <v>883</v>
      </c>
      <c r="C29" t="s">
        <v>42</v>
      </c>
      <c r="D29" t="s">
        <v>389</v>
      </c>
      <c r="E29" t="s">
        <v>878</v>
      </c>
      <c r="F29">
        <f>_xlfn.NUMBERVALUE(#REF!)</f>
        <v>139</v>
      </c>
      <c r="G29" s="4" t="s">
        <v>884</v>
      </c>
      <c r="H29" s="4" t="s">
        <v>821</v>
      </c>
      <c r="I29" s="4" t="s">
        <v>885</v>
      </c>
      <c r="J29" s="4" t="s">
        <v>886</v>
      </c>
      <c r="K29" s="4" t="s">
        <v>111</v>
      </c>
      <c r="L29" s="4" t="s">
        <v>111</v>
      </c>
      <c r="M29" s="4" t="s">
        <v>111</v>
      </c>
      <c r="N29" s="4" t="s">
        <v>111</v>
      </c>
      <c r="O29" s="4" t="s">
        <v>111</v>
      </c>
      <c r="P29" s="4" t="s">
        <v>111</v>
      </c>
      <c r="Q29" s="4" t="s">
        <v>127</v>
      </c>
      <c r="R29" s="4" t="s">
        <v>117</v>
      </c>
      <c r="S29" s="4" t="s">
        <v>250</v>
      </c>
      <c r="T29" s="17" t="str">
        <f>VLOOKUP(Table_EH_Post_Survey_May_22__2023_11_0056[[#This Row],[Q1 - NetID]], Table_EH_Pre_Survey_May_20__2023_08_224[Q1 - NetID Post-Survey], 1, FALSE)</f>
        <v>rk802</v>
      </c>
      <c r="U29" s="4">
        <f>Table_EH_Post_Survey_May_22__2023_11_005[[#This Row],[Q2]]-Table_EH_Pre_Survey_May_20__2023_08_224[[#This Row],[Q2]]</f>
        <v>1</v>
      </c>
      <c r="V29" s="4">
        <f>Table_EH_Post_Survey_May_22__2023_11_005[[#This Row],[Q3_1]]-Table_EH_Pre_Survey_May_20__2023_08_224[[#This Row],[Q3_1]]</f>
        <v>2</v>
      </c>
      <c r="W29" s="4">
        <f>Table_EH_Post_Survey_May_22__2023_11_005[[#This Row],[Q3_2]]-Table_EH_Pre_Survey_May_20__2023_08_224[[#This Row],[Q3_2]]</f>
        <v>1</v>
      </c>
      <c r="X29" s="4">
        <f>Table_EH_Post_Survey_May_22__2023_11_005[[#This Row],[Q3_3]]-Table_EH_Pre_Survey_May_20__2023_08_224[[#This Row],[Q3_3]]</f>
        <v>0</v>
      </c>
      <c r="Y29" s="4">
        <f>Table_EH_Post_Survey_May_22__2023_11_005[[#This Row],[Q3_4]]-Table_EH_Pre_Survey_May_20__2023_08_224[[#This Row],[Q3_4]]</f>
        <v>-2</v>
      </c>
      <c r="Z29" s="4">
        <f>Table_EH_Post_Survey_May_22__2023_11_005[[#This Row],[Q3_5]]-Table_EH_Pre_Survey_May_20__2023_08_224[[#This Row],[Q3_5]]</f>
        <v>-1</v>
      </c>
      <c r="AA29" s="4">
        <f>Table_EH_Post_Survey_May_22__2023_11_005[[#This Row],[Q3_6]]-Table_EH_Pre_Survey_May_20__2023_08_224[[#This Row],[Q3_6]]</f>
        <v>1</v>
      </c>
      <c r="AB29" s="4">
        <f>Table_EH_Post_Survey_May_22__2023_11_005[[#This Row],[Q3_7]]-Table_EH_Pre_Survey_May_20__2023_08_224[[#This Row],[Q3_7]]</f>
        <v>1</v>
      </c>
      <c r="AC29" s="4">
        <f>Table_EH_Post_Survey_May_22__2023_11_005[[#This Row],[Q4_1]]-Table_EH_Pre_Survey_May_20__2023_08_224[[#This Row],[Q4_1]]</f>
        <v>0</v>
      </c>
      <c r="AD29" s="4">
        <f>Table_EH_Post_Survey_May_22__2023_11_005[[#This Row],[Q5 Coded Responses]]-Table_EH_Pre_Survey_May_20__2023_08_224[[#This Row],[Q5 Coded Responses]]</f>
        <v>0</v>
      </c>
      <c r="AE29" s="4">
        <f>Table_EH_Post_Survey_May_22__2023_11_005[[#This Row],[Q6 Coded Responses]]-Table_EH_Pre_Survey_May_20__2023_08_224[[#This Row],[Q6 Coded Responses]]</f>
        <v>0</v>
      </c>
      <c r="AF29" s="4">
        <f>Table_EH_Post_Survey_May_22__2023_11_005[[#This Row],[Q7 Responses Coded]]-Table_EH_Pre_Survey_May_20__2023_08_224[[#This Row],[Q7 Responses Coded]]</f>
        <v>-1</v>
      </c>
      <c r="AG29" s="4">
        <f>Table_EH_Post_Survey_May_22__2023_11_005[[#This Row],[Q8_1]]-Table_EH_Pre_Survey_May_20__2023_08_224[[#This Row],[Q8_1]]</f>
        <v>1</v>
      </c>
      <c r="AH29" s="4">
        <f>Table_EH_Post_Survey_May_22__2023_11_005[[#This Row],[Q8_2]]-Table_EH_Pre_Survey_May_20__2023_08_224[[#This Row],[Q8_2]]</f>
        <v>2</v>
      </c>
      <c r="AI29" s="4">
        <f>Table_EH_Post_Survey_May_22__2023_11_005[[#This Row],[Q8_3]]-Table_EH_Pre_Survey_May_20__2023_08_224[[#This Row],[Q8_3]]</f>
        <v>1</v>
      </c>
      <c r="AJ29" s="4">
        <f>Table_EH_Post_Survey_May_22__2023_11_005[[#This Row],[Q8_4]]-Table_EH_Pre_Survey_May_20__2023_08_224[[#This Row],[Q8_4]]</f>
        <v>1</v>
      </c>
      <c r="AK29" s="4">
        <f>Table_EH_Post_Survey_May_22__2023_11_005[[#This Row],[Q8_5]]-Table_EH_Pre_Survey_May_20__2023_08_224[[#This Row],[Q8_5]]</f>
        <v>1</v>
      </c>
      <c r="AL29" s="4">
        <f>Table_EH_Post_Survey_May_22__2023_11_005[[#This Row],[Q8_6]]-Table_EH_Pre_Survey_May_20__2023_08_224[[#This Row],[Q8_6]]</f>
        <v>2</v>
      </c>
      <c r="AM29" s="4">
        <f>Table_EH_Post_Survey_May_22__2023_11_005[[#This Row],[Q9_1]]-Table_EH_Pre_Survey_May_20__2023_08_224[[#This Row],[Q9_1]]</f>
        <v>1</v>
      </c>
    </row>
    <row r="30" spans="1:39" x14ac:dyDescent="0.25">
      <c r="A30" t="s">
        <v>1160</v>
      </c>
      <c r="B30" t="s">
        <v>1161</v>
      </c>
      <c r="C30" t="s">
        <v>42</v>
      </c>
      <c r="D30" t="s">
        <v>808</v>
      </c>
      <c r="E30" t="s">
        <v>112</v>
      </c>
      <c r="F30" s="3">
        <v>180</v>
      </c>
      <c r="G30" s="3">
        <f>_xlfn.NUMBERVALUE(Table_EH_Post_Survey_May_22__2023_11_0056[[#This Row],[Duration (in seconds) - Duration (in seconds)]])</f>
        <v>180</v>
      </c>
      <c r="H30" t="s">
        <v>114</v>
      </c>
      <c r="I30" t="s">
        <v>1161</v>
      </c>
      <c r="J30" t="s">
        <v>1162</v>
      </c>
      <c r="K30" t="s">
        <v>111</v>
      </c>
      <c r="L30" t="s">
        <v>111</v>
      </c>
      <c r="M30" t="s">
        <v>111</v>
      </c>
      <c r="N30" t="s">
        <v>111</v>
      </c>
      <c r="O30" t="s">
        <v>164</v>
      </c>
      <c r="P30" t="s">
        <v>165</v>
      </c>
      <c r="Q30" t="s">
        <v>487</v>
      </c>
      <c r="R30" t="s">
        <v>117</v>
      </c>
      <c r="S30" s="17" t="s">
        <v>1163</v>
      </c>
      <c r="T30" s="17" t="str">
        <f>VLOOKUP(Table_EH_Post_Survey_May_22__2023_11_0056[[#This Row],[Q1 - NetID]], Table_EH_Pre_Survey_May_20__2023_08_224[Q1 - NetID Post-Survey], 1, FALSE)</f>
        <v>sc1700</v>
      </c>
      <c r="U30" s="4">
        <f>Table_EH_Post_Survey_May_22__2023_11_005[[#This Row],[Q2]]-Table_EH_Pre_Survey_May_20__2023_08_224[[#This Row],[Q2]]</f>
        <v>1</v>
      </c>
      <c r="V30" s="4">
        <f>Table_EH_Post_Survey_May_22__2023_11_005[[#This Row],[Q3_1]]-Table_EH_Pre_Survey_May_20__2023_08_224[[#This Row],[Q3_1]]</f>
        <v>1</v>
      </c>
      <c r="W30" s="4">
        <f>Table_EH_Post_Survey_May_22__2023_11_005[[#This Row],[Q3_2]]-Table_EH_Pre_Survey_May_20__2023_08_224[[#This Row],[Q3_2]]</f>
        <v>0</v>
      </c>
      <c r="X30" s="4">
        <f>Table_EH_Post_Survey_May_22__2023_11_005[[#This Row],[Q3_3]]-Table_EH_Pre_Survey_May_20__2023_08_224[[#This Row],[Q3_3]]</f>
        <v>1</v>
      </c>
      <c r="Y30" s="4">
        <f>Table_EH_Post_Survey_May_22__2023_11_005[[#This Row],[Q3_4]]-Table_EH_Pre_Survey_May_20__2023_08_224[[#This Row],[Q3_4]]</f>
        <v>0</v>
      </c>
      <c r="Z30" s="4">
        <f>Table_EH_Post_Survey_May_22__2023_11_005[[#This Row],[Q3_5]]-Table_EH_Pre_Survey_May_20__2023_08_224[[#This Row],[Q3_5]]</f>
        <v>0</v>
      </c>
      <c r="AA30" s="4">
        <f>Table_EH_Post_Survey_May_22__2023_11_005[[#This Row],[Q3_6]]-Table_EH_Pre_Survey_May_20__2023_08_224[[#This Row],[Q3_6]]</f>
        <v>0</v>
      </c>
      <c r="AB30" s="4">
        <f>Table_EH_Post_Survey_May_22__2023_11_005[[#This Row],[Q3_7]]-Table_EH_Pre_Survey_May_20__2023_08_224[[#This Row],[Q3_7]]</f>
        <v>1</v>
      </c>
      <c r="AC30" s="4">
        <f>Table_EH_Post_Survey_May_22__2023_11_005[[#This Row],[Q4_1]]-Table_EH_Pre_Survey_May_20__2023_08_224[[#This Row],[Q4_1]]</f>
        <v>0</v>
      </c>
      <c r="AD30" s="4">
        <f>Table_EH_Post_Survey_May_22__2023_11_005[[#This Row],[Q5 Coded Responses]]-Table_EH_Pre_Survey_May_20__2023_08_224[[#This Row],[Q5 Coded Responses]]</f>
        <v>1</v>
      </c>
      <c r="AE30" s="4">
        <f>Table_EH_Post_Survey_May_22__2023_11_005[[#This Row],[Q6 Coded Responses]]-Table_EH_Pre_Survey_May_20__2023_08_224[[#This Row],[Q6 Coded Responses]]</f>
        <v>1</v>
      </c>
      <c r="AF30" s="4">
        <f>Table_EH_Post_Survey_May_22__2023_11_005[[#This Row],[Q7 Responses Coded]]-Table_EH_Pre_Survey_May_20__2023_08_224[[#This Row],[Q7 Responses Coded]]</f>
        <v>0</v>
      </c>
      <c r="AG30" s="4">
        <f>Table_EH_Post_Survey_May_22__2023_11_005[[#This Row],[Q8_1]]-Table_EH_Pre_Survey_May_20__2023_08_224[[#This Row],[Q8_1]]</f>
        <v>2</v>
      </c>
      <c r="AH30" s="4">
        <f>Table_EH_Post_Survey_May_22__2023_11_005[[#This Row],[Q8_2]]-Table_EH_Pre_Survey_May_20__2023_08_224[[#This Row],[Q8_2]]</f>
        <v>2</v>
      </c>
      <c r="AI30" s="4">
        <f>Table_EH_Post_Survey_May_22__2023_11_005[[#This Row],[Q8_3]]-Table_EH_Pre_Survey_May_20__2023_08_224[[#This Row],[Q8_3]]</f>
        <v>2</v>
      </c>
      <c r="AJ30" s="4">
        <f>Table_EH_Post_Survey_May_22__2023_11_005[[#This Row],[Q8_4]]-Table_EH_Pre_Survey_May_20__2023_08_224[[#This Row],[Q8_4]]</f>
        <v>2</v>
      </c>
      <c r="AK30" s="4">
        <f>Table_EH_Post_Survey_May_22__2023_11_005[[#This Row],[Q8_5]]-Table_EH_Pre_Survey_May_20__2023_08_224[[#This Row],[Q8_5]]</f>
        <v>2</v>
      </c>
      <c r="AL30" s="4">
        <f>Table_EH_Post_Survey_May_22__2023_11_005[[#This Row],[Q8_6]]-Table_EH_Pre_Survey_May_20__2023_08_224[[#This Row],[Q8_6]]</f>
        <v>2</v>
      </c>
      <c r="AM30" s="4">
        <f>Table_EH_Post_Survey_May_22__2023_11_005[[#This Row],[Q9_1]]-Table_EH_Pre_Survey_May_20__2023_08_224[[#This Row],[Q9_1]]</f>
        <v>1</v>
      </c>
    </row>
    <row r="31" spans="1:39" x14ac:dyDescent="0.25">
      <c r="A31" t="s">
        <v>1165</v>
      </c>
      <c r="B31" t="s">
        <v>1166</v>
      </c>
      <c r="C31" t="s">
        <v>42</v>
      </c>
      <c r="D31" t="s">
        <v>837</v>
      </c>
      <c r="E31" t="s">
        <v>112</v>
      </c>
      <c r="F31" s="3">
        <v>76</v>
      </c>
      <c r="G31" s="3">
        <f>_xlfn.NUMBERVALUE(Table_EH_Post_Survey_May_22__2023_11_0056[[#This Row],[Duration (in seconds) - Duration (in seconds)]])</f>
        <v>76</v>
      </c>
      <c r="H31" t="s">
        <v>114</v>
      </c>
      <c r="I31" t="s">
        <v>1166</v>
      </c>
      <c r="J31" t="s">
        <v>1167</v>
      </c>
      <c r="K31" t="s">
        <v>111</v>
      </c>
      <c r="L31" t="s">
        <v>111</v>
      </c>
      <c r="M31" t="s">
        <v>111</v>
      </c>
      <c r="N31" t="s">
        <v>111</v>
      </c>
      <c r="O31" t="s">
        <v>1168</v>
      </c>
      <c r="P31" t="s">
        <v>1169</v>
      </c>
      <c r="Q31" t="s">
        <v>127</v>
      </c>
      <c r="R31" t="s">
        <v>117</v>
      </c>
      <c r="S31" s="17" t="s">
        <v>504</v>
      </c>
      <c r="T31" s="17" t="str">
        <f>VLOOKUP(Table_EH_Post_Survey_May_22__2023_11_0056[[#This Row],[Q1 - NetID]], Table_EH_Pre_Survey_May_20__2023_08_224[Q1 - NetID Post-Survey], 1, FALSE)</f>
        <v>Sef122</v>
      </c>
      <c r="U31" s="4">
        <f>Table_EH_Post_Survey_May_22__2023_11_005[[#This Row],[Q2]]-Table_EH_Pre_Survey_May_20__2023_08_224[[#This Row],[Q2]]</f>
        <v>1</v>
      </c>
      <c r="V31" s="4">
        <f>Table_EH_Post_Survey_May_22__2023_11_005[[#This Row],[Q3_1]]-Table_EH_Pre_Survey_May_20__2023_08_224[[#This Row],[Q3_1]]</f>
        <v>1</v>
      </c>
      <c r="W31" s="4">
        <f>Table_EH_Post_Survey_May_22__2023_11_005[[#This Row],[Q3_2]]-Table_EH_Pre_Survey_May_20__2023_08_224[[#This Row],[Q3_2]]</f>
        <v>3</v>
      </c>
      <c r="X31" s="4">
        <f>Table_EH_Post_Survey_May_22__2023_11_005[[#This Row],[Q3_3]]-Table_EH_Pre_Survey_May_20__2023_08_224[[#This Row],[Q3_3]]</f>
        <v>0</v>
      </c>
      <c r="Y31" s="4">
        <f>Table_EH_Post_Survey_May_22__2023_11_005[[#This Row],[Q3_4]]-Table_EH_Pre_Survey_May_20__2023_08_224[[#This Row],[Q3_4]]</f>
        <v>2</v>
      </c>
      <c r="Z31" s="4">
        <f>Table_EH_Post_Survey_May_22__2023_11_005[[#This Row],[Q3_5]]-Table_EH_Pre_Survey_May_20__2023_08_224[[#This Row],[Q3_5]]</f>
        <v>2</v>
      </c>
      <c r="AA31" s="4">
        <f>Table_EH_Post_Survey_May_22__2023_11_005[[#This Row],[Q3_6]]-Table_EH_Pre_Survey_May_20__2023_08_224[[#This Row],[Q3_6]]</f>
        <v>0</v>
      </c>
      <c r="AB31" s="4">
        <f>Table_EH_Post_Survey_May_22__2023_11_005[[#This Row],[Q3_7]]-Table_EH_Pre_Survey_May_20__2023_08_224[[#This Row],[Q3_7]]</f>
        <v>-1</v>
      </c>
      <c r="AC31" s="4">
        <f>Table_EH_Post_Survey_May_22__2023_11_005[[#This Row],[Q4_1]]-Table_EH_Pre_Survey_May_20__2023_08_224[[#This Row],[Q4_1]]</f>
        <v>0</v>
      </c>
      <c r="AD31" s="4">
        <f>Table_EH_Post_Survey_May_22__2023_11_005[[#This Row],[Q5 Coded Responses]]-Table_EH_Pre_Survey_May_20__2023_08_224[[#This Row],[Q5 Coded Responses]]</f>
        <v>1</v>
      </c>
      <c r="AE31" s="4">
        <f>Table_EH_Post_Survey_May_22__2023_11_005[[#This Row],[Q6 Coded Responses]]-Table_EH_Pre_Survey_May_20__2023_08_224[[#This Row],[Q6 Coded Responses]]</f>
        <v>-1</v>
      </c>
      <c r="AF31" s="4">
        <f>Table_EH_Post_Survey_May_22__2023_11_005[[#This Row],[Q7 Responses Coded]]-Table_EH_Pre_Survey_May_20__2023_08_224[[#This Row],[Q7 Responses Coded]]</f>
        <v>3</v>
      </c>
      <c r="AG31" s="4">
        <f>Table_EH_Post_Survey_May_22__2023_11_005[[#This Row],[Q8_1]]-Table_EH_Pre_Survey_May_20__2023_08_224[[#This Row],[Q8_1]]</f>
        <v>1</v>
      </c>
      <c r="AH31" s="4">
        <f>Table_EH_Post_Survey_May_22__2023_11_005[[#This Row],[Q8_2]]-Table_EH_Pre_Survey_May_20__2023_08_224[[#This Row],[Q8_2]]</f>
        <v>2</v>
      </c>
      <c r="AI31" s="4">
        <f>Table_EH_Post_Survey_May_22__2023_11_005[[#This Row],[Q8_3]]-Table_EH_Pre_Survey_May_20__2023_08_224[[#This Row],[Q8_3]]</f>
        <v>0</v>
      </c>
      <c r="AJ31" s="4">
        <f>Table_EH_Post_Survey_May_22__2023_11_005[[#This Row],[Q8_4]]-Table_EH_Pre_Survey_May_20__2023_08_224[[#This Row],[Q8_4]]</f>
        <v>0</v>
      </c>
      <c r="AK31" s="4">
        <f>Table_EH_Post_Survey_May_22__2023_11_005[[#This Row],[Q8_5]]-Table_EH_Pre_Survey_May_20__2023_08_224[[#This Row],[Q8_5]]</f>
        <v>-1</v>
      </c>
      <c r="AL31" s="4">
        <f>Table_EH_Post_Survey_May_22__2023_11_005[[#This Row],[Q8_6]]-Table_EH_Pre_Survey_May_20__2023_08_224[[#This Row],[Q8_6]]</f>
        <v>1</v>
      </c>
      <c r="AM31" s="4">
        <f>Table_EH_Post_Survey_May_22__2023_11_005[[#This Row],[Q9_1]]-Table_EH_Pre_Survey_May_20__2023_08_224[[#This Row],[Q9_1]]</f>
        <v>3</v>
      </c>
    </row>
    <row r="32" spans="1:39" x14ac:dyDescent="0.25">
      <c r="A32" t="s">
        <v>1000</v>
      </c>
      <c r="B32" t="s">
        <v>1001</v>
      </c>
      <c r="C32" t="s">
        <v>42</v>
      </c>
      <c r="D32" t="s">
        <v>1002</v>
      </c>
      <c r="E32" t="s">
        <v>112</v>
      </c>
      <c r="F32" s="3">
        <v>54</v>
      </c>
      <c r="G32" s="3">
        <f>_xlfn.NUMBERVALUE(Table_EH_Post_Survey_May_22__2023_11_0056[[#This Row],[Duration (in seconds) - Duration (in seconds)]])</f>
        <v>54</v>
      </c>
      <c r="H32" t="s">
        <v>114</v>
      </c>
      <c r="I32" t="s">
        <v>1001</v>
      </c>
      <c r="J32" t="s">
        <v>1003</v>
      </c>
      <c r="K32" t="s">
        <v>111</v>
      </c>
      <c r="L32" t="s">
        <v>111</v>
      </c>
      <c r="M32" t="s">
        <v>111</v>
      </c>
      <c r="N32" t="s">
        <v>111</v>
      </c>
      <c r="O32" t="s">
        <v>351</v>
      </c>
      <c r="P32" t="s">
        <v>352</v>
      </c>
      <c r="Q32" t="s">
        <v>487</v>
      </c>
      <c r="R32" t="s">
        <v>117</v>
      </c>
      <c r="S32" s="17" t="s">
        <v>531</v>
      </c>
      <c r="T32" s="17" t="str">
        <f>VLOOKUP(Table_EH_Post_Survey_May_22__2023_11_0056[[#This Row],[Q1 - NetID]], Table_EH_Pre_Survey_May_20__2023_08_224[Q1 - NetID Post-Survey], 1, FALSE)</f>
        <v>Sje67</v>
      </c>
      <c r="U32" s="4">
        <f>Table_EH_Post_Survey_May_22__2023_11_005[[#This Row],[Q2]]-Table_EH_Pre_Survey_May_20__2023_08_224[[#This Row],[Q2]]</f>
        <v>0</v>
      </c>
      <c r="V32" s="4">
        <f>Table_EH_Post_Survey_May_22__2023_11_005[[#This Row],[Q3_1]]-Table_EH_Pre_Survey_May_20__2023_08_224[[#This Row],[Q3_1]]</f>
        <v>0</v>
      </c>
      <c r="W32" s="4">
        <f>Table_EH_Post_Survey_May_22__2023_11_005[[#This Row],[Q3_2]]-Table_EH_Pre_Survey_May_20__2023_08_224[[#This Row],[Q3_2]]</f>
        <v>0</v>
      </c>
      <c r="X32" s="4">
        <f>Table_EH_Post_Survey_May_22__2023_11_005[[#This Row],[Q3_3]]-Table_EH_Pre_Survey_May_20__2023_08_224[[#This Row],[Q3_3]]</f>
        <v>0</v>
      </c>
      <c r="Y32" s="4">
        <f>Table_EH_Post_Survey_May_22__2023_11_005[[#This Row],[Q3_4]]-Table_EH_Pre_Survey_May_20__2023_08_224[[#This Row],[Q3_4]]</f>
        <v>-1</v>
      </c>
      <c r="Z32" s="4">
        <f>Table_EH_Post_Survey_May_22__2023_11_005[[#This Row],[Q3_5]]-Table_EH_Pre_Survey_May_20__2023_08_224[[#This Row],[Q3_5]]</f>
        <v>1</v>
      </c>
      <c r="AA32" s="4">
        <f>Table_EH_Post_Survey_May_22__2023_11_005[[#This Row],[Q3_6]]-Table_EH_Pre_Survey_May_20__2023_08_224[[#This Row],[Q3_6]]</f>
        <v>0</v>
      </c>
      <c r="AB32" s="4">
        <f>Table_EH_Post_Survey_May_22__2023_11_005[[#This Row],[Q3_7]]-Table_EH_Pre_Survey_May_20__2023_08_224[[#This Row],[Q3_7]]</f>
        <v>0</v>
      </c>
      <c r="AC32" s="4">
        <f>Table_EH_Post_Survey_May_22__2023_11_005[[#This Row],[Q4_1]]-Table_EH_Pre_Survey_May_20__2023_08_224[[#This Row],[Q4_1]]</f>
        <v>-1.5</v>
      </c>
      <c r="AD32" s="4">
        <f>Table_EH_Post_Survey_May_22__2023_11_005[[#This Row],[Q5 Coded Responses]]-Table_EH_Pre_Survey_May_20__2023_08_224[[#This Row],[Q5 Coded Responses]]</f>
        <v>1</v>
      </c>
      <c r="AE32" s="4">
        <f>Table_EH_Post_Survey_May_22__2023_11_005[[#This Row],[Q6 Coded Responses]]-Table_EH_Pre_Survey_May_20__2023_08_224[[#This Row],[Q6 Coded Responses]]</f>
        <v>1</v>
      </c>
      <c r="AF32" s="4">
        <f>Table_EH_Post_Survey_May_22__2023_11_005[[#This Row],[Q7 Responses Coded]]-Table_EH_Pre_Survey_May_20__2023_08_224[[#This Row],[Q7 Responses Coded]]</f>
        <v>-1</v>
      </c>
      <c r="AG32" s="4">
        <f>Table_EH_Post_Survey_May_22__2023_11_005[[#This Row],[Q8_1]]-Table_EH_Pre_Survey_May_20__2023_08_224[[#This Row],[Q8_1]]</f>
        <v>0</v>
      </c>
      <c r="AH32" s="4">
        <f>Table_EH_Post_Survey_May_22__2023_11_005[[#This Row],[Q8_2]]-Table_EH_Pre_Survey_May_20__2023_08_224[[#This Row],[Q8_2]]</f>
        <v>3</v>
      </c>
      <c r="AI32" s="4">
        <f>Table_EH_Post_Survey_May_22__2023_11_005[[#This Row],[Q8_3]]-Table_EH_Pre_Survey_May_20__2023_08_224[[#This Row],[Q8_3]]</f>
        <v>0</v>
      </c>
      <c r="AJ32" s="4">
        <f>Table_EH_Post_Survey_May_22__2023_11_005[[#This Row],[Q8_4]]-Table_EH_Pre_Survey_May_20__2023_08_224[[#This Row],[Q8_4]]</f>
        <v>0</v>
      </c>
      <c r="AK32" s="4">
        <f>Table_EH_Post_Survey_May_22__2023_11_005[[#This Row],[Q8_5]]-Table_EH_Pre_Survey_May_20__2023_08_224[[#This Row],[Q8_5]]</f>
        <v>1</v>
      </c>
      <c r="AL32" s="4">
        <f>Table_EH_Post_Survey_May_22__2023_11_005[[#This Row],[Q8_6]]-Table_EH_Pre_Survey_May_20__2023_08_224[[#This Row],[Q8_6]]</f>
        <v>2</v>
      </c>
      <c r="AM32" s="4">
        <f>Table_EH_Post_Survey_May_22__2023_11_005[[#This Row],[Q9_1]]-Table_EH_Pre_Survey_May_20__2023_08_224[[#This Row],[Q9_1]]</f>
        <v>3</v>
      </c>
    </row>
    <row r="33" spans="1:39" x14ac:dyDescent="0.25">
      <c r="A33" t="s">
        <v>1238</v>
      </c>
      <c r="B33" t="s">
        <v>1239</v>
      </c>
      <c r="C33" t="s">
        <v>42</v>
      </c>
      <c r="D33" t="s">
        <v>1240</v>
      </c>
      <c r="E33" t="s">
        <v>112</v>
      </c>
      <c r="F33" s="3">
        <v>72</v>
      </c>
      <c r="G33" s="3">
        <f>_xlfn.NUMBERVALUE(Table_EH_Post_Survey_May_22__2023_11_0056[[#This Row],[Duration (in seconds) - Duration (in seconds)]])</f>
        <v>72</v>
      </c>
      <c r="H33" t="s">
        <v>114</v>
      </c>
      <c r="I33" t="s">
        <v>1239</v>
      </c>
      <c r="J33" t="s">
        <v>1241</v>
      </c>
      <c r="K33" t="s">
        <v>111</v>
      </c>
      <c r="L33" t="s">
        <v>111</v>
      </c>
      <c r="M33" t="s">
        <v>111</v>
      </c>
      <c r="N33" t="s">
        <v>111</v>
      </c>
      <c r="O33" t="s">
        <v>656</v>
      </c>
      <c r="P33" t="s">
        <v>657</v>
      </c>
      <c r="Q33" t="s">
        <v>127</v>
      </c>
      <c r="R33" t="s">
        <v>117</v>
      </c>
      <c r="S33" s="17" t="s">
        <v>664</v>
      </c>
      <c r="T33" s="17" t="str">
        <f>VLOOKUP(Table_EH_Post_Survey_May_22__2023_11_0056[[#This Row],[Q1 - NetID]], Table_EH_Pre_Survey_May_20__2023_08_224[Q1 - NetID Post-Survey], 1, FALSE)</f>
        <v>Sp2098</v>
      </c>
      <c r="U33" s="4">
        <f>Table_EH_Post_Survey_May_22__2023_11_005[[#This Row],[Q2]]-Table_EH_Pre_Survey_May_20__2023_08_224[[#This Row],[Q2]]</f>
        <v>2</v>
      </c>
      <c r="V33" s="4">
        <f>Table_EH_Post_Survey_May_22__2023_11_005[[#This Row],[Q3_1]]-Table_EH_Pre_Survey_May_20__2023_08_224[[#This Row],[Q3_1]]</f>
        <v>-1</v>
      </c>
      <c r="W33" s="4">
        <f>Table_EH_Post_Survey_May_22__2023_11_005[[#This Row],[Q3_2]]-Table_EH_Pre_Survey_May_20__2023_08_224[[#This Row],[Q3_2]]</f>
        <v>0</v>
      </c>
      <c r="X33" s="4">
        <f>Table_EH_Post_Survey_May_22__2023_11_005[[#This Row],[Q3_3]]-Table_EH_Pre_Survey_May_20__2023_08_224[[#This Row],[Q3_3]]</f>
        <v>0</v>
      </c>
      <c r="Y33" s="4">
        <f>Table_EH_Post_Survey_May_22__2023_11_005[[#This Row],[Q3_4]]-Table_EH_Pre_Survey_May_20__2023_08_224[[#This Row],[Q3_4]]</f>
        <v>-1</v>
      </c>
      <c r="Z33" s="4">
        <f>Table_EH_Post_Survey_May_22__2023_11_005[[#This Row],[Q3_5]]-Table_EH_Pre_Survey_May_20__2023_08_224[[#This Row],[Q3_5]]</f>
        <v>1</v>
      </c>
      <c r="AA33" s="4">
        <f>Table_EH_Post_Survey_May_22__2023_11_005[[#This Row],[Q3_6]]-Table_EH_Pre_Survey_May_20__2023_08_224[[#This Row],[Q3_6]]</f>
        <v>0</v>
      </c>
      <c r="AB33" s="4">
        <f>Table_EH_Post_Survey_May_22__2023_11_005[[#This Row],[Q3_7]]-Table_EH_Pre_Survey_May_20__2023_08_224[[#This Row],[Q3_7]]</f>
        <v>0</v>
      </c>
      <c r="AC33" s="4">
        <f>Table_EH_Post_Survey_May_22__2023_11_005[[#This Row],[Q4_1]]-Table_EH_Pre_Survey_May_20__2023_08_224[[#This Row],[Q4_1]]</f>
        <v>0.5</v>
      </c>
      <c r="AD33" s="4">
        <f>Table_EH_Post_Survey_May_22__2023_11_005[[#This Row],[Q5 Coded Responses]]-Table_EH_Pre_Survey_May_20__2023_08_224[[#This Row],[Q5 Coded Responses]]</f>
        <v>0</v>
      </c>
      <c r="AE33" s="4">
        <f>Table_EH_Post_Survey_May_22__2023_11_005[[#This Row],[Q6 Coded Responses]]-Table_EH_Pre_Survey_May_20__2023_08_224[[#This Row],[Q6 Coded Responses]]</f>
        <v>0</v>
      </c>
      <c r="AF33" s="4">
        <f>Table_EH_Post_Survey_May_22__2023_11_005[[#This Row],[Q7 Responses Coded]]-Table_EH_Pre_Survey_May_20__2023_08_224[[#This Row],[Q7 Responses Coded]]</f>
        <v>0</v>
      </c>
      <c r="AG33" s="4">
        <f>Table_EH_Post_Survey_May_22__2023_11_005[[#This Row],[Q8_1]]-Table_EH_Pre_Survey_May_20__2023_08_224[[#This Row],[Q8_1]]</f>
        <v>-1</v>
      </c>
      <c r="AH33" s="4">
        <f>Table_EH_Post_Survey_May_22__2023_11_005[[#This Row],[Q8_2]]-Table_EH_Pre_Survey_May_20__2023_08_224[[#This Row],[Q8_2]]</f>
        <v>-3</v>
      </c>
      <c r="AI33" s="4">
        <f>Table_EH_Post_Survey_May_22__2023_11_005[[#This Row],[Q8_3]]-Table_EH_Pre_Survey_May_20__2023_08_224[[#This Row],[Q8_3]]</f>
        <v>-1</v>
      </c>
      <c r="AJ33" s="4">
        <f>Table_EH_Post_Survey_May_22__2023_11_005[[#This Row],[Q8_4]]-Table_EH_Pre_Survey_May_20__2023_08_224[[#This Row],[Q8_4]]</f>
        <v>-3</v>
      </c>
      <c r="AK33" s="4">
        <f>Table_EH_Post_Survey_May_22__2023_11_005[[#This Row],[Q8_5]]-Table_EH_Pre_Survey_May_20__2023_08_224[[#This Row],[Q8_5]]</f>
        <v>-1</v>
      </c>
      <c r="AL33" s="4">
        <f>Table_EH_Post_Survey_May_22__2023_11_005[[#This Row],[Q8_6]]-Table_EH_Pre_Survey_May_20__2023_08_224[[#This Row],[Q8_6]]</f>
        <v>-1</v>
      </c>
      <c r="AM33" s="4">
        <f>Table_EH_Post_Survey_May_22__2023_11_005[[#This Row],[Q9_1]]-Table_EH_Pre_Survey_May_20__2023_08_224[[#This Row],[Q9_1]]</f>
        <v>1</v>
      </c>
    </row>
    <row r="34" spans="1:39" x14ac:dyDescent="0.25">
      <c r="A34" t="s">
        <v>1205</v>
      </c>
      <c r="B34" t="s">
        <v>1206</v>
      </c>
      <c r="C34" t="s">
        <v>42</v>
      </c>
      <c r="D34" t="s">
        <v>1207</v>
      </c>
      <c r="E34" t="s">
        <v>112</v>
      </c>
      <c r="F34" s="3">
        <v>203</v>
      </c>
      <c r="G34" s="3">
        <f>_xlfn.NUMBERVALUE(Table_EH_Post_Survey_May_22__2023_11_0056[[#This Row],[Duration (in seconds) - Duration (in seconds)]])</f>
        <v>203</v>
      </c>
      <c r="H34" t="s">
        <v>114</v>
      </c>
      <c r="I34" t="s">
        <v>1208</v>
      </c>
      <c r="J34" t="s">
        <v>1209</v>
      </c>
      <c r="K34" t="s">
        <v>111</v>
      </c>
      <c r="L34" t="s">
        <v>111</v>
      </c>
      <c r="M34" t="s">
        <v>111</v>
      </c>
      <c r="N34" t="s">
        <v>111</v>
      </c>
      <c r="O34" t="s">
        <v>351</v>
      </c>
      <c r="P34" t="s">
        <v>352</v>
      </c>
      <c r="Q34" t="s">
        <v>127</v>
      </c>
      <c r="R34" t="s">
        <v>117</v>
      </c>
      <c r="S34" s="17" t="s">
        <v>538</v>
      </c>
      <c r="T34" s="17" t="str">
        <f>VLOOKUP(Table_EH_Post_Survey_May_22__2023_11_0056[[#This Row],[Q1 - NetID]], Table_EH_Pre_Survey_May_20__2023_08_224[Q1 - NetID Post-Survey], 1, FALSE)</f>
        <v>Sph108</v>
      </c>
      <c r="U34" s="4">
        <f>Table_EH_Post_Survey_May_22__2023_11_005[[#This Row],[Q2]]-Table_EH_Pre_Survey_May_20__2023_08_224[[#This Row],[Q2]]</f>
        <v>1</v>
      </c>
      <c r="V34" s="4">
        <f>Table_EH_Post_Survey_May_22__2023_11_005[[#This Row],[Q3_1]]-Table_EH_Pre_Survey_May_20__2023_08_224[[#This Row],[Q3_1]]</f>
        <v>-2</v>
      </c>
      <c r="W34" s="4">
        <f>Table_EH_Post_Survey_May_22__2023_11_005[[#This Row],[Q3_2]]-Table_EH_Pre_Survey_May_20__2023_08_224[[#This Row],[Q3_2]]</f>
        <v>0</v>
      </c>
      <c r="X34" s="4">
        <f>Table_EH_Post_Survey_May_22__2023_11_005[[#This Row],[Q3_3]]-Table_EH_Pre_Survey_May_20__2023_08_224[[#This Row],[Q3_3]]</f>
        <v>2</v>
      </c>
      <c r="Y34" s="4">
        <f>Table_EH_Post_Survey_May_22__2023_11_005[[#This Row],[Q3_4]]-Table_EH_Pre_Survey_May_20__2023_08_224[[#This Row],[Q3_4]]</f>
        <v>4</v>
      </c>
      <c r="Z34" s="4">
        <f>Table_EH_Post_Survey_May_22__2023_11_005[[#This Row],[Q3_5]]-Table_EH_Pre_Survey_May_20__2023_08_224[[#This Row],[Q3_5]]</f>
        <v>2</v>
      </c>
      <c r="AA34" s="4">
        <f>Table_EH_Post_Survey_May_22__2023_11_005[[#This Row],[Q3_6]]-Table_EH_Pre_Survey_May_20__2023_08_224[[#This Row],[Q3_6]]</f>
        <v>0</v>
      </c>
      <c r="AB34" s="4">
        <f>Table_EH_Post_Survey_May_22__2023_11_005[[#This Row],[Q3_7]]-Table_EH_Pre_Survey_May_20__2023_08_224[[#This Row],[Q3_7]]</f>
        <v>2</v>
      </c>
      <c r="AC34" s="4">
        <f>Table_EH_Post_Survey_May_22__2023_11_005[[#This Row],[Q4_1]]-Table_EH_Pre_Survey_May_20__2023_08_224[[#This Row],[Q4_1]]</f>
        <v>0</v>
      </c>
      <c r="AD34" s="4">
        <f>Table_EH_Post_Survey_May_22__2023_11_005[[#This Row],[Q5 Coded Responses]]-Table_EH_Pre_Survey_May_20__2023_08_224[[#This Row],[Q5 Coded Responses]]</f>
        <v>0</v>
      </c>
      <c r="AE34" s="4">
        <f>Table_EH_Post_Survey_May_22__2023_11_005[[#This Row],[Q6 Coded Responses]]-Table_EH_Pre_Survey_May_20__2023_08_224[[#This Row],[Q6 Coded Responses]]</f>
        <v>0</v>
      </c>
      <c r="AF34" s="4">
        <f>Table_EH_Post_Survey_May_22__2023_11_005[[#This Row],[Q7 Responses Coded]]-Table_EH_Pre_Survey_May_20__2023_08_224[[#This Row],[Q7 Responses Coded]]</f>
        <v>1</v>
      </c>
      <c r="AG34" s="4">
        <f>Table_EH_Post_Survey_May_22__2023_11_005[[#This Row],[Q8_1]]-Table_EH_Pre_Survey_May_20__2023_08_224[[#This Row],[Q8_1]]</f>
        <v>2</v>
      </c>
      <c r="AH34" s="4">
        <f>Table_EH_Post_Survey_May_22__2023_11_005[[#This Row],[Q8_2]]-Table_EH_Pre_Survey_May_20__2023_08_224[[#This Row],[Q8_2]]</f>
        <v>0</v>
      </c>
      <c r="AI34" s="4">
        <f>Table_EH_Post_Survey_May_22__2023_11_005[[#This Row],[Q8_3]]-Table_EH_Pre_Survey_May_20__2023_08_224[[#This Row],[Q8_3]]</f>
        <v>3</v>
      </c>
      <c r="AJ34" s="4">
        <f>Table_EH_Post_Survey_May_22__2023_11_005[[#This Row],[Q8_4]]-Table_EH_Pre_Survey_May_20__2023_08_224[[#This Row],[Q8_4]]</f>
        <v>4</v>
      </c>
      <c r="AK34" s="4">
        <f>Table_EH_Post_Survey_May_22__2023_11_005[[#This Row],[Q8_5]]-Table_EH_Pre_Survey_May_20__2023_08_224[[#This Row],[Q8_5]]</f>
        <v>4</v>
      </c>
      <c r="AL34" s="4">
        <f>Table_EH_Post_Survey_May_22__2023_11_005[[#This Row],[Q8_6]]-Table_EH_Pre_Survey_May_20__2023_08_224[[#This Row],[Q8_6]]</f>
        <v>1</v>
      </c>
      <c r="AM34" s="4">
        <f>Table_EH_Post_Survey_May_22__2023_11_005[[#This Row],[Q9_1]]-Table_EH_Pre_Survey_May_20__2023_08_224[[#This Row],[Q9_1]]</f>
        <v>3</v>
      </c>
    </row>
    <row r="35" spans="1:39" x14ac:dyDescent="0.25">
      <c r="A35" t="s">
        <v>1189</v>
      </c>
      <c r="B35" t="s">
        <v>1190</v>
      </c>
      <c r="C35" t="s">
        <v>42</v>
      </c>
      <c r="D35" t="s">
        <v>837</v>
      </c>
      <c r="E35" t="s">
        <v>112</v>
      </c>
      <c r="F35" s="3">
        <v>108</v>
      </c>
      <c r="G35" s="3">
        <f>_xlfn.NUMBERVALUE(Table_EH_Post_Survey_May_22__2023_11_0056[[#This Row],[Duration (in seconds) - Duration (in seconds)]])</f>
        <v>108</v>
      </c>
      <c r="H35" t="s">
        <v>114</v>
      </c>
      <c r="I35" t="s">
        <v>1191</v>
      </c>
      <c r="J35" t="s">
        <v>1192</v>
      </c>
      <c r="K35" t="s">
        <v>111</v>
      </c>
      <c r="L35" t="s">
        <v>111</v>
      </c>
      <c r="M35" t="s">
        <v>111</v>
      </c>
      <c r="N35" t="s">
        <v>111</v>
      </c>
      <c r="O35" t="s">
        <v>1168</v>
      </c>
      <c r="P35" t="s">
        <v>1169</v>
      </c>
      <c r="Q35" t="s">
        <v>127</v>
      </c>
      <c r="R35" t="s">
        <v>117</v>
      </c>
      <c r="S35" s="17" t="s">
        <v>583</v>
      </c>
      <c r="T35" s="17" t="str">
        <f>VLOOKUP(Table_EH_Post_Survey_May_22__2023_11_0056[[#This Row],[Q1 - NetID]], Table_EH_Pre_Survey_May_20__2023_08_224[Q1 - NetID Post-Survey], 1, FALSE)</f>
        <v>tw592</v>
      </c>
      <c r="U35" s="4">
        <f>Table_EH_Post_Survey_May_22__2023_11_005[[#This Row],[Q2]]-Table_EH_Pre_Survey_May_20__2023_08_224[[#This Row],[Q2]]</f>
        <v>0</v>
      </c>
      <c r="V35" s="4">
        <f>Table_EH_Post_Survey_May_22__2023_11_005[[#This Row],[Q3_1]]-Table_EH_Pre_Survey_May_20__2023_08_224[[#This Row],[Q3_1]]</f>
        <v>1</v>
      </c>
      <c r="W35" s="4">
        <f>Table_EH_Post_Survey_May_22__2023_11_005[[#This Row],[Q3_2]]-Table_EH_Pre_Survey_May_20__2023_08_224[[#This Row],[Q3_2]]</f>
        <v>0</v>
      </c>
      <c r="X35" s="4">
        <f>Table_EH_Post_Survey_May_22__2023_11_005[[#This Row],[Q3_3]]-Table_EH_Pre_Survey_May_20__2023_08_224[[#This Row],[Q3_3]]</f>
        <v>0</v>
      </c>
      <c r="Y35" s="4">
        <f>Table_EH_Post_Survey_May_22__2023_11_005[[#This Row],[Q3_4]]-Table_EH_Pre_Survey_May_20__2023_08_224[[#This Row],[Q3_4]]</f>
        <v>2</v>
      </c>
      <c r="Z35" s="4">
        <f>Table_EH_Post_Survey_May_22__2023_11_005[[#This Row],[Q3_5]]-Table_EH_Pre_Survey_May_20__2023_08_224[[#This Row],[Q3_5]]</f>
        <v>0</v>
      </c>
      <c r="AA35" s="4">
        <f>Table_EH_Post_Survey_May_22__2023_11_005[[#This Row],[Q3_6]]-Table_EH_Pre_Survey_May_20__2023_08_224[[#This Row],[Q3_6]]</f>
        <v>0</v>
      </c>
      <c r="AB35" s="4">
        <f>Table_EH_Post_Survey_May_22__2023_11_005[[#This Row],[Q3_7]]-Table_EH_Pre_Survey_May_20__2023_08_224[[#This Row],[Q3_7]]</f>
        <v>3</v>
      </c>
      <c r="AC35" s="4">
        <f>Table_EH_Post_Survey_May_22__2023_11_005[[#This Row],[Q4_1]]-Table_EH_Pre_Survey_May_20__2023_08_224[[#This Row],[Q4_1]]</f>
        <v>-0.5</v>
      </c>
      <c r="AD35" s="4">
        <f>Table_EH_Post_Survey_May_22__2023_11_005[[#This Row],[Q5 Coded Responses]]-Table_EH_Pre_Survey_May_20__2023_08_224[[#This Row],[Q5 Coded Responses]]</f>
        <v>0</v>
      </c>
      <c r="AE35" s="4">
        <f>Table_EH_Post_Survey_May_22__2023_11_005[[#This Row],[Q6 Coded Responses]]-Table_EH_Pre_Survey_May_20__2023_08_224[[#This Row],[Q6 Coded Responses]]</f>
        <v>0</v>
      </c>
      <c r="AF35" s="4">
        <f>Table_EH_Post_Survey_May_22__2023_11_005[[#This Row],[Q7 Responses Coded]]-Table_EH_Pre_Survey_May_20__2023_08_224[[#This Row],[Q7 Responses Coded]]</f>
        <v>0</v>
      </c>
      <c r="AG35" s="4">
        <f>Table_EH_Post_Survey_May_22__2023_11_005[[#This Row],[Q8_1]]-Table_EH_Pre_Survey_May_20__2023_08_224[[#This Row],[Q8_1]]</f>
        <v>1</v>
      </c>
      <c r="AH35" s="4">
        <f>Table_EH_Post_Survey_May_22__2023_11_005[[#This Row],[Q8_2]]-Table_EH_Pre_Survey_May_20__2023_08_224[[#This Row],[Q8_2]]</f>
        <v>-2</v>
      </c>
      <c r="AI35" s="4">
        <f>Table_EH_Post_Survey_May_22__2023_11_005[[#This Row],[Q8_3]]-Table_EH_Pre_Survey_May_20__2023_08_224[[#This Row],[Q8_3]]</f>
        <v>-1</v>
      </c>
      <c r="AJ35" s="4">
        <f>Table_EH_Post_Survey_May_22__2023_11_005[[#This Row],[Q8_4]]-Table_EH_Pre_Survey_May_20__2023_08_224[[#This Row],[Q8_4]]</f>
        <v>0</v>
      </c>
      <c r="AK35" s="4">
        <f>Table_EH_Post_Survey_May_22__2023_11_005[[#This Row],[Q8_5]]-Table_EH_Pre_Survey_May_20__2023_08_224[[#This Row],[Q8_5]]</f>
        <v>-1</v>
      </c>
      <c r="AL35" s="4">
        <f>Table_EH_Post_Survey_May_22__2023_11_005[[#This Row],[Q8_6]]-Table_EH_Pre_Survey_May_20__2023_08_224[[#This Row],[Q8_6]]</f>
        <v>1</v>
      </c>
      <c r="AM35" s="4">
        <f>Table_EH_Post_Survey_May_22__2023_11_005[[#This Row],[Q9_1]]-Table_EH_Pre_Survey_May_20__2023_08_224[[#This Row],[Q9_1]]</f>
        <v>2</v>
      </c>
    </row>
    <row r="36" spans="1:39" x14ac:dyDescent="0.25">
      <c r="A36" t="s">
        <v>1157</v>
      </c>
      <c r="B36" t="s">
        <v>1158</v>
      </c>
      <c r="C36" t="s">
        <v>42</v>
      </c>
      <c r="D36" t="s">
        <v>389</v>
      </c>
      <c r="E36" t="s">
        <v>112</v>
      </c>
      <c r="F36" s="3">
        <v>146</v>
      </c>
      <c r="G36" s="3">
        <f>_xlfn.NUMBERVALUE(Table_EH_Post_Survey_May_22__2023_11_0056[[#This Row],[Duration (in seconds) - Duration (in seconds)]])</f>
        <v>146</v>
      </c>
      <c r="H36" t="s">
        <v>114</v>
      </c>
      <c r="I36" t="s">
        <v>1158</v>
      </c>
      <c r="J36" t="s">
        <v>1159</v>
      </c>
      <c r="K36" t="s">
        <v>111</v>
      </c>
      <c r="L36" t="s">
        <v>111</v>
      </c>
      <c r="M36" t="s">
        <v>111</v>
      </c>
      <c r="N36" t="s">
        <v>111</v>
      </c>
      <c r="O36" t="s">
        <v>392</v>
      </c>
      <c r="P36" t="s">
        <v>393</v>
      </c>
      <c r="Q36" t="s">
        <v>127</v>
      </c>
      <c r="R36" t="s">
        <v>117</v>
      </c>
      <c r="S36" s="17" t="s">
        <v>569</v>
      </c>
      <c r="T36" s="17" t="str">
        <f>VLOOKUP(Table_EH_Post_Survey_May_22__2023_11_0056[[#This Row],[Q1 - NetID]], Table_EH_Pre_Survey_May_20__2023_08_224[Q1 - NetID Post-Survey], 1, FALSE)</f>
        <v>uz14</v>
      </c>
      <c r="U36" s="4">
        <f>Table_EH_Post_Survey_May_22__2023_11_005[[#This Row],[Q2]]-Table_EH_Pre_Survey_May_20__2023_08_224[[#This Row],[Q2]]</f>
        <v>0</v>
      </c>
      <c r="V36" s="4">
        <f>Table_EH_Post_Survey_May_22__2023_11_005[[#This Row],[Q3_1]]-Table_EH_Pre_Survey_May_20__2023_08_224[[#This Row],[Q3_1]]</f>
        <v>0</v>
      </c>
      <c r="W36" s="4">
        <f>Table_EH_Post_Survey_May_22__2023_11_005[[#This Row],[Q3_2]]-Table_EH_Pre_Survey_May_20__2023_08_224[[#This Row],[Q3_2]]</f>
        <v>0</v>
      </c>
      <c r="X36" s="4">
        <f>Table_EH_Post_Survey_May_22__2023_11_005[[#This Row],[Q3_3]]-Table_EH_Pre_Survey_May_20__2023_08_224[[#This Row],[Q3_3]]</f>
        <v>0</v>
      </c>
      <c r="Y36" s="4">
        <f>Table_EH_Post_Survey_May_22__2023_11_005[[#This Row],[Q3_4]]-Table_EH_Pre_Survey_May_20__2023_08_224[[#This Row],[Q3_4]]</f>
        <v>0</v>
      </c>
      <c r="Z36" s="4">
        <f>Table_EH_Post_Survey_May_22__2023_11_005[[#This Row],[Q3_5]]-Table_EH_Pre_Survey_May_20__2023_08_224[[#This Row],[Q3_5]]</f>
        <v>0</v>
      </c>
      <c r="AA36" s="4">
        <f>Table_EH_Post_Survey_May_22__2023_11_005[[#This Row],[Q3_6]]-Table_EH_Pre_Survey_May_20__2023_08_224[[#This Row],[Q3_6]]</f>
        <v>0</v>
      </c>
      <c r="AB36" s="4">
        <f>Table_EH_Post_Survey_May_22__2023_11_005[[#This Row],[Q3_7]]-Table_EH_Pre_Survey_May_20__2023_08_224[[#This Row],[Q3_7]]</f>
        <v>0</v>
      </c>
      <c r="AC36" s="4">
        <f>Table_EH_Post_Survey_May_22__2023_11_005[[#This Row],[Q4_1]]-Table_EH_Pre_Survey_May_20__2023_08_224[[#This Row],[Q4_1]]</f>
        <v>-2.5</v>
      </c>
      <c r="AD36" s="4">
        <f>Table_EH_Post_Survey_May_22__2023_11_005[[#This Row],[Q5 Coded Responses]]-Table_EH_Pre_Survey_May_20__2023_08_224[[#This Row],[Q5 Coded Responses]]</f>
        <v>0</v>
      </c>
      <c r="AE36" s="4">
        <f>Table_EH_Post_Survey_May_22__2023_11_005[[#This Row],[Q6 Coded Responses]]-Table_EH_Pre_Survey_May_20__2023_08_224[[#This Row],[Q6 Coded Responses]]</f>
        <v>1</v>
      </c>
      <c r="AF36" s="4">
        <f>Table_EH_Post_Survey_May_22__2023_11_005[[#This Row],[Q7 Responses Coded]]-Table_EH_Pre_Survey_May_20__2023_08_224[[#This Row],[Q7 Responses Coded]]</f>
        <v>1</v>
      </c>
      <c r="AG36" s="4">
        <f>Table_EH_Post_Survey_May_22__2023_11_005[[#This Row],[Q8_1]]-Table_EH_Pre_Survey_May_20__2023_08_224[[#This Row],[Q8_1]]</f>
        <v>0</v>
      </c>
      <c r="AH36" s="4">
        <f>Table_EH_Post_Survey_May_22__2023_11_005[[#This Row],[Q8_2]]-Table_EH_Pre_Survey_May_20__2023_08_224[[#This Row],[Q8_2]]</f>
        <v>3</v>
      </c>
      <c r="AI36" s="4">
        <f>Table_EH_Post_Survey_May_22__2023_11_005[[#This Row],[Q8_3]]-Table_EH_Pre_Survey_May_20__2023_08_224[[#This Row],[Q8_3]]</f>
        <v>1</v>
      </c>
      <c r="AJ36" s="4">
        <f>Table_EH_Post_Survey_May_22__2023_11_005[[#This Row],[Q8_4]]-Table_EH_Pre_Survey_May_20__2023_08_224[[#This Row],[Q8_4]]</f>
        <v>3</v>
      </c>
      <c r="AK36" s="4">
        <f>Table_EH_Post_Survey_May_22__2023_11_005[[#This Row],[Q8_5]]-Table_EH_Pre_Survey_May_20__2023_08_224[[#This Row],[Q8_5]]</f>
        <v>1</v>
      </c>
      <c r="AL36" s="4">
        <f>Table_EH_Post_Survey_May_22__2023_11_005[[#This Row],[Q8_6]]-Table_EH_Pre_Survey_May_20__2023_08_224[[#This Row],[Q8_6]]</f>
        <v>2</v>
      </c>
      <c r="AM36" s="4">
        <f>Table_EH_Post_Survey_May_22__2023_11_005[[#This Row],[Q9_1]]-Table_EH_Pre_Survey_May_20__2023_08_224[[#This Row],[Q9_1]]</f>
        <v>0</v>
      </c>
    </row>
    <row r="37" spans="1:39" x14ac:dyDescent="0.25">
      <c r="A37" t="s">
        <v>1127</v>
      </c>
      <c r="B37" t="s">
        <v>1128</v>
      </c>
      <c r="C37" t="s">
        <v>42</v>
      </c>
      <c r="D37" t="s">
        <v>517</v>
      </c>
      <c r="E37" t="s">
        <v>112</v>
      </c>
      <c r="F37" s="3">
        <v>81</v>
      </c>
      <c r="G37" s="3">
        <f>_xlfn.NUMBERVALUE(Table_EH_Post_Survey_May_22__2023_11_0056[[#This Row],[Duration (in seconds) - Duration (in seconds)]])</f>
        <v>81</v>
      </c>
      <c r="H37" t="s">
        <v>114</v>
      </c>
      <c r="I37" t="s">
        <v>1129</v>
      </c>
      <c r="J37" t="s">
        <v>1130</v>
      </c>
      <c r="K37" t="s">
        <v>111</v>
      </c>
      <c r="L37" t="s">
        <v>111</v>
      </c>
      <c r="M37" t="s">
        <v>111</v>
      </c>
      <c r="N37" t="s">
        <v>111</v>
      </c>
      <c r="O37" t="s">
        <v>351</v>
      </c>
      <c r="P37" t="s">
        <v>352</v>
      </c>
      <c r="Q37" t="s">
        <v>127</v>
      </c>
      <c r="R37" t="s">
        <v>117</v>
      </c>
      <c r="S37" s="17" t="s">
        <v>1131</v>
      </c>
      <c r="T37" s="17" t="str">
        <f>VLOOKUP(Table_EH_Post_Survey_May_22__2023_11_0056[[#This Row],[Q1 - NetID]], Table_EH_Pre_Survey_May_20__2023_08_224[Q1 - NetID Post-Survey], 1, FALSE)</f>
        <v>Yh645</v>
      </c>
      <c r="U37" s="4">
        <f>Table_EH_Post_Survey_May_22__2023_11_005[[#This Row],[Q2]]-Table_EH_Pre_Survey_May_20__2023_08_224[[#This Row],[Q2]]</f>
        <v>0</v>
      </c>
      <c r="V37" s="4">
        <f>Table_EH_Post_Survey_May_22__2023_11_005[[#This Row],[Q3_1]]-Table_EH_Pre_Survey_May_20__2023_08_224[[#This Row],[Q3_1]]</f>
        <v>0</v>
      </c>
      <c r="W37" s="4">
        <f>Table_EH_Post_Survey_May_22__2023_11_005[[#This Row],[Q3_2]]-Table_EH_Pre_Survey_May_20__2023_08_224[[#This Row],[Q3_2]]</f>
        <v>0</v>
      </c>
      <c r="X37" s="4">
        <f>Table_EH_Post_Survey_May_22__2023_11_005[[#This Row],[Q3_3]]-Table_EH_Pre_Survey_May_20__2023_08_224[[#This Row],[Q3_3]]</f>
        <v>0</v>
      </c>
      <c r="Y37" s="4">
        <f>Table_EH_Post_Survey_May_22__2023_11_005[[#This Row],[Q3_4]]-Table_EH_Pre_Survey_May_20__2023_08_224[[#This Row],[Q3_4]]</f>
        <v>0</v>
      </c>
      <c r="Z37" s="4">
        <f>Table_EH_Post_Survey_May_22__2023_11_005[[#This Row],[Q3_5]]-Table_EH_Pre_Survey_May_20__2023_08_224[[#This Row],[Q3_5]]</f>
        <v>0</v>
      </c>
      <c r="AA37" s="4">
        <f>Table_EH_Post_Survey_May_22__2023_11_005[[#This Row],[Q3_6]]-Table_EH_Pre_Survey_May_20__2023_08_224[[#This Row],[Q3_6]]</f>
        <v>0</v>
      </c>
      <c r="AB37" s="4">
        <f>Table_EH_Post_Survey_May_22__2023_11_005[[#This Row],[Q3_7]]-Table_EH_Pre_Survey_May_20__2023_08_224[[#This Row],[Q3_7]]</f>
        <v>0</v>
      </c>
      <c r="AC37" s="4">
        <f>Table_EH_Post_Survey_May_22__2023_11_005[[#This Row],[Q4_1]]-Table_EH_Pre_Survey_May_20__2023_08_224[[#This Row],[Q4_1]]</f>
        <v>0</v>
      </c>
      <c r="AD37" s="4">
        <f>Table_EH_Post_Survey_May_22__2023_11_005[[#This Row],[Q5 Coded Responses]]-Table_EH_Pre_Survey_May_20__2023_08_224[[#This Row],[Q5 Coded Responses]]</f>
        <v>0</v>
      </c>
      <c r="AE37" s="4">
        <f>Table_EH_Post_Survey_May_22__2023_11_005[[#This Row],[Q6 Coded Responses]]-Table_EH_Pre_Survey_May_20__2023_08_224[[#This Row],[Q6 Coded Responses]]</f>
        <v>1</v>
      </c>
      <c r="AF37" s="4">
        <f>Table_EH_Post_Survey_May_22__2023_11_005[[#This Row],[Q7 Responses Coded]]-Table_EH_Pre_Survey_May_20__2023_08_224[[#This Row],[Q7 Responses Coded]]</f>
        <v>0</v>
      </c>
      <c r="AG37" s="4">
        <f>Table_EH_Post_Survey_May_22__2023_11_005[[#This Row],[Q8_1]]-Table_EH_Pre_Survey_May_20__2023_08_224[[#This Row],[Q8_1]]</f>
        <v>0</v>
      </c>
      <c r="AH37" s="4">
        <f>Table_EH_Post_Survey_May_22__2023_11_005[[#This Row],[Q8_2]]-Table_EH_Pre_Survey_May_20__2023_08_224[[#This Row],[Q8_2]]</f>
        <v>1</v>
      </c>
      <c r="AI37" s="4">
        <f>Table_EH_Post_Survey_May_22__2023_11_005[[#This Row],[Q8_3]]-Table_EH_Pre_Survey_May_20__2023_08_224[[#This Row],[Q8_3]]</f>
        <v>0</v>
      </c>
      <c r="AJ37" s="4">
        <f>Table_EH_Post_Survey_May_22__2023_11_005[[#This Row],[Q8_4]]-Table_EH_Pre_Survey_May_20__2023_08_224[[#This Row],[Q8_4]]</f>
        <v>0</v>
      </c>
      <c r="AK37" s="4">
        <f>Table_EH_Post_Survey_May_22__2023_11_005[[#This Row],[Q8_5]]-Table_EH_Pre_Survey_May_20__2023_08_224[[#This Row],[Q8_5]]</f>
        <v>-1</v>
      </c>
      <c r="AL37" s="4">
        <f>Table_EH_Post_Survey_May_22__2023_11_005[[#This Row],[Q8_6]]-Table_EH_Pre_Survey_May_20__2023_08_224[[#This Row],[Q8_6]]</f>
        <v>-2</v>
      </c>
      <c r="AM37" s="4">
        <f>Table_EH_Post_Survey_May_22__2023_11_005[[#This Row],[Q9_1]]-Table_EH_Pre_Survey_May_20__2023_08_224[[#This Row],[Q9_1]]</f>
        <v>0</v>
      </c>
    </row>
    <row r="38" spans="1:39" x14ac:dyDescent="0.25">
      <c r="A38" t="s">
        <v>996</v>
      </c>
      <c r="B38" t="s">
        <v>1051</v>
      </c>
      <c r="C38" t="s">
        <v>42</v>
      </c>
      <c r="D38" t="s">
        <v>389</v>
      </c>
      <c r="E38" t="s">
        <v>112</v>
      </c>
      <c r="F38" s="3">
        <v>658</v>
      </c>
      <c r="G38" s="3">
        <f>_xlfn.NUMBERVALUE(Table_EH_Post_Survey_May_22__2023_11_0056[[#This Row],[Duration (in seconds) - Duration (in seconds)]])</f>
        <v>658</v>
      </c>
      <c r="H38" t="s">
        <v>114</v>
      </c>
      <c r="I38" t="s">
        <v>1052</v>
      </c>
      <c r="J38" t="s">
        <v>1053</v>
      </c>
      <c r="K38" t="s">
        <v>111</v>
      </c>
      <c r="L38" t="s">
        <v>111</v>
      </c>
      <c r="M38" t="s">
        <v>111</v>
      </c>
      <c r="N38" t="s">
        <v>111</v>
      </c>
      <c r="O38" t="s">
        <v>392</v>
      </c>
      <c r="P38" t="s">
        <v>393</v>
      </c>
      <c r="Q38" t="s">
        <v>487</v>
      </c>
      <c r="R38" t="s">
        <v>117</v>
      </c>
      <c r="S38" s="17" t="s">
        <v>461</v>
      </c>
      <c r="T38" s="17" t="str">
        <f>VLOOKUP(Table_EH_Post_Survey_May_22__2023_11_0056[[#This Row],[Q1 - NetID]], Table_EH_Pre_Survey_May_20__2023_08_224[Q1 - NetID Post-Survey], 1, FALSE)</f>
        <v>Ym484</v>
      </c>
      <c r="U38" s="4">
        <f>Table_EH_Post_Survey_May_22__2023_11_005[[#This Row],[Q2]]-Table_EH_Pre_Survey_May_20__2023_08_224[[#This Row],[Q2]]</f>
        <v>0</v>
      </c>
      <c r="V38" s="4">
        <f>Table_EH_Post_Survey_May_22__2023_11_005[[#This Row],[Q3_1]]-Table_EH_Pre_Survey_May_20__2023_08_224[[#This Row],[Q3_1]]</f>
        <v>-1</v>
      </c>
      <c r="W38" s="4">
        <f>Table_EH_Post_Survey_May_22__2023_11_005[[#This Row],[Q3_2]]-Table_EH_Pre_Survey_May_20__2023_08_224[[#This Row],[Q3_2]]</f>
        <v>2</v>
      </c>
      <c r="X38" s="4">
        <f>Table_EH_Post_Survey_May_22__2023_11_005[[#This Row],[Q3_3]]-Table_EH_Pre_Survey_May_20__2023_08_224[[#This Row],[Q3_3]]</f>
        <v>2</v>
      </c>
      <c r="Y38" s="4">
        <f>Table_EH_Post_Survey_May_22__2023_11_005[[#This Row],[Q3_4]]-Table_EH_Pre_Survey_May_20__2023_08_224[[#This Row],[Q3_4]]</f>
        <v>0</v>
      </c>
      <c r="Z38" s="4">
        <f>Table_EH_Post_Survey_May_22__2023_11_005[[#This Row],[Q3_5]]-Table_EH_Pre_Survey_May_20__2023_08_224[[#This Row],[Q3_5]]</f>
        <v>1</v>
      </c>
      <c r="AA38" s="4">
        <f>Table_EH_Post_Survey_May_22__2023_11_005[[#This Row],[Q3_6]]-Table_EH_Pre_Survey_May_20__2023_08_224[[#This Row],[Q3_6]]</f>
        <v>0</v>
      </c>
      <c r="AB38" s="4">
        <f>Table_EH_Post_Survey_May_22__2023_11_005[[#This Row],[Q3_7]]-Table_EH_Pre_Survey_May_20__2023_08_224[[#This Row],[Q3_7]]</f>
        <v>-1</v>
      </c>
      <c r="AC38" s="4">
        <f>Table_EH_Post_Survey_May_22__2023_11_005[[#This Row],[Q4_1]]-Table_EH_Pre_Survey_May_20__2023_08_224[[#This Row],[Q4_1]]</f>
        <v>-1</v>
      </c>
      <c r="AD38" s="4">
        <f>Table_EH_Post_Survey_May_22__2023_11_005[[#This Row],[Q5 Coded Responses]]-Table_EH_Pre_Survey_May_20__2023_08_224[[#This Row],[Q5 Coded Responses]]</f>
        <v>1</v>
      </c>
      <c r="AE38" s="4">
        <f>Table_EH_Post_Survey_May_22__2023_11_005[[#This Row],[Q6 Coded Responses]]-Table_EH_Pre_Survey_May_20__2023_08_224[[#This Row],[Q6 Coded Responses]]</f>
        <v>0</v>
      </c>
      <c r="AF38" s="4">
        <f>Table_EH_Post_Survey_May_22__2023_11_005[[#This Row],[Q7 Responses Coded]]-Table_EH_Pre_Survey_May_20__2023_08_224[[#This Row],[Q7 Responses Coded]]</f>
        <v>-1</v>
      </c>
      <c r="AG38" s="4">
        <f>Table_EH_Post_Survey_May_22__2023_11_005[[#This Row],[Q8_1]]-Table_EH_Pre_Survey_May_20__2023_08_224[[#This Row],[Q8_1]]</f>
        <v>0</v>
      </c>
      <c r="AH38" s="4">
        <f>Table_EH_Post_Survey_May_22__2023_11_005[[#This Row],[Q8_2]]-Table_EH_Pre_Survey_May_20__2023_08_224[[#This Row],[Q8_2]]</f>
        <v>3</v>
      </c>
      <c r="AI38" s="4">
        <f>Table_EH_Post_Survey_May_22__2023_11_005[[#This Row],[Q8_3]]-Table_EH_Pre_Survey_May_20__2023_08_224[[#This Row],[Q8_3]]</f>
        <v>-1</v>
      </c>
      <c r="AJ38" s="4">
        <f>Table_EH_Post_Survey_May_22__2023_11_005[[#This Row],[Q8_4]]-Table_EH_Pre_Survey_May_20__2023_08_224[[#This Row],[Q8_4]]</f>
        <v>0</v>
      </c>
      <c r="AK38" s="4">
        <f>Table_EH_Post_Survey_May_22__2023_11_005[[#This Row],[Q8_5]]-Table_EH_Pre_Survey_May_20__2023_08_224[[#This Row],[Q8_5]]</f>
        <v>0</v>
      </c>
      <c r="AL38" s="4">
        <f>Table_EH_Post_Survey_May_22__2023_11_005[[#This Row],[Q8_6]]-Table_EH_Pre_Survey_May_20__2023_08_224[[#This Row],[Q8_6]]</f>
        <v>-1</v>
      </c>
      <c r="AM38" s="4">
        <f>Table_EH_Post_Survey_May_22__2023_11_005[[#This Row],[Q9_1]]-Table_EH_Pre_Survey_May_20__2023_08_224[[#This Row],[Q9_1]]</f>
        <v>1</v>
      </c>
    </row>
    <row r="39" spans="1:39" hidden="1" x14ac:dyDescent="0.25">
      <c r="A39" t="s">
        <v>1234</v>
      </c>
      <c r="B39" t="s">
        <v>1235</v>
      </c>
      <c r="C39" t="s">
        <v>42</v>
      </c>
      <c r="D39" t="s">
        <v>389</v>
      </c>
      <c r="E39" t="s">
        <v>112</v>
      </c>
      <c r="F39" s="3">
        <v>581</v>
      </c>
      <c r="G39" s="3">
        <f>_xlfn.NUMBERVALUE(Table_EH_Post_Survey_May_22__2023_11_0056[[#This Row],[Duration (in seconds) - Duration (in seconds)]])</f>
        <v>581</v>
      </c>
      <c r="H39" t="s">
        <v>114</v>
      </c>
      <c r="I39" t="s">
        <v>1235</v>
      </c>
      <c r="J39" t="s">
        <v>1236</v>
      </c>
      <c r="K39" t="s">
        <v>111</v>
      </c>
      <c r="L39" t="s">
        <v>111</v>
      </c>
      <c r="M39" t="s">
        <v>111</v>
      </c>
      <c r="N39" t="s">
        <v>111</v>
      </c>
      <c r="O39" t="s">
        <v>392</v>
      </c>
      <c r="P39" t="s">
        <v>393</v>
      </c>
      <c r="Q39" t="s">
        <v>127</v>
      </c>
      <c r="R39" t="s">
        <v>117</v>
      </c>
      <c r="S39" t="s">
        <v>1237</v>
      </c>
      <c r="T39" s="17" t="e">
        <f>VLOOKUP(Table_EH_Post_Survey_May_22__2023_11_0056[[#This Row],[Q1 - NetID]], Table_EH_Pre_Survey_May_20__2023_08_224[Q1 - NetID Post-Survey], 1, FALSE)</f>
        <v>#N/A</v>
      </c>
      <c r="U39" s="4">
        <f>Table_EH_Post_Survey_May_22__2023_11_005[[#This Row],[Q2]]-Table_EH_Pre_Survey_May_20__2023_08_224[[#This Row],[Q2]]</f>
        <v>0</v>
      </c>
      <c r="V39" s="4">
        <f>Table_EH_Post_Survey_May_22__2023_11_005[[#This Row],[Q3_1]]-Table_EH_Pre_Survey_May_20__2023_08_224[[#This Row],[Q3_1]]</f>
        <v>1</v>
      </c>
      <c r="W39" s="4">
        <f>Table_EH_Post_Survey_May_22__2023_11_005[[#This Row],[Q3_2]]-Table_EH_Pre_Survey_May_20__2023_08_224[[#This Row],[Q3_2]]</f>
        <v>-1</v>
      </c>
      <c r="X39" s="4">
        <f>Table_EH_Post_Survey_May_22__2023_11_005[[#This Row],[Q3_3]]-Table_EH_Pre_Survey_May_20__2023_08_224[[#This Row],[Q3_3]]</f>
        <v>-1</v>
      </c>
      <c r="Y39" s="4">
        <f>Table_EH_Post_Survey_May_22__2023_11_005[[#This Row],[Q3_4]]-Table_EH_Pre_Survey_May_20__2023_08_224[[#This Row],[Q3_4]]</f>
        <v>-1</v>
      </c>
      <c r="Z39" s="4">
        <f>Table_EH_Post_Survey_May_22__2023_11_005[[#This Row],[Q3_5]]-Table_EH_Pre_Survey_May_20__2023_08_224[[#This Row],[Q3_5]]</f>
        <v>-3</v>
      </c>
      <c r="AA39" s="4">
        <f>Table_EH_Post_Survey_May_22__2023_11_005[[#This Row],[Q3_6]]-Table_EH_Pre_Survey_May_20__2023_08_224[[#This Row],[Q3_6]]</f>
        <v>0</v>
      </c>
      <c r="AB39" s="4">
        <f>Table_EH_Post_Survey_May_22__2023_11_005[[#This Row],[Q3_7]]-Table_EH_Pre_Survey_May_20__2023_08_224[[#This Row],[Q3_7]]</f>
        <v>-1</v>
      </c>
      <c r="AC39" s="4">
        <f>Table_EH_Post_Survey_May_22__2023_11_005[[#This Row],[Q4_1]]-Table_EH_Pre_Survey_May_20__2023_08_224[[#This Row],[Q4_1]]</f>
        <v>0</v>
      </c>
      <c r="AD39" s="4">
        <f>Table_EH_Post_Survey_May_22__2023_11_005[[#This Row],[Q5 Coded Responses]]-Table_EH_Pre_Survey_May_20__2023_08_224[[#This Row],[Q5 Coded Responses]]</f>
        <v>1</v>
      </c>
      <c r="AE39" s="4">
        <f>Table_EH_Post_Survey_May_22__2023_11_005[[#This Row],[Q6 Coded Responses]]-Table_EH_Pre_Survey_May_20__2023_08_224[[#This Row],[Q6 Coded Responses]]</f>
        <v>1</v>
      </c>
      <c r="AF39" s="4">
        <f>Table_EH_Post_Survey_May_22__2023_11_005[[#This Row],[Q7 Responses Coded]]-Table_EH_Pre_Survey_May_20__2023_08_224[[#This Row],[Q7 Responses Coded]]</f>
        <v>3</v>
      </c>
      <c r="AG39" s="4">
        <f>Table_EH_Post_Survey_May_22__2023_11_005[[#This Row],[Q8_1]]-Table_EH_Pre_Survey_May_20__2023_08_224[[#This Row],[Q8_1]]</f>
        <v>1</v>
      </c>
      <c r="AH39" s="4">
        <f>Table_EH_Post_Survey_May_22__2023_11_005[[#This Row],[Q8_2]]-Table_EH_Pre_Survey_May_20__2023_08_224[[#This Row],[Q8_2]]</f>
        <v>3</v>
      </c>
      <c r="AI39" s="4">
        <f>Table_EH_Post_Survey_May_22__2023_11_005[[#This Row],[Q8_3]]-Table_EH_Pre_Survey_May_20__2023_08_224[[#This Row],[Q8_3]]</f>
        <v>1</v>
      </c>
      <c r="AJ39" s="4">
        <f>Table_EH_Post_Survey_May_22__2023_11_005[[#This Row],[Q8_4]]-Table_EH_Pre_Survey_May_20__2023_08_224[[#This Row],[Q8_4]]</f>
        <v>1</v>
      </c>
      <c r="AK39" s="4">
        <f>Table_EH_Post_Survey_May_22__2023_11_005[[#This Row],[Q8_5]]-Table_EH_Pre_Survey_May_20__2023_08_224[[#This Row],[Q8_5]]</f>
        <v>1</v>
      </c>
      <c r="AL39" s="4">
        <f>Table_EH_Post_Survey_May_22__2023_11_005[[#This Row],[Q8_6]]-Table_EH_Pre_Survey_May_20__2023_08_224[[#This Row],[Q8_6]]</f>
        <v>0</v>
      </c>
      <c r="AM39" s="4">
        <f>Table_EH_Post_Survey_May_22__2023_11_005[[#This Row],[Q9_1]]-Table_EH_Pre_Survey_May_20__2023_08_224[[#This Row],[Q9_1]]</f>
        <v>1</v>
      </c>
    </row>
    <row r="40" spans="1:39" hidden="1" x14ac:dyDescent="0.25">
      <c r="A40" t="s">
        <v>1023</v>
      </c>
      <c r="B40" t="s">
        <v>1024</v>
      </c>
      <c r="C40" t="s">
        <v>42</v>
      </c>
      <c r="D40" t="s">
        <v>1025</v>
      </c>
      <c r="E40" t="s">
        <v>112</v>
      </c>
      <c r="F40" s="3">
        <v>241</v>
      </c>
      <c r="G40" s="3">
        <f>_xlfn.NUMBERVALUE(Table_EH_Post_Survey_May_22__2023_11_0056[[#This Row],[Duration (in seconds) - Duration (in seconds)]])</f>
        <v>241</v>
      </c>
      <c r="H40" t="s">
        <v>114</v>
      </c>
      <c r="I40" t="s">
        <v>1026</v>
      </c>
      <c r="J40" t="s">
        <v>1027</v>
      </c>
      <c r="K40" t="s">
        <v>111</v>
      </c>
      <c r="L40" t="s">
        <v>111</v>
      </c>
      <c r="M40" t="s">
        <v>111</v>
      </c>
      <c r="N40" t="s">
        <v>111</v>
      </c>
      <c r="O40" t="s">
        <v>1028</v>
      </c>
      <c r="P40" t="s">
        <v>1029</v>
      </c>
      <c r="Q40" t="s">
        <v>487</v>
      </c>
      <c r="R40" t="s">
        <v>117</v>
      </c>
      <c r="S40" t="s">
        <v>1030</v>
      </c>
      <c r="T40" s="17" t="e">
        <f>VLOOKUP(Table_EH_Post_Survey_May_22__2023_11_0056[[#This Row],[Q1 - NetID]], Table_EH_Pre_Survey_May_20__2023_08_224[Q1 - NetID Post-Survey], 1, FALSE)</f>
        <v>#N/A</v>
      </c>
      <c r="U40" s="4">
        <f>Table_EH_Post_Survey_May_22__2023_11_005[[#This Row],[Q2]]-Table_EH_Pre_Survey_May_20__2023_08_224[[#This Row],[Q2]]</f>
        <v>1</v>
      </c>
      <c r="V40" s="4">
        <f>Table_EH_Post_Survey_May_22__2023_11_005[[#This Row],[Q3_1]]-Table_EH_Pre_Survey_May_20__2023_08_224[[#This Row],[Q3_1]]</f>
        <v>0</v>
      </c>
      <c r="W40" s="4">
        <f>Table_EH_Post_Survey_May_22__2023_11_005[[#This Row],[Q3_2]]-Table_EH_Pre_Survey_May_20__2023_08_224[[#This Row],[Q3_2]]</f>
        <v>-3</v>
      </c>
      <c r="X40" s="4">
        <f>Table_EH_Post_Survey_May_22__2023_11_005[[#This Row],[Q3_3]]-Table_EH_Pre_Survey_May_20__2023_08_224[[#This Row],[Q3_3]]</f>
        <v>0</v>
      </c>
      <c r="Y40" s="4">
        <f>Table_EH_Post_Survey_May_22__2023_11_005[[#This Row],[Q3_4]]-Table_EH_Pre_Survey_May_20__2023_08_224[[#This Row],[Q3_4]]</f>
        <v>-4</v>
      </c>
      <c r="Z40" s="4">
        <f>Table_EH_Post_Survey_May_22__2023_11_005[[#This Row],[Q3_5]]-Table_EH_Pre_Survey_May_20__2023_08_224[[#This Row],[Q3_5]]</f>
        <v>1</v>
      </c>
      <c r="AA40" s="4">
        <f>Table_EH_Post_Survey_May_22__2023_11_005[[#This Row],[Q3_6]]-Table_EH_Pre_Survey_May_20__2023_08_224[[#This Row],[Q3_6]]</f>
        <v>0</v>
      </c>
      <c r="AB40" s="4">
        <f>Table_EH_Post_Survey_May_22__2023_11_005[[#This Row],[Q3_7]]-Table_EH_Pre_Survey_May_20__2023_08_224[[#This Row],[Q3_7]]</f>
        <v>-2</v>
      </c>
      <c r="AC40" s="4">
        <f>Table_EH_Post_Survey_May_22__2023_11_005[[#This Row],[Q4_1]]-Table_EH_Pre_Survey_May_20__2023_08_224[[#This Row],[Q4_1]]</f>
        <v>-1</v>
      </c>
      <c r="AD40" s="4">
        <f>Table_EH_Post_Survey_May_22__2023_11_005[[#This Row],[Q5 Coded Responses]]-Table_EH_Pre_Survey_May_20__2023_08_224[[#This Row],[Q5 Coded Responses]]</f>
        <v>1</v>
      </c>
      <c r="AE40" s="4">
        <f>Table_EH_Post_Survey_May_22__2023_11_005[[#This Row],[Q6 Coded Responses]]-Table_EH_Pre_Survey_May_20__2023_08_224[[#This Row],[Q6 Coded Responses]]</f>
        <v>0</v>
      </c>
      <c r="AF40" s="4">
        <f>Table_EH_Post_Survey_May_22__2023_11_005[[#This Row],[Q7 Responses Coded]]-Table_EH_Pre_Survey_May_20__2023_08_224[[#This Row],[Q7 Responses Coded]]</f>
        <v>-1</v>
      </c>
      <c r="AG40" s="4">
        <f>Table_EH_Post_Survey_May_22__2023_11_005[[#This Row],[Q8_1]]-Table_EH_Pre_Survey_May_20__2023_08_224[[#This Row],[Q8_1]]</f>
        <v>0</v>
      </c>
      <c r="AH40" s="4">
        <f>Table_EH_Post_Survey_May_22__2023_11_005[[#This Row],[Q8_2]]-Table_EH_Pre_Survey_May_20__2023_08_224[[#This Row],[Q8_2]]</f>
        <v>-2</v>
      </c>
      <c r="AI40" s="4">
        <f>Table_EH_Post_Survey_May_22__2023_11_005[[#This Row],[Q8_3]]-Table_EH_Pre_Survey_May_20__2023_08_224[[#This Row],[Q8_3]]</f>
        <v>-2</v>
      </c>
      <c r="AJ40" s="4">
        <f>Table_EH_Post_Survey_May_22__2023_11_005[[#This Row],[Q8_4]]-Table_EH_Pre_Survey_May_20__2023_08_224[[#This Row],[Q8_4]]</f>
        <v>-3</v>
      </c>
      <c r="AK40" s="4">
        <f>Table_EH_Post_Survey_May_22__2023_11_005[[#This Row],[Q8_5]]-Table_EH_Pre_Survey_May_20__2023_08_224[[#This Row],[Q8_5]]</f>
        <v>0</v>
      </c>
      <c r="AL40" s="4">
        <f>Table_EH_Post_Survey_May_22__2023_11_005[[#This Row],[Q8_6]]-Table_EH_Pre_Survey_May_20__2023_08_224[[#This Row],[Q8_6]]</f>
        <v>1</v>
      </c>
      <c r="AM40" s="4">
        <f>Table_EH_Post_Survey_May_22__2023_11_005[[#This Row],[Q9_1]]-Table_EH_Pre_Survey_May_20__2023_08_224[[#This Row],[Q9_1]]</f>
        <v>0</v>
      </c>
    </row>
    <row r="41" spans="1:39" hidden="1" x14ac:dyDescent="0.25">
      <c r="A41" t="s">
        <v>963</v>
      </c>
      <c r="B41" t="s">
        <v>964</v>
      </c>
      <c r="C41" t="s">
        <v>42</v>
      </c>
      <c r="D41" t="s">
        <v>453</v>
      </c>
      <c r="E41" t="s">
        <v>112</v>
      </c>
      <c r="F41" s="3">
        <v>85</v>
      </c>
      <c r="G41" s="3">
        <f>_xlfn.NUMBERVALUE(Table_EH_Post_Survey_May_22__2023_11_0056[[#This Row],[Duration (in seconds) - Duration (in seconds)]])</f>
        <v>85</v>
      </c>
      <c r="H41" t="s">
        <v>114</v>
      </c>
      <c r="I41" t="s">
        <v>964</v>
      </c>
      <c r="J41" t="s">
        <v>965</v>
      </c>
      <c r="K41" t="s">
        <v>111</v>
      </c>
      <c r="L41" t="s">
        <v>111</v>
      </c>
      <c r="M41" t="s">
        <v>111</v>
      </c>
      <c r="N41" t="s">
        <v>111</v>
      </c>
      <c r="O41" t="s">
        <v>115</v>
      </c>
      <c r="P41" t="s">
        <v>116</v>
      </c>
      <c r="Q41" t="s">
        <v>487</v>
      </c>
      <c r="R41" t="s">
        <v>117</v>
      </c>
      <c r="S41" t="s">
        <v>966</v>
      </c>
      <c r="T41" s="17" t="e">
        <f>VLOOKUP(Table_EH_Post_Survey_May_22__2023_11_0056[[#This Row],[Q1 - NetID]], Table_EH_Pre_Survey_May_20__2023_08_224[Q1 - NetID Post-Survey], 1, FALSE)</f>
        <v>#N/A</v>
      </c>
      <c r="U41" s="4">
        <f>Table_EH_Post_Survey_May_22__2023_11_005[[#This Row],[Q2]]-Table_EH_Pre_Survey_May_20__2023_08_224[[#This Row],[Q2]]</f>
        <v>1</v>
      </c>
      <c r="V41" s="4">
        <f>Table_EH_Post_Survey_May_22__2023_11_005[[#This Row],[Q3_1]]-Table_EH_Pre_Survey_May_20__2023_08_224[[#This Row],[Q3_1]]</f>
        <v>0</v>
      </c>
      <c r="W41" s="4">
        <f>Table_EH_Post_Survey_May_22__2023_11_005[[#This Row],[Q3_2]]-Table_EH_Pre_Survey_May_20__2023_08_224[[#This Row],[Q3_2]]</f>
        <v>-1</v>
      </c>
      <c r="X41" s="4">
        <f>Table_EH_Post_Survey_May_22__2023_11_005[[#This Row],[Q3_3]]-Table_EH_Pre_Survey_May_20__2023_08_224[[#This Row],[Q3_3]]</f>
        <v>3</v>
      </c>
      <c r="Y41" s="4">
        <f>Table_EH_Post_Survey_May_22__2023_11_005[[#This Row],[Q3_4]]-Table_EH_Pre_Survey_May_20__2023_08_224[[#This Row],[Q3_4]]</f>
        <v>1</v>
      </c>
      <c r="Z41" s="4">
        <f>Table_EH_Post_Survey_May_22__2023_11_005[[#This Row],[Q3_5]]-Table_EH_Pre_Survey_May_20__2023_08_224[[#This Row],[Q3_5]]</f>
        <v>3</v>
      </c>
      <c r="AA41" s="4">
        <f>Table_EH_Post_Survey_May_22__2023_11_005[[#This Row],[Q3_6]]-Table_EH_Pre_Survey_May_20__2023_08_224[[#This Row],[Q3_6]]</f>
        <v>0</v>
      </c>
      <c r="AB41" s="4">
        <f>Table_EH_Post_Survey_May_22__2023_11_005[[#This Row],[Q3_7]]-Table_EH_Pre_Survey_May_20__2023_08_224[[#This Row],[Q3_7]]</f>
        <v>1</v>
      </c>
      <c r="AC41" s="4">
        <f>Table_EH_Post_Survey_May_22__2023_11_005[[#This Row],[Q4_1]]-Table_EH_Pre_Survey_May_20__2023_08_224[[#This Row],[Q4_1]]</f>
        <v>1</v>
      </c>
      <c r="AD41" s="4">
        <f>Table_EH_Post_Survey_May_22__2023_11_005[[#This Row],[Q5 Coded Responses]]-Table_EH_Pre_Survey_May_20__2023_08_224[[#This Row],[Q5 Coded Responses]]</f>
        <v>1</v>
      </c>
      <c r="AE41" s="4">
        <f>Table_EH_Post_Survey_May_22__2023_11_005[[#This Row],[Q6 Coded Responses]]-Table_EH_Pre_Survey_May_20__2023_08_224[[#This Row],[Q6 Coded Responses]]</f>
        <v>0</v>
      </c>
      <c r="AF41" s="4">
        <f>Table_EH_Post_Survey_May_22__2023_11_005[[#This Row],[Q7 Responses Coded]]-Table_EH_Pre_Survey_May_20__2023_08_224[[#This Row],[Q7 Responses Coded]]</f>
        <v>2</v>
      </c>
      <c r="AG41" s="4">
        <f>Table_EH_Post_Survey_May_22__2023_11_005[[#This Row],[Q8_1]]-Table_EH_Pre_Survey_May_20__2023_08_224[[#This Row],[Q8_1]]</f>
        <v>2</v>
      </c>
      <c r="AH41" s="4">
        <f>Table_EH_Post_Survey_May_22__2023_11_005[[#This Row],[Q8_2]]-Table_EH_Pre_Survey_May_20__2023_08_224[[#This Row],[Q8_2]]</f>
        <v>1</v>
      </c>
      <c r="AI41" s="4">
        <f>Table_EH_Post_Survey_May_22__2023_11_005[[#This Row],[Q8_3]]-Table_EH_Pre_Survey_May_20__2023_08_224[[#This Row],[Q8_3]]</f>
        <v>1</v>
      </c>
      <c r="AJ41" s="4">
        <f>Table_EH_Post_Survey_May_22__2023_11_005[[#This Row],[Q8_4]]-Table_EH_Pre_Survey_May_20__2023_08_224[[#This Row],[Q8_4]]</f>
        <v>-1</v>
      </c>
      <c r="AK41" s="4">
        <f>Table_EH_Post_Survey_May_22__2023_11_005[[#This Row],[Q8_5]]-Table_EH_Pre_Survey_May_20__2023_08_224[[#This Row],[Q8_5]]</f>
        <v>-1</v>
      </c>
      <c r="AL41" s="4">
        <f>Table_EH_Post_Survey_May_22__2023_11_005[[#This Row],[Q8_6]]-Table_EH_Pre_Survey_May_20__2023_08_224[[#This Row],[Q8_6]]</f>
        <v>0</v>
      </c>
      <c r="AM41" s="4">
        <f>Table_EH_Post_Survey_May_22__2023_11_005[[#This Row],[Q9_1]]-Table_EH_Pre_Survey_May_20__2023_08_224[[#This Row],[Q9_1]]</f>
        <v>4</v>
      </c>
    </row>
    <row r="42" spans="1:39" hidden="1" x14ac:dyDescent="0.25">
      <c r="A42" t="s">
        <v>1179</v>
      </c>
      <c r="B42" t="s">
        <v>1180</v>
      </c>
      <c r="C42" t="s">
        <v>42</v>
      </c>
      <c r="D42" t="s">
        <v>389</v>
      </c>
      <c r="E42" t="s">
        <v>112</v>
      </c>
      <c r="F42" s="3">
        <v>96</v>
      </c>
      <c r="G42" s="3">
        <f>_xlfn.NUMBERVALUE(Table_EH_Post_Survey_May_22__2023_11_0056[[#This Row],[Duration (in seconds) - Duration (in seconds)]])</f>
        <v>96</v>
      </c>
      <c r="H42" t="s">
        <v>114</v>
      </c>
      <c r="I42" t="s">
        <v>1181</v>
      </c>
      <c r="J42" t="s">
        <v>1182</v>
      </c>
      <c r="K42" t="s">
        <v>111</v>
      </c>
      <c r="L42" t="s">
        <v>111</v>
      </c>
      <c r="M42" t="s">
        <v>111</v>
      </c>
      <c r="N42" t="s">
        <v>111</v>
      </c>
      <c r="O42" t="s">
        <v>392</v>
      </c>
      <c r="P42" t="s">
        <v>393</v>
      </c>
      <c r="Q42" t="s">
        <v>127</v>
      </c>
      <c r="R42" t="s">
        <v>117</v>
      </c>
      <c r="S42" t="s">
        <v>1183</v>
      </c>
      <c r="T42" s="17" t="e">
        <f>VLOOKUP(Table_EH_Post_Survey_May_22__2023_11_0056[[#This Row],[Q1 - NetID]], Table_EH_Pre_Survey_May_20__2023_08_224[Q1 - NetID Post-Survey], 1, FALSE)</f>
        <v>#N/A</v>
      </c>
      <c r="U42" s="4">
        <f>Table_EH_Post_Survey_May_22__2023_11_005[[#This Row],[Q2]]-Table_EH_Pre_Survey_May_20__2023_08_224[[#This Row],[Q2]]</f>
        <v>1</v>
      </c>
      <c r="V42" s="4">
        <f>Table_EH_Post_Survey_May_22__2023_11_005[[#This Row],[Q3_1]]-Table_EH_Pre_Survey_May_20__2023_08_224[[#This Row],[Q3_1]]</f>
        <v>1</v>
      </c>
      <c r="W42" s="4">
        <f>Table_EH_Post_Survey_May_22__2023_11_005[[#This Row],[Q3_2]]-Table_EH_Pre_Survey_May_20__2023_08_224[[#This Row],[Q3_2]]</f>
        <v>-1</v>
      </c>
      <c r="X42" s="4">
        <f>Table_EH_Post_Survey_May_22__2023_11_005[[#This Row],[Q3_3]]-Table_EH_Pre_Survey_May_20__2023_08_224[[#This Row],[Q3_3]]</f>
        <v>0</v>
      </c>
      <c r="Y42" s="4">
        <f>Table_EH_Post_Survey_May_22__2023_11_005[[#This Row],[Q3_4]]-Table_EH_Pre_Survey_May_20__2023_08_224[[#This Row],[Q3_4]]</f>
        <v>3</v>
      </c>
      <c r="Z42" s="4">
        <f>Table_EH_Post_Survey_May_22__2023_11_005[[#This Row],[Q3_5]]-Table_EH_Pre_Survey_May_20__2023_08_224[[#This Row],[Q3_5]]</f>
        <v>1</v>
      </c>
      <c r="AA42" s="4">
        <f>Table_EH_Post_Survey_May_22__2023_11_005[[#This Row],[Q3_6]]-Table_EH_Pre_Survey_May_20__2023_08_224[[#This Row],[Q3_6]]</f>
        <v>0</v>
      </c>
      <c r="AB42" s="4">
        <f>Table_EH_Post_Survey_May_22__2023_11_005[[#This Row],[Q3_7]]-Table_EH_Pre_Survey_May_20__2023_08_224[[#This Row],[Q3_7]]</f>
        <v>1</v>
      </c>
      <c r="AC42" s="4">
        <f>Table_EH_Post_Survey_May_22__2023_11_005[[#This Row],[Q4_1]]-Table_EH_Pre_Survey_May_20__2023_08_224[[#This Row],[Q4_1]]</f>
        <v>-1.5</v>
      </c>
      <c r="AD42" s="4">
        <f>Table_EH_Post_Survey_May_22__2023_11_005[[#This Row],[Q5 Coded Responses]]-Table_EH_Pre_Survey_May_20__2023_08_224[[#This Row],[Q5 Coded Responses]]</f>
        <v>0</v>
      </c>
      <c r="AE42" s="4">
        <f>Table_EH_Post_Survey_May_22__2023_11_005[[#This Row],[Q6 Coded Responses]]-Table_EH_Pre_Survey_May_20__2023_08_224[[#This Row],[Q6 Coded Responses]]</f>
        <v>0</v>
      </c>
      <c r="AF42" s="4">
        <f>Table_EH_Post_Survey_May_22__2023_11_005[[#This Row],[Q7 Responses Coded]]-Table_EH_Pre_Survey_May_20__2023_08_224[[#This Row],[Q7 Responses Coded]]</f>
        <v>-1</v>
      </c>
      <c r="AG42" s="4">
        <f>Table_EH_Post_Survey_May_22__2023_11_005[[#This Row],[Q8_1]]-Table_EH_Pre_Survey_May_20__2023_08_224[[#This Row],[Q8_1]]</f>
        <v>4</v>
      </c>
      <c r="AH42" s="4">
        <f>Table_EH_Post_Survey_May_22__2023_11_005[[#This Row],[Q8_2]]-Table_EH_Pre_Survey_May_20__2023_08_224[[#This Row],[Q8_2]]</f>
        <v>4</v>
      </c>
      <c r="AI42" s="4">
        <f>Table_EH_Post_Survey_May_22__2023_11_005[[#This Row],[Q8_3]]-Table_EH_Pre_Survey_May_20__2023_08_224[[#This Row],[Q8_3]]</f>
        <v>1</v>
      </c>
      <c r="AJ42" s="4">
        <f>Table_EH_Post_Survey_May_22__2023_11_005[[#This Row],[Q8_4]]-Table_EH_Pre_Survey_May_20__2023_08_224[[#This Row],[Q8_4]]</f>
        <v>2</v>
      </c>
      <c r="AK42" s="4">
        <f>Table_EH_Post_Survey_May_22__2023_11_005[[#This Row],[Q8_5]]-Table_EH_Pre_Survey_May_20__2023_08_224[[#This Row],[Q8_5]]</f>
        <v>2</v>
      </c>
      <c r="AL42" s="4">
        <f>Table_EH_Post_Survey_May_22__2023_11_005[[#This Row],[Q8_6]]-Table_EH_Pre_Survey_May_20__2023_08_224[[#This Row],[Q8_6]]</f>
        <v>3</v>
      </c>
      <c r="AM42" s="4">
        <f>Table_EH_Post_Survey_May_22__2023_11_005[[#This Row],[Q9_1]]-Table_EH_Pre_Survey_May_20__2023_08_224[[#This Row],[Q9_1]]</f>
        <v>3</v>
      </c>
    </row>
    <row r="43" spans="1:39" hidden="1" x14ac:dyDescent="0.25">
      <c r="A43" t="s">
        <v>1101</v>
      </c>
      <c r="B43" t="s">
        <v>1102</v>
      </c>
      <c r="C43" t="s">
        <v>42</v>
      </c>
      <c r="D43" t="s">
        <v>843</v>
      </c>
      <c r="E43" t="s">
        <v>112</v>
      </c>
      <c r="F43" s="3">
        <v>90</v>
      </c>
      <c r="G43" s="3">
        <f>_xlfn.NUMBERVALUE(Table_EH_Post_Survey_May_22__2023_11_0056[[#This Row],[Duration (in seconds) - Duration (in seconds)]])</f>
        <v>90</v>
      </c>
      <c r="H43" t="s">
        <v>114</v>
      </c>
      <c r="I43" t="s">
        <v>1102</v>
      </c>
      <c r="J43" t="s">
        <v>1103</v>
      </c>
      <c r="K43" t="s">
        <v>111</v>
      </c>
      <c r="L43" t="s">
        <v>111</v>
      </c>
      <c r="M43" t="s">
        <v>111</v>
      </c>
      <c r="N43" t="s">
        <v>111</v>
      </c>
      <c r="O43" t="s">
        <v>229</v>
      </c>
      <c r="P43" t="s">
        <v>230</v>
      </c>
      <c r="Q43" t="s">
        <v>127</v>
      </c>
      <c r="R43" t="s">
        <v>117</v>
      </c>
      <c r="S43" t="s">
        <v>1104</v>
      </c>
      <c r="T43" s="17" t="e">
        <f>VLOOKUP(Table_EH_Post_Survey_May_22__2023_11_0056[[#This Row],[Q1 - NetID]], Table_EH_Pre_Survey_May_20__2023_08_224[Q1 - NetID Post-Survey], 1, FALSE)</f>
        <v>#N/A</v>
      </c>
      <c r="U43" s="4">
        <f>Table_EH_Post_Survey_May_22__2023_11_005[[#This Row],[Q2]]-Table_EH_Pre_Survey_May_20__2023_08_224[[#This Row],[Q2]]</f>
        <v>0</v>
      </c>
      <c r="V43" s="4">
        <f>Table_EH_Post_Survey_May_22__2023_11_005[[#This Row],[Q3_1]]-Table_EH_Pre_Survey_May_20__2023_08_224[[#This Row],[Q3_1]]</f>
        <v>1</v>
      </c>
      <c r="W43" s="4">
        <f>Table_EH_Post_Survey_May_22__2023_11_005[[#This Row],[Q3_2]]-Table_EH_Pre_Survey_May_20__2023_08_224[[#This Row],[Q3_2]]</f>
        <v>1</v>
      </c>
      <c r="X43" s="4">
        <f>Table_EH_Post_Survey_May_22__2023_11_005[[#This Row],[Q3_3]]-Table_EH_Pre_Survey_May_20__2023_08_224[[#This Row],[Q3_3]]</f>
        <v>0</v>
      </c>
      <c r="Y43" s="4">
        <f>Table_EH_Post_Survey_May_22__2023_11_005[[#This Row],[Q3_4]]-Table_EH_Pre_Survey_May_20__2023_08_224[[#This Row],[Q3_4]]</f>
        <v>-1</v>
      </c>
      <c r="Z43" s="4">
        <f>Table_EH_Post_Survey_May_22__2023_11_005[[#This Row],[Q3_5]]-Table_EH_Pre_Survey_May_20__2023_08_224[[#This Row],[Q3_5]]</f>
        <v>-2</v>
      </c>
      <c r="AA43" s="4">
        <f>Table_EH_Post_Survey_May_22__2023_11_005[[#This Row],[Q3_6]]-Table_EH_Pre_Survey_May_20__2023_08_224[[#This Row],[Q3_6]]</f>
        <v>0</v>
      </c>
      <c r="AB43" s="4">
        <f>Table_EH_Post_Survey_May_22__2023_11_005[[#This Row],[Q3_7]]-Table_EH_Pre_Survey_May_20__2023_08_224[[#This Row],[Q3_7]]</f>
        <v>0</v>
      </c>
      <c r="AC43" s="4">
        <f>Table_EH_Post_Survey_May_22__2023_11_005[[#This Row],[Q4_1]]-Table_EH_Pre_Survey_May_20__2023_08_224[[#This Row],[Q4_1]]</f>
        <v>1</v>
      </c>
      <c r="AD43" s="4">
        <f>Table_EH_Post_Survey_May_22__2023_11_005[[#This Row],[Q5 Coded Responses]]-Table_EH_Pre_Survey_May_20__2023_08_224[[#This Row],[Q5 Coded Responses]]</f>
        <v>0</v>
      </c>
      <c r="AE43" s="4">
        <f>Table_EH_Post_Survey_May_22__2023_11_005[[#This Row],[Q6 Coded Responses]]-Table_EH_Pre_Survey_May_20__2023_08_224[[#This Row],[Q6 Coded Responses]]</f>
        <v>0</v>
      </c>
      <c r="AF43" s="4">
        <f>Table_EH_Post_Survey_May_22__2023_11_005[[#This Row],[Q7 Responses Coded]]-Table_EH_Pre_Survey_May_20__2023_08_224[[#This Row],[Q7 Responses Coded]]</f>
        <v>-1</v>
      </c>
      <c r="AG43" s="4">
        <f>Table_EH_Post_Survey_May_22__2023_11_005[[#This Row],[Q8_1]]-Table_EH_Pre_Survey_May_20__2023_08_224[[#This Row],[Q8_1]]</f>
        <v>1</v>
      </c>
      <c r="AH43" s="4">
        <f>Table_EH_Post_Survey_May_22__2023_11_005[[#This Row],[Q8_2]]-Table_EH_Pre_Survey_May_20__2023_08_224[[#This Row],[Q8_2]]</f>
        <v>3</v>
      </c>
      <c r="AI43" s="4">
        <f>Table_EH_Post_Survey_May_22__2023_11_005[[#This Row],[Q8_3]]-Table_EH_Pre_Survey_May_20__2023_08_224[[#This Row],[Q8_3]]</f>
        <v>3</v>
      </c>
      <c r="AJ43" s="4">
        <f>Table_EH_Post_Survey_May_22__2023_11_005[[#This Row],[Q8_4]]-Table_EH_Pre_Survey_May_20__2023_08_224[[#This Row],[Q8_4]]</f>
        <v>3</v>
      </c>
      <c r="AK43" s="4">
        <f>Table_EH_Post_Survey_May_22__2023_11_005[[#This Row],[Q8_5]]-Table_EH_Pre_Survey_May_20__2023_08_224[[#This Row],[Q8_5]]</f>
        <v>3</v>
      </c>
      <c r="AL43" s="4">
        <f>Table_EH_Post_Survey_May_22__2023_11_005[[#This Row],[Q8_6]]-Table_EH_Pre_Survey_May_20__2023_08_224[[#This Row],[Q8_6]]</f>
        <v>2</v>
      </c>
      <c r="AM43" s="4">
        <f>Table_EH_Post_Survey_May_22__2023_11_005[[#This Row],[Q9_1]]-Table_EH_Pre_Survey_May_20__2023_08_224[[#This Row],[Q9_1]]</f>
        <v>1</v>
      </c>
    </row>
    <row r="44" spans="1:39" hidden="1" x14ac:dyDescent="0.25">
      <c r="A44" t="s">
        <v>1193</v>
      </c>
      <c r="B44" t="s">
        <v>1194</v>
      </c>
      <c r="C44" t="s">
        <v>42</v>
      </c>
      <c r="D44" t="s">
        <v>1195</v>
      </c>
      <c r="E44" t="s">
        <v>112</v>
      </c>
      <c r="F44" s="3">
        <v>82</v>
      </c>
      <c r="G44" s="3">
        <f>_xlfn.NUMBERVALUE(Table_EH_Post_Survey_May_22__2023_11_0056[[#This Row],[Duration (in seconds) - Duration (in seconds)]])</f>
        <v>82</v>
      </c>
      <c r="H44" t="s">
        <v>114</v>
      </c>
      <c r="I44" t="s">
        <v>1194</v>
      </c>
      <c r="J44" t="s">
        <v>1196</v>
      </c>
      <c r="K44" t="s">
        <v>111</v>
      </c>
      <c r="L44" t="s">
        <v>111</v>
      </c>
      <c r="M44" t="s">
        <v>111</v>
      </c>
      <c r="N44" t="s">
        <v>111</v>
      </c>
      <c r="O44" t="s">
        <v>214</v>
      </c>
      <c r="P44" t="s">
        <v>215</v>
      </c>
      <c r="Q44" t="s">
        <v>127</v>
      </c>
      <c r="R44" t="s">
        <v>117</v>
      </c>
      <c r="S44" t="s">
        <v>1197</v>
      </c>
      <c r="T44" s="17" t="e">
        <f>VLOOKUP(Table_EH_Post_Survey_May_22__2023_11_0056[[#This Row],[Q1 - NetID]], Table_EH_Pre_Survey_May_20__2023_08_224[Q1 - NetID Post-Survey], 1, FALSE)</f>
        <v>#N/A</v>
      </c>
      <c r="U44" s="4">
        <f>Table_EH_Post_Survey_May_22__2023_11_005[[#This Row],[Q2]]-Table_EH_Pre_Survey_May_20__2023_08_224[[#This Row],[Q2]]</f>
        <v>2</v>
      </c>
      <c r="V44" s="4">
        <f>Table_EH_Post_Survey_May_22__2023_11_005[[#This Row],[Q3_1]]-Table_EH_Pre_Survey_May_20__2023_08_224[[#This Row],[Q3_1]]</f>
        <v>0</v>
      </c>
      <c r="W44" s="4">
        <f>Table_EH_Post_Survey_May_22__2023_11_005[[#This Row],[Q3_2]]-Table_EH_Pre_Survey_May_20__2023_08_224[[#This Row],[Q3_2]]</f>
        <v>2</v>
      </c>
      <c r="X44" s="4">
        <f>Table_EH_Post_Survey_May_22__2023_11_005[[#This Row],[Q3_3]]-Table_EH_Pre_Survey_May_20__2023_08_224[[#This Row],[Q3_3]]</f>
        <v>1</v>
      </c>
      <c r="Y44" s="4">
        <f>Table_EH_Post_Survey_May_22__2023_11_005[[#This Row],[Q3_4]]-Table_EH_Pre_Survey_May_20__2023_08_224[[#This Row],[Q3_4]]</f>
        <v>0</v>
      </c>
      <c r="Z44" s="4">
        <f>Table_EH_Post_Survey_May_22__2023_11_005[[#This Row],[Q3_5]]-Table_EH_Pre_Survey_May_20__2023_08_224[[#This Row],[Q3_5]]</f>
        <v>1</v>
      </c>
      <c r="AA44" s="4">
        <f>Table_EH_Post_Survey_May_22__2023_11_005[[#This Row],[Q3_6]]-Table_EH_Pre_Survey_May_20__2023_08_224[[#This Row],[Q3_6]]</f>
        <v>-5</v>
      </c>
      <c r="AB44" s="4">
        <f>Table_EH_Post_Survey_May_22__2023_11_005[[#This Row],[Q3_7]]-Table_EH_Pre_Survey_May_20__2023_08_224[[#This Row],[Q3_7]]</f>
        <v>1</v>
      </c>
      <c r="AC44" s="4">
        <f>Table_EH_Post_Survey_May_22__2023_11_005[[#This Row],[Q4_1]]-Table_EH_Pre_Survey_May_20__2023_08_224[[#This Row],[Q4_1]]</f>
        <v>-0.5</v>
      </c>
      <c r="AD44" s="4">
        <f>Table_EH_Post_Survey_May_22__2023_11_005[[#This Row],[Q5 Coded Responses]]-Table_EH_Pre_Survey_May_20__2023_08_224[[#This Row],[Q5 Coded Responses]]</f>
        <v>0</v>
      </c>
      <c r="AE44" s="4">
        <f>Table_EH_Post_Survey_May_22__2023_11_005[[#This Row],[Q6 Coded Responses]]-Table_EH_Pre_Survey_May_20__2023_08_224[[#This Row],[Q6 Coded Responses]]</f>
        <v>0</v>
      </c>
      <c r="AF44" s="4">
        <f>Table_EH_Post_Survey_May_22__2023_11_005[[#This Row],[Q7 Responses Coded]]-Table_EH_Pre_Survey_May_20__2023_08_224[[#This Row],[Q7 Responses Coded]]</f>
        <v>1</v>
      </c>
      <c r="AG44" s="4">
        <f>Table_EH_Post_Survey_May_22__2023_11_005[[#This Row],[Q8_1]]-Table_EH_Pre_Survey_May_20__2023_08_224[[#This Row],[Q8_1]]</f>
        <v>1</v>
      </c>
      <c r="AH44" s="4">
        <f>Table_EH_Post_Survey_May_22__2023_11_005[[#This Row],[Q8_2]]-Table_EH_Pre_Survey_May_20__2023_08_224[[#This Row],[Q8_2]]</f>
        <v>2</v>
      </c>
      <c r="AI44" s="4">
        <f>Table_EH_Post_Survey_May_22__2023_11_005[[#This Row],[Q8_3]]-Table_EH_Pre_Survey_May_20__2023_08_224[[#This Row],[Q8_3]]</f>
        <v>2</v>
      </c>
      <c r="AJ44" s="4">
        <f>Table_EH_Post_Survey_May_22__2023_11_005[[#This Row],[Q8_4]]-Table_EH_Pre_Survey_May_20__2023_08_224[[#This Row],[Q8_4]]</f>
        <v>1</v>
      </c>
      <c r="AK44" s="4">
        <f>Table_EH_Post_Survey_May_22__2023_11_005[[#This Row],[Q8_5]]-Table_EH_Pre_Survey_May_20__2023_08_224[[#This Row],[Q8_5]]</f>
        <v>2</v>
      </c>
      <c r="AL44" s="4">
        <f>Table_EH_Post_Survey_May_22__2023_11_005[[#This Row],[Q8_6]]-Table_EH_Pre_Survey_May_20__2023_08_224[[#This Row],[Q8_6]]</f>
        <v>2</v>
      </c>
      <c r="AM44" s="4">
        <f>Table_EH_Post_Survey_May_22__2023_11_005[[#This Row],[Q9_1]]-Table_EH_Pre_Survey_May_20__2023_08_224[[#This Row],[Q9_1]]</f>
        <v>0</v>
      </c>
    </row>
    <row r="45" spans="1:39" hidden="1" x14ac:dyDescent="0.25">
      <c r="A45" t="s">
        <v>1246</v>
      </c>
      <c r="B45" t="s">
        <v>1247</v>
      </c>
      <c r="C45" t="s">
        <v>42</v>
      </c>
      <c r="D45" t="s">
        <v>389</v>
      </c>
      <c r="E45" t="s">
        <v>112</v>
      </c>
      <c r="F45" s="3">
        <v>259</v>
      </c>
      <c r="G45" s="3">
        <f>_xlfn.NUMBERVALUE(Table_EH_Post_Survey_May_22__2023_11_0056[[#This Row],[Duration (in seconds) - Duration (in seconds)]])</f>
        <v>259</v>
      </c>
      <c r="H45" t="s">
        <v>114</v>
      </c>
      <c r="I45" t="s">
        <v>1247</v>
      </c>
      <c r="J45" t="s">
        <v>1248</v>
      </c>
      <c r="K45" t="s">
        <v>111</v>
      </c>
      <c r="L45" t="s">
        <v>111</v>
      </c>
      <c r="M45" t="s">
        <v>111</v>
      </c>
      <c r="N45" t="s">
        <v>111</v>
      </c>
      <c r="O45" t="s">
        <v>392</v>
      </c>
      <c r="P45" t="s">
        <v>393</v>
      </c>
      <c r="Q45" t="s">
        <v>127</v>
      </c>
      <c r="R45" t="s">
        <v>117</v>
      </c>
      <c r="S45" t="s">
        <v>1249</v>
      </c>
      <c r="T45" s="17" t="e">
        <f>VLOOKUP(Table_EH_Post_Survey_May_22__2023_11_0056[[#This Row],[Q1 - NetID]], Table_EH_Pre_Survey_May_20__2023_08_224[Q1 - NetID Post-Survey], 1, FALSE)</f>
        <v>#N/A</v>
      </c>
      <c r="U45" s="4">
        <f>Table_EH_Post_Survey_May_22__2023_11_005[[#This Row],[Q2]]-Table_EH_Pre_Survey_May_20__2023_08_224[[#This Row],[Q2]]</f>
        <v>1</v>
      </c>
      <c r="V45" s="4">
        <f>Table_EH_Post_Survey_May_22__2023_11_005[[#This Row],[Q3_1]]-Table_EH_Pre_Survey_May_20__2023_08_224[[#This Row],[Q3_1]]</f>
        <v>2</v>
      </c>
      <c r="W45" s="4">
        <f>Table_EH_Post_Survey_May_22__2023_11_005[[#This Row],[Q3_2]]-Table_EH_Pre_Survey_May_20__2023_08_224[[#This Row],[Q3_2]]</f>
        <v>0</v>
      </c>
      <c r="X45" s="4">
        <f>Table_EH_Post_Survey_May_22__2023_11_005[[#This Row],[Q3_3]]-Table_EH_Pre_Survey_May_20__2023_08_224[[#This Row],[Q3_3]]</f>
        <v>0</v>
      </c>
      <c r="Y45" s="4">
        <f>Table_EH_Post_Survey_May_22__2023_11_005[[#This Row],[Q3_4]]-Table_EH_Pre_Survey_May_20__2023_08_224[[#This Row],[Q3_4]]</f>
        <v>2</v>
      </c>
      <c r="Z45" s="4">
        <f>Table_EH_Post_Survey_May_22__2023_11_005[[#This Row],[Q3_5]]-Table_EH_Pre_Survey_May_20__2023_08_224[[#This Row],[Q3_5]]</f>
        <v>1</v>
      </c>
      <c r="AA45" s="4">
        <f>Table_EH_Post_Survey_May_22__2023_11_005[[#This Row],[Q3_6]]-Table_EH_Pre_Survey_May_20__2023_08_224[[#This Row],[Q3_6]]</f>
        <v>0</v>
      </c>
      <c r="AB45" s="4">
        <f>Table_EH_Post_Survey_May_22__2023_11_005[[#This Row],[Q3_7]]-Table_EH_Pre_Survey_May_20__2023_08_224[[#This Row],[Q3_7]]</f>
        <v>2</v>
      </c>
      <c r="AC45" s="4">
        <f>Table_EH_Post_Survey_May_22__2023_11_005[[#This Row],[Q4_1]]-Table_EH_Pre_Survey_May_20__2023_08_224[[#This Row],[Q4_1]]</f>
        <v>0</v>
      </c>
      <c r="AD45" s="4">
        <f>Table_EH_Post_Survey_May_22__2023_11_005[[#This Row],[Q5 Coded Responses]]-Table_EH_Pre_Survey_May_20__2023_08_224[[#This Row],[Q5 Coded Responses]]</f>
        <v>0</v>
      </c>
      <c r="AE45" s="4">
        <f>Table_EH_Post_Survey_May_22__2023_11_005[[#This Row],[Q6 Coded Responses]]-Table_EH_Pre_Survey_May_20__2023_08_224[[#This Row],[Q6 Coded Responses]]</f>
        <v>-1</v>
      </c>
      <c r="AF45" s="4">
        <f>Table_EH_Post_Survey_May_22__2023_11_005[[#This Row],[Q7 Responses Coded]]-Table_EH_Pre_Survey_May_20__2023_08_224[[#This Row],[Q7 Responses Coded]]</f>
        <v>0</v>
      </c>
      <c r="AG45" s="4">
        <f>Table_EH_Post_Survey_May_22__2023_11_005[[#This Row],[Q8_1]]-Table_EH_Pre_Survey_May_20__2023_08_224[[#This Row],[Q8_1]]</f>
        <v>4</v>
      </c>
      <c r="AH45" s="4">
        <f>Table_EH_Post_Survey_May_22__2023_11_005[[#This Row],[Q8_2]]-Table_EH_Pre_Survey_May_20__2023_08_224[[#This Row],[Q8_2]]</f>
        <v>2</v>
      </c>
      <c r="AI45" s="4">
        <f>Table_EH_Post_Survey_May_22__2023_11_005[[#This Row],[Q8_3]]-Table_EH_Pre_Survey_May_20__2023_08_224[[#This Row],[Q8_3]]</f>
        <v>3</v>
      </c>
      <c r="AJ45" s="4">
        <f>Table_EH_Post_Survey_May_22__2023_11_005[[#This Row],[Q8_4]]-Table_EH_Pre_Survey_May_20__2023_08_224[[#This Row],[Q8_4]]</f>
        <v>1</v>
      </c>
      <c r="AK45" s="4">
        <f>Table_EH_Post_Survey_May_22__2023_11_005[[#This Row],[Q8_5]]-Table_EH_Pre_Survey_May_20__2023_08_224[[#This Row],[Q8_5]]</f>
        <v>0</v>
      </c>
      <c r="AL45" s="4">
        <f>Table_EH_Post_Survey_May_22__2023_11_005[[#This Row],[Q8_6]]-Table_EH_Pre_Survey_May_20__2023_08_224[[#This Row],[Q8_6]]</f>
        <v>3</v>
      </c>
      <c r="AM45" s="4">
        <f>Table_EH_Post_Survey_May_22__2023_11_005[[#This Row],[Q9_1]]-Table_EH_Pre_Survey_May_20__2023_08_224[[#This Row],[Q9_1]]</f>
        <v>4</v>
      </c>
    </row>
    <row r="46" spans="1:39" hidden="1" x14ac:dyDescent="0.25">
      <c r="A46" t="s">
        <v>1150</v>
      </c>
      <c r="B46" t="s">
        <v>1151</v>
      </c>
      <c r="C46" t="s">
        <v>42</v>
      </c>
      <c r="D46" t="s">
        <v>1152</v>
      </c>
      <c r="E46" t="s">
        <v>112</v>
      </c>
      <c r="F46" s="3">
        <v>229</v>
      </c>
      <c r="G46" s="3">
        <f>_xlfn.NUMBERVALUE(Table_EH_Post_Survey_May_22__2023_11_0056[[#This Row],[Duration (in seconds) - Duration (in seconds)]])</f>
        <v>229</v>
      </c>
      <c r="H46" t="s">
        <v>114</v>
      </c>
      <c r="I46" t="s">
        <v>1151</v>
      </c>
      <c r="J46" t="s">
        <v>1153</v>
      </c>
      <c r="K46" t="s">
        <v>111</v>
      </c>
      <c r="L46" t="s">
        <v>111</v>
      </c>
      <c r="M46" t="s">
        <v>111</v>
      </c>
      <c r="N46" t="s">
        <v>111</v>
      </c>
      <c r="O46" t="s">
        <v>1154</v>
      </c>
      <c r="P46" t="s">
        <v>1155</v>
      </c>
      <c r="Q46" t="s">
        <v>127</v>
      </c>
      <c r="R46" t="s">
        <v>117</v>
      </c>
      <c r="S46" t="s">
        <v>1156</v>
      </c>
      <c r="T46" s="17" t="e">
        <f>VLOOKUP(Table_EH_Post_Survey_May_22__2023_11_0056[[#This Row],[Q1 - NetID]], Table_EH_Pre_Survey_May_20__2023_08_224[Q1 - NetID Post-Survey], 1, FALSE)</f>
        <v>#N/A</v>
      </c>
      <c r="U46" s="4">
        <f>Table_EH_Post_Survey_May_22__2023_11_005[[#This Row],[Q2]]-Table_EH_Pre_Survey_May_20__2023_08_224[[#This Row],[Q2]]</f>
        <v>-2</v>
      </c>
      <c r="V46" s="4">
        <f>Table_EH_Post_Survey_May_22__2023_11_005[[#This Row],[Q3_1]]-Table_EH_Pre_Survey_May_20__2023_08_224[[#This Row],[Q3_1]]</f>
        <v>-1</v>
      </c>
      <c r="W46" s="4">
        <f>Table_EH_Post_Survey_May_22__2023_11_005[[#This Row],[Q3_2]]-Table_EH_Pre_Survey_May_20__2023_08_224[[#This Row],[Q3_2]]</f>
        <v>-5</v>
      </c>
      <c r="X46" s="4">
        <f>Table_EH_Post_Survey_May_22__2023_11_005[[#This Row],[Q3_3]]-Table_EH_Pre_Survey_May_20__2023_08_224[[#This Row],[Q3_3]]</f>
        <v>-1</v>
      </c>
      <c r="Y46" s="4">
        <f>Table_EH_Post_Survey_May_22__2023_11_005[[#This Row],[Q3_4]]-Table_EH_Pre_Survey_May_20__2023_08_224[[#This Row],[Q3_4]]</f>
        <v>-3</v>
      </c>
      <c r="Z46" s="4">
        <f>Table_EH_Post_Survey_May_22__2023_11_005[[#This Row],[Q3_5]]-Table_EH_Pre_Survey_May_20__2023_08_224[[#This Row],[Q3_5]]</f>
        <v>1</v>
      </c>
      <c r="AA46" s="4">
        <f>Table_EH_Post_Survey_May_22__2023_11_005[[#This Row],[Q3_6]]-Table_EH_Pre_Survey_May_20__2023_08_224[[#This Row],[Q3_6]]</f>
        <v>0</v>
      </c>
      <c r="AB46" s="4">
        <f>Table_EH_Post_Survey_May_22__2023_11_005[[#This Row],[Q3_7]]-Table_EH_Pre_Survey_May_20__2023_08_224[[#This Row],[Q3_7]]</f>
        <v>0</v>
      </c>
      <c r="AC46" s="4">
        <f>Table_EH_Post_Survey_May_22__2023_11_005[[#This Row],[Q4_1]]-Table_EH_Pre_Survey_May_20__2023_08_224[[#This Row],[Q4_1]]</f>
        <v>-1</v>
      </c>
      <c r="AD46" s="4">
        <f>Table_EH_Post_Survey_May_22__2023_11_005[[#This Row],[Q5 Coded Responses]]-Table_EH_Pre_Survey_May_20__2023_08_224[[#This Row],[Q5 Coded Responses]]</f>
        <v>0</v>
      </c>
      <c r="AE46" s="4">
        <f>Table_EH_Post_Survey_May_22__2023_11_005[[#This Row],[Q6 Coded Responses]]-Table_EH_Pre_Survey_May_20__2023_08_224[[#This Row],[Q6 Coded Responses]]</f>
        <v>0</v>
      </c>
      <c r="AF46" s="4">
        <f>Table_EH_Post_Survey_May_22__2023_11_005[[#This Row],[Q7 Responses Coded]]-Table_EH_Pre_Survey_May_20__2023_08_224[[#This Row],[Q7 Responses Coded]]</f>
        <v>2</v>
      </c>
      <c r="AG46" s="4">
        <f>Table_EH_Post_Survey_May_22__2023_11_005[[#This Row],[Q8_1]]-Table_EH_Pre_Survey_May_20__2023_08_224[[#This Row],[Q8_1]]</f>
        <v>-3</v>
      </c>
      <c r="AH46" s="4">
        <f>Table_EH_Post_Survey_May_22__2023_11_005[[#This Row],[Q8_2]]-Table_EH_Pre_Survey_May_20__2023_08_224[[#This Row],[Q8_2]]</f>
        <v>0</v>
      </c>
      <c r="AI46" s="4">
        <f>Table_EH_Post_Survey_May_22__2023_11_005[[#This Row],[Q8_3]]-Table_EH_Pre_Survey_May_20__2023_08_224[[#This Row],[Q8_3]]</f>
        <v>2</v>
      </c>
      <c r="AJ46" s="4">
        <f>Table_EH_Post_Survey_May_22__2023_11_005[[#This Row],[Q8_4]]-Table_EH_Pre_Survey_May_20__2023_08_224[[#This Row],[Q8_4]]</f>
        <v>0</v>
      </c>
      <c r="AK46" s="4">
        <f>Table_EH_Post_Survey_May_22__2023_11_005[[#This Row],[Q8_5]]-Table_EH_Pre_Survey_May_20__2023_08_224[[#This Row],[Q8_5]]</f>
        <v>-1</v>
      </c>
      <c r="AL46" s="4">
        <f>Table_EH_Post_Survey_May_22__2023_11_005[[#This Row],[Q8_6]]-Table_EH_Pre_Survey_May_20__2023_08_224[[#This Row],[Q8_6]]</f>
        <v>-2</v>
      </c>
      <c r="AM46" s="4">
        <f>Table_EH_Post_Survey_May_22__2023_11_005[[#This Row],[Q9_1]]-Table_EH_Pre_Survey_May_20__2023_08_224[[#This Row],[Q9_1]]</f>
        <v>-4</v>
      </c>
    </row>
    <row r="47" spans="1:39" hidden="1" x14ac:dyDescent="0.25">
      <c r="A47" t="s">
        <v>1055</v>
      </c>
      <c r="B47" t="s">
        <v>1056</v>
      </c>
      <c r="C47" t="s">
        <v>42</v>
      </c>
      <c r="D47" t="s">
        <v>1057</v>
      </c>
      <c r="E47" t="s">
        <v>112</v>
      </c>
      <c r="F47" s="3">
        <v>783</v>
      </c>
      <c r="G47" s="3">
        <f>_xlfn.NUMBERVALUE(Table_EH_Post_Survey_May_22__2023_11_0056[[#This Row],[Duration (in seconds) - Duration (in seconds)]])</f>
        <v>783</v>
      </c>
      <c r="H47" t="s">
        <v>114</v>
      </c>
      <c r="I47" t="s">
        <v>1058</v>
      </c>
      <c r="J47" t="s">
        <v>1059</v>
      </c>
      <c r="K47" t="s">
        <v>111</v>
      </c>
      <c r="L47" t="s">
        <v>111</v>
      </c>
      <c r="M47" t="s">
        <v>111</v>
      </c>
      <c r="N47" t="s">
        <v>111</v>
      </c>
      <c r="O47" t="s">
        <v>1060</v>
      </c>
      <c r="P47" t="s">
        <v>204</v>
      </c>
      <c r="Q47" t="s">
        <v>487</v>
      </c>
      <c r="R47" t="s">
        <v>117</v>
      </c>
      <c r="S47" t="s">
        <v>1061</v>
      </c>
      <c r="T47" s="17" t="e">
        <f>VLOOKUP(Table_EH_Post_Survey_May_22__2023_11_0056[[#This Row],[Q1 - NetID]], Table_EH_Pre_Survey_May_20__2023_08_224[Q1 - NetID Post-Survey], 1, FALSE)</f>
        <v>#N/A</v>
      </c>
      <c r="U47" s="4">
        <f>Table_EH_Post_Survey_May_22__2023_11_005[[#This Row],[Q2]]-Table_EH_Pre_Survey_May_20__2023_08_224[[#This Row],[Q2]]</f>
        <v>0</v>
      </c>
      <c r="V47" s="4">
        <f>Table_EH_Post_Survey_May_22__2023_11_005[[#This Row],[Q3_1]]-Table_EH_Pre_Survey_May_20__2023_08_224[[#This Row],[Q3_1]]</f>
        <v>2</v>
      </c>
      <c r="W47" s="4">
        <f>Table_EH_Post_Survey_May_22__2023_11_005[[#This Row],[Q3_2]]-Table_EH_Pre_Survey_May_20__2023_08_224[[#This Row],[Q3_2]]</f>
        <v>0</v>
      </c>
      <c r="X47" s="4">
        <f>Table_EH_Post_Survey_May_22__2023_11_005[[#This Row],[Q3_3]]-Table_EH_Pre_Survey_May_20__2023_08_224[[#This Row],[Q3_3]]</f>
        <v>-1</v>
      </c>
      <c r="Y47" s="4">
        <f>Table_EH_Post_Survey_May_22__2023_11_005[[#This Row],[Q3_4]]-Table_EH_Pre_Survey_May_20__2023_08_224[[#This Row],[Q3_4]]</f>
        <v>0</v>
      </c>
      <c r="Z47" s="4">
        <f>Table_EH_Post_Survey_May_22__2023_11_005[[#This Row],[Q3_5]]-Table_EH_Pre_Survey_May_20__2023_08_224[[#This Row],[Q3_5]]</f>
        <v>2</v>
      </c>
      <c r="AA47" s="4">
        <f>Table_EH_Post_Survey_May_22__2023_11_005[[#This Row],[Q3_6]]-Table_EH_Pre_Survey_May_20__2023_08_224[[#This Row],[Q3_6]]</f>
        <v>1</v>
      </c>
      <c r="AB47" s="4">
        <f>Table_EH_Post_Survey_May_22__2023_11_005[[#This Row],[Q3_7]]-Table_EH_Pre_Survey_May_20__2023_08_224[[#This Row],[Q3_7]]</f>
        <v>2</v>
      </c>
      <c r="AC47" s="4">
        <f>Table_EH_Post_Survey_May_22__2023_11_005[[#This Row],[Q4_1]]-Table_EH_Pre_Survey_May_20__2023_08_224[[#This Row],[Q4_1]]</f>
        <v>0</v>
      </c>
      <c r="AD47" s="4">
        <f>Table_EH_Post_Survey_May_22__2023_11_005[[#This Row],[Q5 Coded Responses]]-Table_EH_Pre_Survey_May_20__2023_08_224[[#This Row],[Q5 Coded Responses]]</f>
        <v>0</v>
      </c>
      <c r="AE47" s="4">
        <f>Table_EH_Post_Survey_May_22__2023_11_005[[#This Row],[Q6 Coded Responses]]-Table_EH_Pre_Survey_May_20__2023_08_224[[#This Row],[Q6 Coded Responses]]</f>
        <v>0</v>
      </c>
      <c r="AF47" s="4">
        <f>Table_EH_Post_Survey_May_22__2023_11_005[[#This Row],[Q7 Responses Coded]]-Table_EH_Pre_Survey_May_20__2023_08_224[[#This Row],[Q7 Responses Coded]]</f>
        <v>0</v>
      </c>
      <c r="AG47" s="4">
        <f>Table_EH_Post_Survey_May_22__2023_11_005[[#This Row],[Q8_1]]-Table_EH_Pre_Survey_May_20__2023_08_224[[#This Row],[Q8_1]]</f>
        <v>2</v>
      </c>
      <c r="AH47" s="4">
        <f>Table_EH_Post_Survey_May_22__2023_11_005[[#This Row],[Q8_2]]-Table_EH_Pre_Survey_May_20__2023_08_224[[#This Row],[Q8_2]]</f>
        <v>4</v>
      </c>
      <c r="AI47" s="4">
        <f>Table_EH_Post_Survey_May_22__2023_11_005[[#This Row],[Q8_3]]-Table_EH_Pre_Survey_May_20__2023_08_224[[#This Row],[Q8_3]]</f>
        <v>3</v>
      </c>
      <c r="AJ47" s="4">
        <f>Table_EH_Post_Survey_May_22__2023_11_005[[#This Row],[Q8_4]]-Table_EH_Pre_Survey_May_20__2023_08_224[[#This Row],[Q8_4]]</f>
        <v>4</v>
      </c>
      <c r="AK47" s="4">
        <f>Table_EH_Post_Survey_May_22__2023_11_005[[#This Row],[Q8_5]]-Table_EH_Pre_Survey_May_20__2023_08_224[[#This Row],[Q8_5]]</f>
        <v>2</v>
      </c>
      <c r="AL47" s="4">
        <f>Table_EH_Post_Survey_May_22__2023_11_005[[#This Row],[Q8_6]]-Table_EH_Pre_Survey_May_20__2023_08_224[[#This Row],[Q8_6]]</f>
        <v>2</v>
      </c>
      <c r="AM47" s="4">
        <f>Table_EH_Post_Survey_May_22__2023_11_005[[#This Row],[Q9_1]]-Table_EH_Pre_Survey_May_20__2023_08_224[[#This Row],[Q9_1]]</f>
        <v>-7</v>
      </c>
    </row>
    <row r="48" spans="1:39" hidden="1" x14ac:dyDescent="0.25">
      <c r="A48" t="s">
        <v>1097</v>
      </c>
      <c r="B48" t="s">
        <v>1098</v>
      </c>
      <c r="C48" t="s">
        <v>42</v>
      </c>
      <c r="D48" t="s">
        <v>347</v>
      </c>
      <c r="E48" t="s">
        <v>112</v>
      </c>
      <c r="F48" s="3">
        <v>78</v>
      </c>
      <c r="G48" s="3">
        <f>_xlfn.NUMBERVALUE(Table_EH_Post_Survey_May_22__2023_11_0056[[#This Row],[Duration (in seconds) - Duration (in seconds)]])</f>
        <v>78</v>
      </c>
      <c r="H48" t="s">
        <v>114</v>
      </c>
      <c r="I48" t="s">
        <v>1098</v>
      </c>
      <c r="J48" t="s">
        <v>1099</v>
      </c>
      <c r="K48" t="s">
        <v>111</v>
      </c>
      <c r="L48" t="s">
        <v>111</v>
      </c>
      <c r="M48" t="s">
        <v>111</v>
      </c>
      <c r="N48" t="s">
        <v>111</v>
      </c>
      <c r="O48" t="s">
        <v>351</v>
      </c>
      <c r="P48" t="s">
        <v>352</v>
      </c>
      <c r="Q48" t="s">
        <v>127</v>
      </c>
      <c r="R48" t="s">
        <v>117</v>
      </c>
      <c r="S48" t="s">
        <v>1100</v>
      </c>
      <c r="T48" s="17" t="e">
        <f>VLOOKUP(Table_EH_Post_Survey_May_22__2023_11_0056[[#This Row],[Q1 - NetID]], Table_EH_Pre_Survey_May_20__2023_08_224[Q1 - NetID Post-Survey], 1, FALSE)</f>
        <v>#N/A</v>
      </c>
      <c r="U48" s="4">
        <f>Table_EH_Post_Survey_May_22__2023_11_005[[#This Row],[Q2]]-Table_EH_Pre_Survey_May_20__2023_08_224[[#This Row],[Q2]]</f>
        <v>0</v>
      </c>
      <c r="V48" s="4">
        <f>Table_EH_Post_Survey_May_22__2023_11_005[[#This Row],[Q3_1]]-Table_EH_Pre_Survey_May_20__2023_08_224[[#This Row],[Q3_1]]</f>
        <v>0</v>
      </c>
      <c r="W48" s="4">
        <f>Table_EH_Post_Survey_May_22__2023_11_005[[#This Row],[Q3_2]]-Table_EH_Pre_Survey_May_20__2023_08_224[[#This Row],[Q3_2]]</f>
        <v>0</v>
      </c>
      <c r="X48" s="4">
        <f>Table_EH_Post_Survey_May_22__2023_11_005[[#This Row],[Q3_3]]-Table_EH_Pre_Survey_May_20__2023_08_224[[#This Row],[Q3_3]]</f>
        <v>0</v>
      </c>
      <c r="Y48" s="4">
        <f>Table_EH_Post_Survey_May_22__2023_11_005[[#This Row],[Q3_4]]-Table_EH_Pre_Survey_May_20__2023_08_224[[#This Row],[Q3_4]]</f>
        <v>2</v>
      </c>
      <c r="Z48" s="4">
        <f>Table_EH_Post_Survey_May_22__2023_11_005[[#This Row],[Q3_5]]-Table_EH_Pre_Survey_May_20__2023_08_224[[#This Row],[Q3_5]]</f>
        <v>1</v>
      </c>
      <c r="AA48" s="4">
        <f>Table_EH_Post_Survey_May_22__2023_11_005[[#This Row],[Q3_6]]-Table_EH_Pre_Survey_May_20__2023_08_224[[#This Row],[Q3_6]]</f>
        <v>0</v>
      </c>
      <c r="AB48" s="4">
        <f>Table_EH_Post_Survey_May_22__2023_11_005[[#This Row],[Q3_7]]-Table_EH_Pre_Survey_May_20__2023_08_224[[#This Row],[Q3_7]]</f>
        <v>1</v>
      </c>
      <c r="AC48" s="4">
        <f>Table_EH_Post_Survey_May_22__2023_11_005[[#This Row],[Q4_1]]-Table_EH_Pre_Survey_May_20__2023_08_224[[#This Row],[Q4_1]]</f>
        <v>0</v>
      </c>
      <c r="AD48" s="4">
        <f>Table_EH_Post_Survey_May_22__2023_11_005[[#This Row],[Q5 Coded Responses]]-Table_EH_Pre_Survey_May_20__2023_08_224[[#This Row],[Q5 Coded Responses]]</f>
        <v>1</v>
      </c>
      <c r="AE48" s="4">
        <f>Table_EH_Post_Survey_May_22__2023_11_005[[#This Row],[Q6 Coded Responses]]-Table_EH_Pre_Survey_May_20__2023_08_224[[#This Row],[Q6 Coded Responses]]</f>
        <v>0</v>
      </c>
      <c r="AF48" s="4">
        <f>Table_EH_Post_Survey_May_22__2023_11_005[[#This Row],[Q7 Responses Coded]]-Table_EH_Pre_Survey_May_20__2023_08_224[[#This Row],[Q7 Responses Coded]]</f>
        <v>3</v>
      </c>
      <c r="AG48" s="4">
        <f>Table_EH_Post_Survey_May_22__2023_11_005[[#This Row],[Q8_1]]-Table_EH_Pre_Survey_May_20__2023_08_224[[#This Row],[Q8_1]]</f>
        <v>0</v>
      </c>
      <c r="AH48" s="4">
        <f>Table_EH_Post_Survey_May_22__2023_11_005[[#This Row],[Q8_2]]-Table_EH_Pre_Survey_May_20__2023_08_224[[#This Row],[Q8_2]]</f>
        <v>0</v>
      </c>
      <c r="AI48" s="4">
        <f>Table_EH_Post_Survey_May_22__2023_11_005[[#This Row],[Q8_3]]-Table_EH_Pre_Survey_May_20__2023_08_224[[#This Row],[Q8_3]]</f>
        <v>1</v>
      </c>
      <c r="AJ48" s="4">
        <f>Table_EH_Post_Survey_May_22__2023_11_005[[#This Row],[Q8_4]]-Table_EH_Pre_Survey_May_20__2023_08_224[[#This Row],[Q8_4]]</f>
        <v>1</v>
      </c>
      <c r="AK48" s="4">
        <f>Table_EH_Post_Survey_May_22__2023_11_005[[#This Row],[Q8_5]]-Table_EH_Pre_Survey_May_20__2023_08_224[[#This Row],[Q8_5]]</f>
        <v>0</v>
      </c>
      <c r="AL48" s="4">
        <f>Table_EH_Post_Survey_May_22__2023_11_005[[#This Row],[Q8_6]]-Table_EH_Pre_Survey_May_20__2023_08_224[[#This Row],[Q8_6]]</f>
        <v>2</v>
      </c>
      <c r="AM48" s="4">
        <f>Table_EH_Post_Survey_May_22__2023_11_005[[#This Row],[Q9_1]]-Table_EH_Pre_Survey_May_20__2023_08_224[[#This Row],[Q9_1]]</f>
        <v>0</v>
      </c>
    </row>
    <row r="49" spans="1:39" hidden="1" x14ac:dyDescent="0.25">
      <c r="A49" t="s">
        <v>1221</v>
      </c>
      <c r="B49" t="s">
        <v>1222</v>
      </c>
      <c r="C49" t="s">
        <v>42</v>
      </c>
      <c r="D49" t="s">
        <v>389</v>
      </c>
      <c r="E49" t="s">
        <v>112</v>
      </c>
      <c r="F49" s="3">
        <v>136</v>
      </c>
      <c r="G49" s="3">
        <f>_xlfn.NUMBERVALUE(Table_EH_Post_Survey_May_22__2023_11_0056[[#This Row],[Duration (in seconds) - Duration (in seconds)]])</f>
        <v>136</v>
      </c>
      <c r="H49" t="s">
        <v>114</v>
      </c>
      <c r="I49" t="s">
        <v>1223</v>
      </c>
      <c r="J49" t="s">
        <v>1224</v>
      </c>
      <c r="K49" t="s">
        <v>111</v>
      </c>
      <c r="L49" t="s">
        <v>111</v>
      </c>
      <c r="M49" t="s">
        <v>111</v>
      </c>
      <c r="N49" t="s">
        <v>111</v>
      </c>
      <c r="O49" t="s">
        <v>392</v>
      </c>
      <c r="P49" t="s">
        <v>393</v>
      </c>
      <c r="Q49" t="s">
        <v>127</v>
      </c>
      <c r="R49" t="s">
        <v>117</v>
      </c>
      <c r="S49" t="s">
        <v>1225</v>
      </c>
      <c r="T49" s="17" t="e">
        <f>VLOOKUP(Table_EH_Post_Survey_May_22__2023_11_0056[[#This Row],[Q1 - NetID]], Table_EH_Pre_Survey_May_20__2023_08_224[Q1 - NetID Post-Survey], 1, FALSE)</f>
        <v>#N/A</v>
      </c>
      <c r="U49" s="4">
        <f>Table_EH_Post_Survey_May_22__2023_11_005[[#This Row],[Q2]]-Table_EH_Pre_Survey_May_20__2023_08_224[[#This Row],[Q2]]</f>
        <v>0</v>
      </c>
      <c r="V49" s="4">
        <f>Table_EH_Post_Survey_May_22__2023_11_005[[#This Row],[Q3_1]]-Table_EH_Pre_Survey_May_20__2023_08_224[[#This Row],[Q3_1]]</f>
        <v>0</v>
      </c>
      <c r="W49" s="4">
        <f>Table_EH_Post_Survey_May_22__2023_11_005[[#This Row],[Q3_2]]-Table_EH_Pre_Survey_May_20__2023_08_224[[#This Row],[Q3_2]]</f>
        <v>0</v>
      </c>
      <c r="X49" s="4">
        <f>Table_EH_Post_Survey_May_22__2023_11_005[[#This Row],[Q3_3]]-Table_EH_Pre_Survey_May_20__2023_08_224[[#This Row],[Q3_3]]</f>
        <v>2</v>
      </c>
      <c r="Y49" s="4">
        <f>Table_EH_Post_Survey_May_22__2023_11_005[[#This Row],[Q3_4]]-Table_EH_Pre_Survey_May_20__2023_08_224[[#This Row],[Q3_4]]</f>
        <v>0</v>
      </c>
      <c r="Z49" s="4">
        <f>Table_EH_Post_Survey_May_22__2023_11_005[[#This Row],[Q3_5]]-Table_EH_Pre_Survey_May_20__2023_08_224[[#This Row],[Q3_5]]</f>
        <v>3</v>
      </c>
      <c r="AA49" s="4">
        <f>Table_EH_Post_Survey_May_22__2023_11_005[[#This Row],[Q3_6]]-Table_EH_Pre_Survey_May_20__2023_08_224[[#This Row],[Q3_6]]</f>
        <v>3</v>
      </c>
      <c r="AB49" s="4">
        <f>Table_EH_Post_Survey_May_22__2023_11_005[[#This Row],[Q3_7]]-Table_EH_Pre_Survey_May_20__2023_08_224[[#This Row],[Q3_7]]</f>
        <v>1</v>
      </c>
      <c r="AC49" s="4">
        <f>Table_EH_Post_Survey_May_22__2023_11_005[[#This Row],[Q4_1]]-Table_EH_Pre_Survey_May_20__2023_08_224[[#This Row],[Q4_1]]</f>
        <v>-0.5</v>
      </c>
      <c r="AD49" s="4">
        <f>Table_EH_Post_Survey_May_22__2023_11_005[[#This Row],[Q5 Coded Responses]]-Table_EH_Pre_Survey_May_20__2023_08_224[[#This Row],[Q5 Coded Responses]]</f>
        <v>1</v>
      </c>
      <c r="AE49" s="4">
        <f>Table_EH_Post_Survey_May_22__2023_11_005[[#This Row],[Q6 Coded Responses]]-Table_EH_Pre_Survey_May_20__2023_08_224[[#This Row],[Q6 Coded Responses]]</f>
        <v>1</v>
      </c>
      <c r="AF49" s="4">
        <f>Table_EH_Post_Survey_May_22__2023_11_005[[#This Row],[Q7 Responses Coded]]-Table_EH_Pre_Survey_May_20__2023_08_224[[#This Row],[Q7 Responses Coded]]</f>
        <v>-1</v>
      </c>
      <c r="AG49" s="4">
        <f>Table_EH_Post_Survey_May_22__2023_11_005[[#This Row],[Q8_1]]-Table_EH_Pre_Survey_May_20__2023_08_224[[#This Row],[Q8_1]]</f>
        <v>-1</v>
      </c>
      <c r="AH49" s="4">
        <f>Table_EH_Post_Survey_May_22__2023_11_005[[#This Row],[Q8_2]]-Table_EH_Pre_Survey_May_20__2023_08_224[[#This Row],[Q8_2]]</f>
        <v>1</v>
      </c>
      <c r="AI49" s="4">
        <f>Table_EH_Post_Survey_May_22__2023_11_005[[#This Row],[Q8_3]]-Table_EH_Pre_Survey_May_20__2023_08_224[[#This Row],[Q8_3]]</f>
        <v>-1</v>
      </c>
      <c r="AJ49" s="4">
        <f>Table_EH_Post_Survey_May_22__2023_11_005[[#This Row],[Q8_4]]-Table_EH_Pre_Survey_May_20__2023_08_224[[#This Row],[Q8_4]]</f>
        <v>1</v>
      </c>
      <c r="AK49" s="4">
        <f>Table_EH_Post_Survey_May_22__2023_11_005[[#This Row],[Q8_5]]-Table_EH_Pre_Survey_May_20__2023_08_224[[#This Row],[Q8_5]]</f>
        <v>-1</v>
      </c>
      <c r="AL49" s="4">
        <f>Table_EH_Post_Survey_May_22__2023_11_005[[#This Row],[Q8_6]]-Table_EH_Pre_Survey_May_20__2023_08_224[[#This Row],[Q8_6]]</f>
        <v>1</v>
      </c>
      <c r="AM49" s="4">
        <f>Table_EH_Post_Survey_May_22__2023_11_005[[#This Row],[Q9_1]]-Table_EH_Pre_Survey_May_20__2023_08_224[[#This Row],[Q9_1]]</f>
        <v>3</v>
      </c>
    </row>
    <row r="50" spans="1:39" hidden="1" x14ac:dyDescent="0.25">
      <c r="A50" t="s">
        <v>1110</v>
      </c>
      <c r="B50" t="s">
        <v>1111</v>
      </c>
      <c r="C50" t="s">
        <v>42</v>
      </c>
      <c r="D50" t="s">
        <v>1112</v>
      </c>
      <c r="E50" t="s">
        <v>112</v>
      </c>
      <c r="F50" s="3">
        <v>145</v>
      </c>
      <c r="G50" s="3">
        <f>_xlfn.NUMBERVALUE(Table_EH_Post_Survey_May_22__2023_11_0056[[#This Row],[Duration (in seconds) - Duration (in seconds)]])</f>
        <v>145</v>
      </c>
      <c r="H50" t="s">
        <v>114</v>
      </c>
      <c r="I50" t="s">
        <v>1111</v>
      </c>
      <c r="J50" t="s">
        <v>1113</v>
      </c>
      <c r="K50" t="s">
        <v>111</v>
      </c>
      <c r="L50" t="s">
        <v>111</v>
      </c>
      <c r="M50" t="s">
        <v>111</v>
      </c>
      <c r="N50" t="s">
        <v>111</v>
      </c>
      <c r="O50" t="s">
        <v>351</v>
      </c>
      <c r="P50" t="s">
        <v>352</v>
      </c>
      <c r="Q50" t="s">
        <v>127</v>
      </c>
      <c r="R50" t="s">
        <v>117</v>
      </c>
      <c r="S50" t="s">
        <v>1114</v>
      </c>
      <c r="T50" s="17" t="e">
        <f>VLOOKUP(Table_EH_Post_Survey_May_22__2023_11_0056[[#This Row],[Q1 - NetID]], Table_EH_Pre_Survey_May_20__2023_08_224[Q1 - NetID Post-Survey], 1, FALSE)</f>
        <v>#N/A</v>
      </c>
      <c r="U50" s="4">
        <f>Table_EH_Post_Survey_May_22__2023_11_005[[#This Row],[Q2]]-Table_EH_Pre_Survey_May_20__2023_08_224[[#This Row],[Q2]]</f>
        <v>0</v>
      </c>
      <c r="V50" s="4">
        <f>Table_EH_Post_Survey_May_22__2023_11_005[[#This Row],[Q3_1]]-Table_EH_Pre_Survey_May_20__2023_08_224[[#This Row],[Q3_1]]</f>
        <v>-1</v>
      </c>
      <c r="W50" s="4">
        <f>Table_EH_Post_Survey_May_22__2023_11_005[[#This Row],[Q3_2]]-Table_EH_Pre_Survey_May_20__2023_08_224[[#This Row],[Q3_2]]</f>
        <v>-1</v>
      </c>
      <c r="X50" s="4">
        <f>Table_EH_Post_Survey_May_22__2023_11_005[[#This Row],[Q3_3]]-Table_EH_Pre_Survey_May_20__2023_08_224[[#This Row],[Q3_3]]</f>
        <v>0</v>
      </c>
      <c r="Y50" s="4">
        <f>Table_EH_Post_Survey_May_22__2023_11_005[[#This Row],[Q3_4]]-Table_EH_Pre_Survey_May_20__2023_08_224[[#This Row],[Q3_4]]</f>
        <v>2</v>
      </c>
      <c r="Z50" s="4">
        <f>Table_EH_Post_Survey_May_22__2023_11_005[[#This Row],[Q3_5]]-Table_EH_Pre_Survey_May_20__2023_08_224[[#This Row],[Q3_5]]</f>
        <v>0</v>
      </c>
      <c r="AA50" s="4">
        <f>Table_EH_Post_Survey_May_22__2023_11_005[[#This Row],[Q3_6]]-Table_EH_Pre_Survey_May_20__2023_08_224[[#This Row],[Q3_6]]</f>
        <v>0</v>
      </c>
      <c r="AB50" s="4">
        <f>Table_EH_Post_Survey_May_22__2023_11_005[[#This Row],[Q3_7]]-Table_EH_Pre_Survey_May_20__2023_08_224[[#This Row],[Q3_7]]</f>
        <v>-1</v>
      </c>
      <c r="AC50" s="4">
        <f>Table_EH_Post_Survey_May_22__2023_11_005[[#This Row],[Q4_1]]-Table_EH_Pre_Survey_May_20__2023_08_224[[#This Row],[Q4_1]]</f>
        <v>-0.5</v>
      </c>
      <c r="AD50" s="4">
        <f>Table_EH_Post_Survey_May_22__2023_11_005[[#This Row],[Q5 Coded Responses]]-Table_EH_Pre_Survey_May_20__2023_08_224[[#This Row],[Q5 Coded Responses]]</f>
        <v>-1</v>
      </c>
      <c r="AE50" s="4">
        <f>Table_EH_Post_Survey_May_22__2023_11_005[[#This Row],[Q6 Coded Responses]]-Table_EH_Pre_Survey_May_20__2023_08_224[[#This Row],[Q6 Coded Responses]]</f>
        <v>-1</v>
      </c>
      <c r="AF50" s="4">
        <f>Table_EH_Post_Survey_May_22__2023_11_005[[#This Row],[Q7 Responses Coded]]-Table_EH_Pre_Survey_May_20__2023_08_224[[#This Row],[Q7 Responses Coded]]</f>
        <v>0</v>
      </c>
      <c r="AG50" s="4">
        <f>Table_EH_Post_Survey_May_22__2023_11_005[[#This Row],[Q8_1]]-Table_EH_Pre_Survey_May_20__2023_08_224[[#This Row],[Q8_1]]</f>
        <v>3</v>
      </c>
      <c r="AH50" s="4">
        <f>Table_EH_Post_Survey_May_22__2023_11_005[[#This Row],[Q8_2]]-Table_EH_Pre_Survey_May_20__2023_08_224[[#This Row],[Q8_2]]</f>
        <v>2</v>
      </c>
      <c r="AI50" s="4">
        <f>Table_EH_Post_Survey_May_22__2023_11_005[[#This Row],[Q8_3]]-Table_EH_Pre_Survey_May_20__2023_08_224[[#This Row],[Q8_3]]</f>
        <v>1</v>
      </c>
      <c r="AJ50" s="4">
        <f>Table_EH_Post_Survey_May_22__2023_11_005[[#This Row],[Q8_4]]-Table_EH_Pre_Survey_May_20__2023_08_224[[#This Row],[Q8_4]]</f>
        <v>0</v>
      </c>
      <c r="AK50" s="4">
        <f>Table_EH_Post_Survey_May_22__2023_11_005[[#This Row],[Q8_5]]-Table_EH_Pre_Survey_May_20__2023_08_224[[#This Row],[Q8_5]]</f>
        <v>0</v>
      </c>
      <c r="AL50" s="4">
        <f>Table_EH_Post_Survey_May_22__2023_11_005[[#This Row],[Q8_6]]-Table_EH_Pre_Survey_May_20__2023_08_224[[#This Row],[Q8_6]]</f>
        <v>0</v>
      </c>
      <c r="AM50" s="4">
        <f>Table_EH_Post_Survey_May_22__2023_11_005[[#This Row],[Q9_1]]-Table_EH_Pre_Survey_May_20__2023_08_224[[#This Row],[Q9_1]]</f>
        <v>1</v>
      </c>
    </row>
    <row r="51" spans="1:39" hidden="1" x14ac:dyDescent="0.25">
      <c r="A51" t="s">
        <v>1198</v>
      </c>
      <c r="B51" t="s">
        <v>1199</v>
      </c>
      <c r="C51" t="s">
        <v>42</v>
      </c>
      <c r="D51" t="s">
        <v>1200</v>
      </c>
      <c r="E51" t="s">
        <v>112</v>
      </c>
      <c r="F51" s="3">
        <v>120</v>
      </c>
      <c r="G51" s="3">
        <f>_xlfn.NUMBERVALUE(Table_EH_Post_Survey_May_22__2023_11_0056[[#This Row],[Duration (in seconds) - Duration (in seconds)]])</f>
        <v>120</v>
      </c>
      <c r="H51" t="s">
        <v>114</v>
      </c>
      <c r="I51" t="s">
        <v>1201</v>
      </c>
      <c r="J51" t="s">
        <v>1202</v>
      </c>
      <c r="K51" t="s">
        <v>111</v>
      </c>
      <c r="L51" t="s">
        <v>111</v>
      </c>
      <c r="M51" t="s">
        <v>111</v>
      </c>
      <c r="N51" t="s">
        <v>111</v>
      </c>
      <c r="O51" t="s">
        <v>1154</v>
      </c>
      <c r="P51" t="s">
        <v>1155</v>
      </c>
      <c r="Q51" t="s">
        <v>127</v>
      </c>
      <c r="R51" t="s">
        <v>117</v>
      </c>
      <c r="S51" t="s">
        <v>1203</v>
      </c>
      <c r="T51" s="17" t="e">
        <f>VLOOKUP(Table_EH_Post_Survey_May_22__2023_11_0056[[#This Row],[Q1 - NetID]], Table_EH_Pre_Survey_May_20__2023_08_224[Q1 - NetID Post-Survey], 1, FALSE)</f>
        <v>#N/A</v>
      </c>
      <c r="U51" s="4">
        <f>Table_EH_Post_Survey_May_22__2023_11_005[[#This Row],[Q2]]-Table_EH_Pre_Survey_May_20__2023_08_224[[#This Row],[Q2]]</f>
        <v>0</v>
      </c>
      <c r="V51" s="4">
        <f>Table_EH_Post_Survey_May_22__2023_11_005[[#This Row],[Q3_1]]-Table_EH_Pre_Survey_May_20__2023_08_224[[#This Row],[Q3_1]]</f>
        <v>1</v>
      </c>
      <c r="W51" s="4">
        <f>Table_EH_Post_Survey_May_22__2023_11_005[[#This Row],[Q3_2]]-Table_EH_Pre_Survey_May_20__2023_08_224[[#This Row],[Q3_2]]</f>
        <v>0</v>
      </c>
      <c r="X51" s="4">
        <f>Table_EH_Post_Survey_May_22__2023_11_005[[#This Row],[Q3_3]]-Table_EH_Pre_Survey_May_20__2023_08_224[[#This Row],[Q3_3]]</f>
        <v>0</v>
      </c>
      <c r="Y51" s="4">
        <f>Table_EH_Post_Survey_May_22__2023_11_005[[#This Row],[Q3_4]]-Table_EH_Pre_Survey_May_20__2023_08_224[[#This Row],[Q3_4]]</f>
        <v>1</v>
      </c>
      <c r="Z51" s="4">
        <f>Table_EH_Post_Survey_May_22__2023_11_005[[#This Row],[Q3_5]]-Table_EH_Pre_Survey_May_20__2023_08_224[[#This Row],[Q3_5]]</f>
        <v>1</v>
      </c>
      <c r="AA51" s="4">
        <f>Table_EH_Post_Survey_May_22__2023_11_005[[#This Row],[Q3_6]]-Table_EH_Pre_Survey_May_20__2023_08_224[[#This Row],[Q3_6]]</f>
        <v>0</v>
      </c>
      <c r="AB51" s="4">
        <f>Table_EH_Post_Survey_May_22__2023_11_005[[#This Row],[Q3_7]]-Table_EH_Pre_Survey_May_20__2023_08_224[[#This Row],[Q3_7]]</f>
        <v>1</v>
      </c>
      <c r="AC51" s="4">
        <f>Table_EH_Post_Survey_May_22__2023_11_005[[#This Row],[Q4_1]]-Table_EH_Pre_Survey_May_20__2023_08_224[[#This Row],[Q4_1]]</f>
        <v>0</v>
      </c>
      <c r="AD51" s="4">
        <f>Table_EH_Post_Survey_May_22__2023_11_005[[#This Row],[Q5 Coded Responses]]-Table_EH_Pre_Survey_May_20__2023_08_224[[#This Row],[Q5 Coded Responses]]</f>
        <v>0</v>
      </c>
      <c r="AE51" s="4">
        <f>Table_EH_Post_Survey_May_22__2023_11_005[[#This Row],[Q6 Coded Responses]]-Table_EH_Pre_Survey_May_20__2023_08_224[[#This Row],[Q6 Coded Responses]]</f>
        <v>0</v>
      </c>
      <c r="AF51" s="4">
        <f>Table_EH_Post_Survey_May_22__2023_11_005[[#This Row],[Q7 Responses Coded]]-Table_EH_Pre_Survey_May_20__2023_08_224[[#This Row],[Q7 Responses Coded]]</f>
        <v>0</v>
      </c>
      <c r="AG51" s="4">
        <f>Table_EH_Post_Survey_May_22__2023_11_005[[#This Row],[Q8_1]]-Table_EH_Pre_Survey_May_20__2023_08_224[[#This Row],[Q8_1]]</f>
        <v>1</v>
      </c>
      <c r="AH51" s="4">
        <f>Table_EH_Post_Survey_May_22__2023_11_005[[#This Row],[Q8_2]]-Table_EH_Pre_Survey_May_20__2023_08_224[[#This Row],[Q8_2]]</f>
        <v>0</v>
      </c>
      <c r="AI51" s="4">
        <f>Table_EH_Post_Survey_May_22__2023_11_005[[#This Row],[Q8_3]]-Table_EH_Pre_Survey_May_20__2023_08_224[[#This Row],[Q8_3]]</f>
        <v>0</v>
      </c>
      <c r="AJ51" s="4">
        <f>Table_EH_Post_Survey_May_22__2023_11_005[[#This Row],[Q8_4]]-Table_EH_Pre_Survey_May_20__2023_08_224[[#This Row],[Q8_4]]</f>
        <v>0</v>
      </c>
      <c r="AK51" s="4">
        <f>Table_EH_Post_Survey_May_22__2023_11_005[[#This Row],[Q8_5]]-Table_EH_Pre_Survey_May_20__2023_08_224[[#This Row],[Q8_5]]</f>
        <v>0</v>
      </c>
      <c r="AL51" s="4">
        <f>Table_EH_Post_Survey_May_22__2023_11_005[[#This Row],[Q8_6]]-Table_EH_Pre_Survey_May_20__2023_08_224[[#This Row],[Q8_6]]</f>
        <v>1</v>
      </c>
      <c r="AM51" s="4">
        <f>Table_EH_Post_Survey_May_22__2023_11_005[[#This Row],[Q9_1]]-Table_EH_Pre_Survey_May_20__2023_08_224[[#This Row],[Q9_1]]</f>
        <v>1</v>
      </c>
    </row>
    <row r="52" spans="1:39" hidden="1" x14ac:dyDescent="0.25">
      <c r="A52" t="s">
        <v>1082</v>
      </c>
      <c r="B52" t="s">
        <v>1083</v>
      </c>
      <c r="C52" t="s">
        <v>42</v>
      </c>
      <c r="D52" t="s">
        <v>389</v>
      </c>
      <c r="E52" t="s">
        <v>112</v>
      </c>
      <c r="F52" s="3">
        <v>88</v>
      </c>
      <c r="G52" s="3">
        <f>_xlfn.NUMBERVALUE(Table_EH_Post_Survey_May_22__2023_11_0056[[#This Row],[Duration (in seconds) - Duration (in seconds)]])</f>
        <v>88</v>
      </c>
      <c r="H52" t="s">
        <v>114</v>
      </c>
      <c r="I52" t="s">
        <v>1083</v>
      </c>
      <c r="J52" t="s">
        <v>1084</v>
      </c>
      <c r="K52" t="s">
        <v>111</v>
      </c>
      <c r="L52" t="s">
        <v>111</v>
      </c>
      <c r="M52" t="s">
        <v>111</v>
      </c>
      <c r="N52" t="s">
        <v>111</v>
      </c>
      <c r="O52" t="s">
        <v>392</v>
      </c>
      <c r="P52" t="s">
        <v>393</v>
      </c>
      <c r="Q52" t="s">
        <v>127</v>
      </c>
      <c r="R52" t="s">
        <v>117</v>
      </c>
      <c r="S52" t="s">
        <v>1085</v>
      </c>
      <c r="T52" s="17" t="e">
        <f>VLOOKUP(Table_EH_Post_Survey_May_22__2023_11_0056[[#This Row],[Q1 - NetID]], Table_EH_Pre_Survey_May_20__2023_08_224[Q1 - NetID Post-Survey], 1, FALSE)</f>
        <v>#N/A</v>
      </c>
      <c r="U52" s="4" t="e">
        <f>Table_EH_Post_Survey_May_22__2023_11_005[[#This Row],[Q2]]-Table_EH_Pre_Survey_May_20__2023_08_224[[#This Row],[Q2]]</f>
        <v>#VALUE!</v>
      </c>
      <c r="V52" s="4" t="e">
        <f>Table_EH_Post_Survey_May_22__2023_11_005[[#This Row],[Q3_1]]-Table_EH_Pre_Survey_May_20__2023_08_224[[#This Row],[Q3_1]]</f>
        <v>#VALUE!</v>
      </c>
      <c r="W52" s="4" t="e">
        <f>Table_EH_Post_Survey_May_22__2023_11_005[[#This Row],[Q3_2]]-Table_EH_Pre_Survey_May_20__2023_08_224[[#This Row],[Q3_2]]</f>
        <v>#VALUE!</v>
      </c>
      <c r="X52" s="4" t="e">
        <f>Table_EH_Post_Survey_May_22__2023_11_005[[#This Row],[Q3_3]]-Table_EH_Pre_Survey_May_20__2023_08_224[[#This Row],[Q3_3]]</f>
        <v>#VALUE!</v>
      </c>
      <c r="Y52" s="4" t="e">
        <f>Table_EH_Post_Survey_May_22__2023_11_005[[#This Row],[Q3_4]]-Table_EH_Pre_Survey_May_20__2023_08_224[[#This Row],[Q3_4]]</f>
        <v>#VALUE!</v>
      </c>
      <c r="Z52" s="4" t="e">
        <f>Table_EH_Post_Survey_May_22__2023_11_005[[#This Row],[Q3_5]]-Table_EH_Pre_Survey_May_20__2023_08_224[[#This Row],[Q3_5]]</f>
        <v>#VALUE!</v>
      </c>
      <c r="AA52" s="4" t="e">
        <f>Table_EH_Post_Survey_May_22__2023_11_005[[#This Row],[Q3_6]]-Table_EH_Pre_Survey_May_20__2023_08_224[[#This Row],[Q3_6]]</f>
        <v>#VALUE!</v>
      </c>
      <c r="AB52" s="4" t="e">
        <f>Table_EH_Post_Survey_May_22__2023_11_005[[#This Row],[Q3_7]]-Table_EH_Pre_Survey_May_20__2023_08_224[[#This Row],[Q3_7]]</f>
        <v>#VALUE!</v>
      </c>
      <c r="AC52" s="4" t="e">
        <f>Table_EH_Post_Survey_May_22__2023_11_005[[#This Row],[Q4_1]]-Table_EH_Pre_Survey_May_20__2023_08_224[[#This Row],[Q4_1]]</f>
        <v>#VALUE!</v>
      </c>
      <c r="AD52" s="4" t="e">
        <f>Table_EH_Post_Survey_May_22__2023_11_005[[#This Row],[Q5 Coded Responses]]-Table_EH_Pre_Survey_May_20__2023_08_224[[#This Row],[Q5 Coded Responses]]</f>
        <v>#VALUE!</v>
      </c>
      <c r="AE52" s="4" t="e">
        <f>Table_EH_Post_Survey_May_22__2023_11_005[[#This Row],[Q6 Coded Responses]]-Table_EH_Pre_Survey_May_20__2023_08_224[[#This Row],[Q6 Coded Responses]]</f>
        <v>#VALUE!</v>
      </c>
      <c r="AF52" s="4" t="e">
        <f>Table_EH_Post_Survey_May_22__2023_11_005[[#This Row],[Q7 Responses Coded]]-Table_EH_Pre_Survey_May_20__2023_08_224[[#This Row],[Q7 Responses Coded]]</f>
        <v>#VALUE!</v>
      </c>
      <c r="AG52" s="4" t="e">
        <f>Table_EH_Post_Survey_May_22__2023_11_005[[#This Row],[Q8_1]]-Table_EH_Pre_Survey_May_20__2023_08_224[[#This Row],[Q8_1]]</f>
        <v>#VALUE!</v>
      </c>
      <c r="AH52" s="4" t="e">
        <f>Table_EH_Post_Survey_May_22__2023_11_005[[#This Row],[Q8_2]]-Table_EH_Pre_Survey_May_20__2023_08_224[[#This Row],[Q8_2]]</f>
        <v>#VALUE!</v>
      </c>
      <c r="AI52" s="4" t="e">
        <f>Table_EH_Post_Survey_May_22__2023_11_005[[#This Row],[Q8_3]]-Table_EH_Pre_Survey_May_20__2023_08_224[[#This Row],[Q8_3]]</f>
        <v>#VALUE!</v>
      </c>
      <c r="AJ52" s="4" t="e">
        <f>Table_EH_Post_Survey_May_22__2023_11_005[[#This Row],[Q8_4]]-Table_EH_Pre_Survey_May_20__2023_08_224[[#This Row],[Q8_4]]</f>
        <v>#VALUE!</v>
      </c>
      <c r="AK52" s="4" t="e">
        <f>Table_EH_Post_Survey_May_22__2023_11_005[[#This Row],[Q8_5]]-Table_EH_Pre_Survey_May_20__2023_08_224[[#This Row],[Q8_5]]</f>
        <v>#VALUE!</v>
      </c>
      <c r="AL52" s="4" t="e">
        <f>Table_EH_Post_Survey_May_22__2023_11_005[[#This Row],[Q8_6]]-Table_EH_Pre_Survey_May_20__2023_08_224[[#This Row],[Q8_6]]</f>
        <v>#VALUE!</v>
      </c>
      <c r="AM52" s="4" t="e">
        <f>Table_EH_Post_Survey_May_22__2023_11_005[[#This Row],[Q9_1]]-Table_EH_Pre_Survey_May_20__2023_08_224[[#This Row],[Q9_1]]</f>
        <v>#VALUE!</v>
      </c>
    </row>
    <row r="53" spans="1:39" hidden="1" x14ac:dyDescent="0.25">
      <c r="A53" t="s">
        <v>887</v>
      </c>
      <c r="B53" t="s">
        <v>888</v>
      </c>
      <c r="C53" t="s">
        <v>42</v>
      </c>
      <c r="D53" t="s">
        <v>517</v>
      </c>
      <c r="E53" t="s">
        <v>878</v>
      </c>
      <c r="F53">
        <f>_xlfn.NUMBERVALUE(#REF!)</f>
        <v>198</v>
      </c>
      <c r="G53" s="4" t="s">
        <v>889</v>
      </c>
      <c r="H53" s="4" t="s">
        <v>821</v>
      </c>
      <c r="I53" s="4" t="s">
        <v>890</v>
      </c>
      <c r="J53" s="4" t="s">
        <v>891</v>
      </c>
      <c r="K53" s="4" t="s">
        <v>111</v>
      </c>
      <c r="L53" s="4" t="s">
        <v>111</v>
      </c>
      <c r="M53" s="4" t="s">
        <v>111</v>
      </c>
      <c r="N53" s="4" t="s">
        <v>111</v>
      </c>
      <c r="O53" s="4" t="s">
        <v>111</v>
      </c>
      <c r="P53" s="4" t="s">
        <v>111</v>
      </c>
      <c r="Q53" s="4" t="s">
        <v>127</v>
      </c>
      <c r="R53" s="4" t="s">
        <v>117</v>
      </c>
      <c r="S53" s="4" t="s">
        <v>892</v>
      </c>
      <c r="T53" s="17" t="e">
        <f>VLOOKUP(Table_EH_Post_Survey_May_22__2023_11_0056[[#This Row],[Q1 - NetID]], Table_EH_Pre_Survey_May_20__2023_08_224[Q1 - NetID Post-Survey], 1, FALSE)</f>
        <v>#N/A</v>
      </c>
      <c r="U53" s="4" t="e">
        <f>Table_EH_Post_Survey_May_22__2023_11_005[[#This Row],[Q2]]-Table_EH_Pre_Survey_May_20__2023_08_224[[#This Row],[Q2]]</f>
        <v>#VALUE!</v>
      </c>
      <c r="V53" s="4" t="e">
        <f>Table_EH_Post_Survey_May_22__2023_11_005[[#This Row],[Q3_1]]-Table_EH_Pre_Survey_May_20__2023_08_224[[#This Row],[Q3_1]]</f>
        <v>#VALUE!</v>
      </c>
      <c r="W53" s="4" t="e">
        <f>Table_EH_Post_Survey_May_22__2023_11_005[[#This Row],[Q3_2]]-Table_EH_Pre_Survey_May_20__2023_08_224[[#This Row],[Q3_2]]</f>
        <v>#VALUE!</v>
      </c>
      <c r="X53" s="4" t="e">
        <f>Table_EH_Post_Survey_May_22__2023_11_005[[#This Row],[Q3_3]]-Table_EH_Pre_Survey_May_20__2023_08_224[[#This Row],[Q3_3]]</f>
        <v>#VALUE!</v>
      </c>
      <c r="Y53" s="4" t="e">
        <f>Table_EH_Post_Survey_May_22__2023_11_005[[#This Row],[Q3_4]]-Table_EH_Pre_Survey_May_20__2023_08_224[[#This Row],[Q3_4]]</f>
        <v>#VALUE!</v>
      </c>
      <c r="Z53" s="4" t="e">
        <f>Table_EH_Post_Survey_May_22__2023_11_005[[#This Row],[Q3_5]]-Table_EH_Pre_Survey_May_20__2023_08_224[[#This Row],[Q3_5]]</f>
        <v>#VALUE!</v>
      </c>
      <c r="AA53" s="4" t="e">
        <f>Table_EH_Post_Survey_May_22__2023_11_005[[#This Row],[Q3_6]]-Table_EH_Pre_Survey_May_20__2023_08_224[[#This Row],[Q3_6]]</f>
        <v>#VALUE!</v>
      </c>
      <c r="AB53" s="4" t="e">
        <f>Table_EH_Post_Survey_May_22__2023_11_005[[#This Row],[Q3_7]]-Table_EH_Pre_Survey_May_20__2023_08_224[[#This Row],[Q3_7]]</f>
        <v>#VALUE!</v>
      </c>
      <c r="AC53" s="4" t="e">
        <f>Table_EH_Post_Survey_May_22__2023_11_005[[#This Row],[Q4_1]]-Table_EH_Pre_Survey_May_20__2023_08_224[[#This Row],[Q4_1]]</f>
        <v>#VALUE!</v>
      </c>
      <c r="AD53" s="4" t="e">
        <f>Table_EH_Post_Survey_May_22__2023_11_005[[#This Row],[Q5 Coded Responses]]-Table_EH_Pre_Survey_May_20__2023_08_224[[#This Row],[Q5 Coded Responses]]</f>
        <v>#VALUE!</v>
      </c>
      <c r="AE53" s="4" t="e">
        <f>Table_EH_Post_Survey_May_22__2023_11_005[[#This Row],[Q6 Coded Responses]]-Table_EH_Pre_Survey_May_20__2023_08_224[[#This Row],[Q6 Coded Responses]]</f>
        <v>#VALUE!</v>
      </c>
      <c r="AF53" s="4" t="e">
        <f>Table_EH_Post_Survey_May_22__2023_11_005[[#This Row],[Q7 Responses Coded]]-Table_EH_Pre_Survey_May_20__2023_08_224[[#This Row],[Q7 Responses Coded]]</f>
        <v>#VALUE!</v>
      </c>
      <c r="AG53" s="4" t="e">
        <f>Table_EH_Post_Survey_May_22__2023_11_005[[#This Row],[Q8_1]]-Table_EH_Pre_Survey_May_20__2023_08_224[[#This Row],[Q8_1]]</f>
        <v>#VALUE!</v>
      </c>
      <c r="AH53" s="4" t="e">
        <f>Table_EH_Post_Survey_May_22__2023_11_005[[#This Row],[Q8_2]]-Table_EH_Pre_Survey_May_20__2023_08_224[[#This Row],[Q8_2]]</f>
        <v>#VALUE!</v>
      </c>
      <c r="AI53" s="4" t="e">
        <f>Table_EH_Post_Survey_May_22__2023_11_005[[#This Row],[Q8_3]]-Table_EH_Pre_Survey_May_20__2023_08_224[[#This Row],[Q8_3]]</f>
        <v>#VALUE!</v>
      </c>
      <c r="AJ53" s="4" t="e">
        <f>Table_EH_Post_Survey_May_22__2023_11_005[[#This Row],[Q8_4]]-Table_EH_Pre_Survey_May_20__2023_08_224[[#This Row],[Q8_4]]</f>
        <v>#VALUE!</v>
      </c>
      <c r="AK53" s="4" t="e">
        <f>Table_EH_Post_Survey_May_22__2023_11_005[[#This Row],[Q8_5]]-Table_EH_Pre_Survey_May_20__2023_08_224[[#This Row],[Q8_5]]</f>
        <v>#VALUE!</v>
      </c>
      <c r="AL53" s="4" t="e">
        <f>Table_EH_Post_Survey_May_22__2023_11_005[[#This Row],[Q8_6]]-Table_EH_Pre_Survey_May_20__2023_08_224[[#This Row],[Q8_6]]</f>
        <v>#VALUE!</v>
      </c>
      <c r="AM53" s="4" t="e">
        <f>Table_EH_Post_Survey_May_22__2023_11_005[[#This Row],[Q9_1]]-Table_EH_Pre_Survey_May_20__2023_08_224[[#This Row],[Q9_1]]</f>
        <v>#VALUE!</v>
      </c>
    </row>
    <row r="54" spans="1:39" x14ac:dyDescent="0.25">
      <c r="F54">
        <f>AVERAGE(F3:F5)</f>
        <v>74.333333333333329</v>
      </c>
      <c r="G54" s="3">
        <f>AVERAGE(G3:G5)</f>
        <v>74.333333333333329</v>
      </c>
      <c r="U54" s="5" t="e">
        <f t="shared" ref="U54:AM54" si="0">AVERAGE(U2:U53)</f>
        <v>#VALUE!</v>
      </c>
      <c r="V54" s="5" t="e">
        <f t="shared" si="0"/>
        <v>#VALUE!</v>
      </c>
      <c r="W54" s="5" t="e">
        <f t="shared" si="0"/>
        <v>#VALUE!</v>
      </c>
      <c r="X54" s="5" t="e">
        <f t="shared" si="0"/>
        <v>#VALUE!</v>
      </c>
      <c r="Y54" s="5" t="e">
        <f t="shared" si="0"/>
        <v>#VALUE!</v>
      </c>
      <c r="Z54" s="5" t="e">
        <f t="shared" si="0"/>
        <v>#VALUE!</v>
      </c>
      <c r="AA54" s="5" t="e">
        <f t="shared" si="0"/>
        <v>#VALUE!</v>
      </c>
      <c r="AB54" s="5" t="e">
        <f t="shared" si="0"/>
        <v>#VALUE!</v>
      </c>
      <c r="AC54" s="5" t="e">
        <f t="shared" si="0"/>
        <v>#VALUE!</v>
      </c>
      <c r="AD54" s="5" t="e">
        <f t="shared" si="0"/>
        <v>#VALUE!</v>
      </c>
      <c r="AE54" s="5" t="e">
        <f t="shared" si="0"/>
        <v>#VALUE!</v>
      </c>
      <c r="AF54" s="5" t="e">
        <f t="shared" si="0"/>
        <v>#VALUE!</v>
      </c>
      <c r="AG54" s="5" t="e">
        <f t="shared" si="0"/>
        <v>#VALUE!</v>
      </c>
      <c r="AH54" s="5" t="e">
        <f t="shared" si="0"/>
        <v>#VALUE!</v>
      </c>
      <c r="AI54" s="5" t="e">
        <f t="shared" si="0"/>
        <v>#VALUE!</v>
      </c>
      <c r="AJ54" s="5" t="e">
        <f t="shared" si="0"/>
        <v>#VALUE!</v>
      </c>
      <c r="AK54" s="5" t="e">
        <f t="shared" si="0"/>
        <v>#VALUE!</v>
      </c>
      <c r="AL54" s="5" t="e">
        <f t="shared" si="0"/>
        <v>#VALUE!</v>
      </c>
      <c r="AM54" s="5" t="e">
        <f t="shared" si="0"/>
        <v>#VALUE!</v>
      </c>
    </row>
    <row r="55" spans="1:39" x14ac:dyDescent="0.25">
      <c r="F55" s="2">
        <f>TRIMMEAN(F2:F53, 0.1)</f>
        <v>252.02083333333334</v>
      </c>
      <c r="U55">
        <f t="shared" ref="U55:AM55" si="1">COUNT(U2:U51)</f>
        <v>50</v>
      </c>
      <c r="V55">
        <f t="shared" si="1"/>
        <v>50</v>
      </c>
      <c r="W55">
        <f t="shared" si="1"/>
        <v>50</v>
      </c>
      <c r="X55">
        <f t="shared" si="1"/>
        <v>50</v>
      </c>
      <c r="Y55">
        <f t="shared" si="1"/>
        <v>50</v>
      </c>
      <c r="Z55">
        <f t="shared" si="1"/>
        <v>50</v>
      </c>
      <c r="AA55">
        <f t="shared" si="1"/>
        <v>50</v>
      </c>
      <c r="AB55">
        <f t="shared" si="1"/>
        <v>50</v>
      </c>
      <c r="AC55">
        <f t="shared" si="1"/>
        <v>50</v>
      </c>
      <c r="AD55">
        <f t="shared" si="1"/>
        <v>50</v>
      </c>
      <c r="AE55">
        <f t="shared" si="1"/>
        <v>50</v>
      </c>
      <c r="AF55">
        <f t="shared" si="1"/>
        <v>50</v>
      </c>
      <c r="AG55">
        <f t="shared" si="1"/>
        <v>50</v>
      </c>
      <c r="AH55">
        <f t="shared" si="1"/>
        <v>50</v>
      </c>
      <c r="AI55">
        <f t="shared" si="1"/>
        <v>50</v>
      </c>
      <c r="AJ55">
        <f t="shared" si="1"/>
        <v>50</v>
      </c>
      <c r="AK55">
        <f t="shared" si="1"/>
        <v>50</v>
      </c>
      <c r="AL55">
        <f t="shared" si="1"/>
        <v>50</v>
      </c>
      <c r="AM55">
        <f t="shared" si="1"/>
        <v>50</v>
      </c>
    </row>
    <row r="56" spans="1:39" x14ac:dyDescent="0.25">
      <c r="U56">
        <f>STDEV(U2:U37)</f>
        <v>0.6448821720849599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267F3-7673-46CA-85F1-FCBC378F27A0}">
  <dimension ref="A1:CE111"/>
  <sheetViews>
    <sheetView topLeftCell="D1" zoomScale="80" zoomScaleNormal="80" workbookViewId="0">
      <selection activeCell="CC2" sqref="CC2"/>
    </sheetView>
  </sheetViews>
  <sheetFormatPr defaultColWidth="10.625" defaultRowHeight="15.75" x14ac:dyDescent="0.25"/>
  <cols>
    <col min="1" max="1" width="50.375" hidden="1" customWidth="1"/>
    <col min="2" max="2" width="49.5" hidden="1" customWidth="1"/>
    <col min="3" max="3" width="18.5" hidden="1" customWidth="1"/>
    <col min="4" max="4" width="21.625" customWidth="1"/>
    <col min="5" max="7" width="21.625" hidden="1" customWidth="1"/>
    <col min="8" max="8" width="21.625" style="35" hidden="1" customWidth="1"/>
    <col min="9" max="9" width="21.625" hidden="1" customWidth="1"/>
    <col min="10" max="11" width="20.5" hidden="1" customWidth="1"/>
    <col min="12" max="12" width="22.5" hidden="1" customWidth="1"/>
    <col min="13" max="13" width="20" hidden="1" customWidth="1"/>
    <col min="14" max="14" width="53.875" hidden="1" customWidth="1"/>
    <col min="15" max="15" width="29.25" hidden="1" customWidth="1"/>
    <col min="16" max="16" width="30.625" hidden="1" customWidth="1"/>
    <col min="17" max="17" width="22" hidden="1" customWidth="1"/>
    <col min="18" max="18" width="29.375" hidden="1" customWidth="1"/>
    <col min="19" max="19" width="29.625" hidden="1" customWidth="1"/>
    <col min="20" max="20" width="25.5" hidden="1" customWidth="1"/>
    <col min="21" max="21" width="32.875" hidden="1" customWidth="1"/>
    <col min="22" max="22" width="27" hidden="1" customWidth="1"/>
    <col min="23" max="24" width="20.375" hidden="1" customWidth="1"/>
    <col min="25" max="26" width="28.375" hidden="1" customWidth="1"/>
    <col min="27" max="27" width="29.625" hidden="1" customWidth="1"/>
    <col min="28" max="28" width="25" hidden="1" customWidth="1"/>
    <col min="29" max="29" width="22.625" customWidth="1"/>
    <col min="30" max="31" width="22.625" hidden="1" customWidth="1"/>
    <col min="32" max="33" width="22.625" customWidth="1"/>
    <col min="34" max="34" width="20.875" style="6" bestFit="1" customWidth="1"/>
    <col min="35" max="35" width="12.625" style="6" bestFit="1" customWidth="1"/>
    <col min="36" max="37" width="8.375" customWidth="1"/>
    <col min="38" max="39" width="8.875" customWidth="1"/>
    <col min="40" max="43" width="7.375" customWidth="1"/>
    <col min="44" max="45" width="7.25" customWidth="1"/>
    <col min="46" max="47" width="8" customWidth="1"/>
    <col min="48" max="49" width="9.125" customWidth="1"/>
    <col min="50" max="50" width="7.625" style="2" customWidth="1"/>
    <col min="52" max="53" width="11.875" style="2" customWidth="1"/>
    <col min="54" max="54" width="7.625" style="2" customWidth="1"/>
    <col min="55" max="57" width="12.625" customWidth="1"/>
    <col min="58" max="58" width="12.375" customWidth="1"/>
    <col min="59" max="59" width="23.625" bestFit="1" customWidth="1"/>
    <col min="60" max="60" width="12.625" bestFit="1" customWidth="1"/>
    <col min="61" max="61" width="12.625" customWidth="1"/>
    <col min="62" max="62" width="12.875" customWidth="1"/>
    <col min="63" max="63" width="20.75" customWidth="1"/>
    <col min="64" max="64" width="12.625" bestFit="1" customWidth="1"/>
    <col min="65" max="65" width="14.125" customWidth="1"/>
    <col min="66" max="67" width="12.75" customWidth="1"/>
    <col min="68" max="69" width="7.375" customWidth="1"/>
    <col min="70" max="71" width="9.625" customWidth="1"/>
    <col min="72" max="73" width="9.375" customWidth="1"/>
    <col min="74" max="75" width="8.125" customWidth="1"/>
    <col min="76" max="77" width="7.125" customWidth="1"/>
    <col min="78" max="81" width="7.625" customWidth="1"/>
    <col min="82" max="83" width="20.875" customWidth="1"/>
  </cols>
  <sheetData>
    <row r="1" spans="1:82" s="24" customFormat="1" ht="33.6" customHeight="1" x14ac:dyDescent="0.25">
      <c r="A1" s="24" t="s">
        <v>913</v>
      </c>
      <c r="B1" s="24" t="s">
        <v>914</v>
      </c>
      <c r="C1" s="24" t="s">
        <v>915</v>
      </c>
      <c r="D1" s="24" t="s">
        <v>916</v>
      </c>
      <c r="E1" s="24" t="s">
        <v>1433</v>
      </c>
      <c r="F1" s="24" t="s">
        <v>1434</v>
      </c>
      <c r="G1" s="24" t="s">
        <v>0</v>
      </c>
      <c r="H1" s="36" t="s">
        <v>1431</v>
      </c>
      <c r="I1" s="24" t="s">
        <v>314</v>
      </c>
      <c r="J1" s="24" t="s">
        <v>917</v>
      </c>
      <c r="K1" s="24" t="s">
        <v>918</v>
      </c>
      <c r="L1" s="24" t="s">
        <v>1313</v>
      </c>
      <c r="M1" s="24" t="s">
        <v>919</v>
      </c>
      <c r="N1" s="24" t="s">
        <v>920</v>
      </c>
      <c r="O1" s="24" t="s">
        <v>1440</v>
      </c>
      <c r="P1" s="24" t="s">
        <v>1444</v>
      </c>
      <c r="Q1" s="24" t="s">
        <v>921</v>
      </c>
      <c r="R1" s="24" t="s">
        <v>922</v>
      </c>
      <c r="S1" s="24" t="s">
        <v>923</v>
      </c>
      <c r="T1" s="24" t="s">
        <v>924</v>
      </c>
      <c r="U1" s="24" t="s">
        <v>925</v>
      </c>
      <c r="V1" s="24" t="s">
        <v>926</v>
      </c>
      <c r="W1" s="24" t="s">
        <v>1441</v>
      </c>
      <c r="X1" s="24" t="s">
        <v>1442</v>
      </c>
      <c r="Y1" s="24" t="s">
        <v>927</v>
      </c>
      <c r="Z1" s="24" t="s">
        <v>1445</v>
      </c>
      <c r="AA1" s="24" t="s">
        <v>928</v>
      </c>
      <c r="AB1" s="24" t="s">
        <v>929</v>
      </c>
      <c r="AC1" s="24" t="s">
        <v>930</v>
      </c>
      <c r="AD1" s="24" t="s">
        <v>1438</v>
      </c>
      <c r="AE1" s="24" t="s">
        <v>1436</v>
      </c>
      <c r="AF1" s="24" t="s">
        <v>1446</v>
      </c>
      <c r="AG1" s="24" t="s">
        <v>1437</v>
      </c>
      <c r="AH1" s="25" t="s">
        <v>1364</v>
      </c>
      <c r="AI1" s="25" t="s">
        <v>1447</v>
      </c>
      <c r="AJ1" s="25" t="s">
        <v>20</v>
      </c>
      <c r="AK1" s="25" t="s">
        <v>1448</v>
      </c>
      <c r="AL1" s="25" t="s">
        <v>21</v>
      </c>
      <c r="AM1" s="25" t="s">
        <v>1449</v>
      </c>
      <c r="AN1" s="25" t="s">
        <v>22</v>
      </c>
      <c r="AO1" s="25" t="s">
        <v>1450</v>
      </c>
      <c r="AP1" s="25" t="s">
        <v>23</v>
      </c>
      <c r="AQ1" s="25" t="s">
        <v>1451</v>
      </c>
      <c r="AR1" s="25" t="s">
        <v>24</v>
      </c>
      <c r="AS1" s="25" t="s">
        <v>1452</v>
      </c>
      <c r="AT1" s="25" t="s">
        <v>25</v>
      </c>
      <c r="AU1" s="25" t="s">
        <v>1453</v>
      </c>
      <c r="AV1" s="25" t="s">
        <v>26</v>
      </c>
      <c r="AW1" s="25" t="s">
        <v>1454</v>
      </c>
      <c r="AX1" s="25" t="s">
        <v>1455</v>
      </c>
      <c r="AY1" s="24" t="s">
        <v>1390</v>
      </c>
      <c r="AZ1" s="25" t="s">
        <v>1456</v>
      </c>
      <c r="BA1" s="25" t="s">
        <v>1467</v>
      </c>
      <c r="BB1" s="25" t="s">
        <v>1366</v>
      </c>
      <c r="BC1" s="24" t="s">
        <v>1381</v>
      </c>
      <c r="BD1" s="24" t="s">
        <v>1457</v>
      </c>
      <c r="BE1" s="24" t="s">
        <v>1468</v>
      </c>
      <c r="BF1" s="24" t="s">
        <v>29</v>
      </c>
      <c r="BG1" s="24" t="s">
        <v>1382</v>
      </c>
      <c r="BH1" s="24" t="s">
        <v>1458</v>
      </c>
      <c r="BI1" s="24" t="s">
        <v>1469</v>
      </c>
      <c r="BJ1" s="24" t="s">
        <v>30</v>
      </c>
      <c r="BK1" s="24" t="s">
        <v>1380</v>
      </c>
      <c r="BL1" s="24" t="s">
        <v>1470</v>
      </c>
      <c r="BM1" s="24" t="s">
        <v>1471</v>
      </c>
      <c r="BN1" s="25" t="s">
        <v>31</v>
      </c>
      <c r="BO1" s="25" t="s">
        <v>1459</v>
      </c>
      <c r="BP1" s="25" t="s">
        <v>32</v>
      </c>
      <c r="BQ1" s="25" t="s">
        <v>1460</v>
      </c>
      <c r="BR1" s="25" t="s">
        <v>33</v>
      </c>
      <c r="BS1" s="25" t="s">
        <v>1461</v>
      </c>
      <c r="BT1" s="25" t="s">
        <v>34</v>
      </c>
      <c r="BU1" s="25" t="s">
        <v>1462</v>
      </c>
      <c r="BV1" s="25" t="s">
        <v>35</v>
      </c>
      <c r="BW1" s="25" t="s">
        <v>1463</v>
      </c>
      <c r="BX1" s="25" t="s">
        <v>36</v>
      </c>
      <c r="BY1" s="25" t="s">
        <v>1464</v>
      </c>
      <c r="BZ1" s="25" t="s">
        <v>1466</v>
      </c>
      <c r="CA1" s="25" t="s">
        <v>1465</v>
      </c>
      <c r="CB1" s="25" t="s">
        <v>1473</v>
      </c>
      <c r="CC1" s="25" t="s">
        <v>1472</v>
      </c>
      <c r="CD1" s="25"/>
    </row>
    <row r="2" spans="1:82" x14ac:dyDescent="0.25">
      <c r="A2" t="s">
        <v>457</v>
      </c>
      <c r="B2" t="s">
        <v>458</v>
      </c>
      <c r="C2" t="s">
        <v>42</v>
      </c>
      <c r="D2" t="s">
        <v>389</v>
      </c>
      <c r="E2" t="str">
        <f>IF(COUNTIF($D$2:$D$103, Table_EH_Pre_Survey_May_20__2023_08_229[[#This Row],[IPAddress - IP Address]])=1, "Unique", "")</f>
        <v/>
      </c>
      <c r="F2" t="str">
        <f>VLOOKUP(Table_EH_Pre_Survey_May_20__2023_08_229[[#This Row],[IPAddress - IP Address]], 'Post-Survey Full Set'!D:AU, 2, 0)</f>
        <v/>
      </c>
      <c r="G2" t="str">
        <f>VLOOKUP(Table_EH_Pre_Survey_May_20__2023_08_229[[#This Row],[IPAddress - IP Address]], 'Post-Survey Full Set'!$D$1:$AU$72, 1, 0)</f>
        <v>130.219.10.90</v>
      </c>
      <c r="I2">
        <v>1</v>
      </c>
      <c r="J2" t="s">
        <v>112</v>
      </c>
      <c r="K2">
        <f>_xlfn.NUMBERVALUE(Table_EH_Pre_Survey_May_20__2023_08_229[[#This Row],[Duration (in seconds) - Duration (in seconds)2]])</f>
        <v>126</v>
      </c>
      <c r="L2">
        <v>126</v>
      </c>
      <c r="M2" t="s">
        <v>114</v>
      </c>
      <c r="N2" t="s">
        <v>459</v>
      </c>
      <c r="O2" t="str">
        <f>VLOOKUP(Table_EH_Pre_Survey_May_20__2023_08_229[[#This Row],[LocationLatitude - Location Latitude]], 'Post-Survey Full Set'!Q:AU, 1, 0)</f>
        <v>40.7337</v>
      </c>
      <c r="P2" t="str">
        <f>VLOOKUP(Table_EH_Pre_Survey_May_20__2023_08_229[[#This Row],[LocationLongitude - Location Longitude]], 'Post-Survey Full Set'!S:AV, 1, 0)</f>
        <v>-74.1939</v>
      </c>
      <c r="Q2" t="s">
        <v>460</v>
      </c>
      <c r="R2" t="s">
        <v>111</v>
      </c>
      <c r="S2" t="s">
        <v>111</v>
      </c>
      <c r="T2" t="s">
        <v>111</v>
      </c>
      <c r="U2" t="s">
        <v>111</v>
      </c>
      <c r="V2" t="s">
        <v>392</v>
      </c>
      <c r="W2" t="str">
        <f>IF(COUNTIF($V$2:$V$103, Table_EH_Pre_Survey_May_20__2023_08_229[[#This Row],[LocationLatitude - Location Latitude]])=1, "Unique", "")</f>
        <v/>
      </c>
      <c r="X2" t="str">
        <f>VLOOKUP(Table_EH_Pre_Survey_May_20__2023_08_229[[#This Row],[LocationLatitude - Location Latitude]], 'Post-Survey Full Set'!Q:AU, 2, 0)</f>
        <v/>
      </c>
      <c r="Y2" t="s">
        <v>393</v>
      </c>
      <c r="Z2" t="e">
        <f>VLOOKUP(Table_EH_Pre_Survey_May_20__2023_08_229[[#This Row],[ResponseId - Response ID]], 'Post-Survey Full Set'!L:AU, 1, 0)</f>
        <v>#N/A</v>
      </c>
      <c r="AA2" t="s">
        <v>127</v>
      </c>
      <c r="AB2" t="s">
        <v>117</v>
      </c>
      <c r="AC2" s="35" t="s">
        <v>461</v>
      </c>
      <c r="AD2" t="s">
        <v>461</v>
      </c>
      <c r="AE2" t="str">
        <f>IF(ISTEXT(Table_EH_Pre_Survey_May_20__2023_08_229[[#This Row],[Post-Survey NetID''s]]) = TRUE, "Match", "")</f>
        <v>Match</v>
      </c>
      <c r="AF2" t="str">
        <f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f>
        <v>Ym484</v>
      </c>
      <c r="AG2" t="str">
        <f>IF(Table_EH_Pre_Survey_May_20__2023_08_229[[#This Row],[NetID Match]] = "Match",  "Match", IF(ISTEXT(Table_EH_Pre_Survey_May_20__2023_08_229[[#This Row],[IP Address Match]]) = TRUE, "Match", ""))</f>
        <v>Match</v>
      </c>
      <c r="AH2" s="8">
        <v>5</v>
      </c>
      <c r="AI2" s="8">
        <f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f>
        <v>5</v>
      </c>
      <c r="AJ2" s="4">
        <v>5</v>
      </c>
      <c r="AK2" s="4">
        <f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f>
        <v>5</v>
      </c>
      <c r="AL2" s="4">
        <v>5</v>
      </c>
      <c r="AM2" s="4">
        <f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f>
        <v>5</v>
      </c>
      <c r="AN2" s="4">
        <v>5</v>
      </c>
      <c r="AO2" s="4">
        <f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f>
        <v>5</v>
      </c>
      <c r="AP2" s="4">
        <v>5</v>
      </c>
      <c r="AQ2" s="4">
        <f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f>
        <v>5</v>
      </c>
      <c r="AR2" s="4">
        <v>5</v>
      </c>
      <c r="AS2" s="4">
        <f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f>
        <v>5</v>
      </c>
      <c r="AT2" s="4">
        <v>5</v>
      </c>
      <c r="AU2" s="4">
        <f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f>
        <v>5</v>
      </c>
      <c r="AV2" s="4">
        <v>5</v>
      </c>
      <c r="AW2" s="4">
        <f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f>
        <v>5</v>
      </c>
      <c r="AX2" s="2">
        <v>3</v>
      </c>
      <c r="AY2" s="2">
        <f>IF(Table_EH_Pre_Survey_May_20__2023_08_229[[#This Row],[Q4]] = 3, 1, IF(Table_EH_Pre_Survey_May_20__2023_08_229[[#This Row],[Q4]] = 2.5, 0.5, IF(Table_EH_Pre_Survey_May_20__2023_08_229[[#This Row],[Q4]] = 3.5, 0.5, 0)))</f>
        <v>1</v>
      </c>
      <c r="AZ2" s="2">
        <f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f>
        <v>3</v>
      </c>
      <c r="BA2" s="2">
        <f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f>
        <v>1</v>
      </c>
      <c r="BB2" t="s">
        <v>154</v>
      </c>
      <c r="BC2">
        <f>IF(Table_EH_Pre_Survey_May_20__2023_08_229[[#This Row],[Q5 ]]="PM &lt; 2.5 μm", 1, 0)</f>
        <v>0</v>
      </c>
      <c r="BD2" t="str">
        <f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f>
        <v>PM &lt; 0.25 μm</v>
      </c>
      <c r="BE2">
        <f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f>
        <v>0</v>
      </c>
      <c r="BF2" t="s">
        <v>141</v>
      </c>
      <c r="BG2">
        <f>IF(Table_EH_Pre_Survey_May_20__2023_08_229[[#This Row],[Q6]]="Particles of this size are generally absorbed in the respiratory tract and safely excreted in mucus.", 1, 0)</f>
        <v>0</v>
      </c>
      <c r="BH2" t="str">
        <f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f>
        <v>Particles of this size are generally absorbed in the respiratory tract and safely excreted in mucus.</v>
      </c>
      <c r="BI2">
        <f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f>
        <v>1</v>
      </c>
      <c r="BJ2" t="s">
        <v>142</v>
      </c>
      <c r="BK2">
        <f>IF(ISNUMBER(SEARCH("Trucks", Table_EH_Pre_Survey_May_20__2023_08_229[[#This Row],[Q7]])) = TRUE, 1, 0) + IF(ISNUMBER(SEARCH("Cars", Table_EH_Pre_Survey_May_20__2023_08_229[[#This Row],[Q7]])) = TRUE, 1, 0) + IF(ISNUMBER(SEARCH("Fireplaces", Table_EH_Pre_Survey_May_20__2023_08_229[[#This Row],[Q7]])) = TRUE, 1, 0) + IF(ISNUMBER(SEARCH("Dirt Roads", Table_EH_Pre_Survey_May_20__2023_08_229[[#This Row],[Q7]])) = TRUE, 1, 0) - IF(ISNUMBER(SEARCH("Electric Vehicles", Table_EH_Pre_Survey_May_20__2023_08_229[[#This Row],[Q7]])) = TRUE, 1, 0) - IF(ISNUMBER(SEARCH("Pollen", Table_EH_Pre_Survey_May_20__2023_08_229[[#This Row],[Q7]])) = TRUE, 1, 0)</f>
        <v>2</v>
      </c>
      <c r="BL2" t="str">
        <f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f>
        <v>Cars,Dirt Roads,Electric Vehicles,Fireplaces,Pollen,Trucks</v>
      </c>
      <c r="BM2">
        <f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f>
        <v>2</v>
      </c>
      <c r="BN2">
        <v>2</v>
      </c>
      <c r="BO2">
        <f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f>
        <v>2</v>
      </c>
      <c r="BP2">
        <v>0</v>
      </c>
      <c r="BQ2">
        <f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f>
        <v>1</v>
      </c>
      <c r="BR2">
        <v>3</v>
      </c>
      <c r="BS2">
        <f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f>
        <v>3</v>
      </c>
      <c r="BT2">
        <v>2</v>
      </c>
      <c r="BU2">
        <f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f>
        <v>2</v>
      </c>
      <c r="BV2">
        <v>4</v>
      </c>
      <c r="BW2">
        <f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f>
        <v>3</v>
      </c>
      <c r="BX2">
        <v>4</v>
      </c>
      <c r="BY2">
        <f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f>
        <v>2</v>
      </c>
      <c r="BZ2">
        <v>10</v>
      </c>
      <c r="CA2">
        <f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f>
        <v>10</v>
      </c>
      <c r="CB2" t="s">
        <v>462</v>
      </c>
      <c r="CC2" t="str">
        <f>IF(ISTEXT(VLOOKUP(Table_EH_Pre_Survey_May_20__2023_08_229[[#This Row],[Unique Identifier]], 'Post-Survey Full Set'!$D$1:$AU$72, 1, 0)), VLOOKUP(Table_EH_Pre_Survey_May_20__2023_08_229[[#This Row],[Unique Identifier]], 'Post-Survey Full Set'!$D$1:$AU$72, 43, 0), VLOOKUP(Table_EH_Pre_Survey_May_20__2023_08_229[[#This Row],[Unique Identifier]], 'Post-Survey Full Set'!$V$1:$AU$72, 25, 0))</f>
        <v>Microplastics!</v>
      </c>
    </row>
    <row r="3" spans="1:82" x14ac:dyDescent="0.25">
      <c r="A3" t="s">
        <v>515</v>
      </c>
      <c r="B3" t="s">
        <v>516</v>
      </c>
      <c r="C3" t="s">
        <v>42</v>
      </c>
      <c r="D3" t="s">
        <v>517</v>
      </c>
      <c r="E3" t="str">
        <f>IF(COUNTIF($D$2:$D$103, Table_EH_Pre_Survey_May_20__2023_08_229[[#This Row],[IPAddress - IP Address]])=1, "Unique", "")</f>
        <v/>
      </c>
      <c r="F3" t="str">
        <f>VLOOKUP(Table_EH_Pre_Survey_May_20__2023_08_229[[#This Row],[IPAddress - IP Address]], 'Post-Survey Full Set'!D:AU, 2, 0)</f>
        <v>Unique</v>
      </c>
      <c r="G3" t="str">
        <f>VLOOKUP(Table_EH_Pre_Survey_May_20__2023_08_229[[#This Row],[IPAddress - IP Address]], 'Post-Survey Full Set'!$D$1:$AU$72, 1, 0)</f>
        <v>128.6.37.194</v>
      </c>
      <c r="I3">
        <v>1</v>
      </c>
      <c r="J3" t="s">
        <v>112</v>
      </c>
      <c r="K3">
        <f>_xlfn.NUMBERVALUE(Table_EH_Pre_Survey_May_20__2023_08_229[[#This Row],[Duration (in seconds) - Duration (in seconds)2]])</f>
        <v>124</v>
      </c>
      <c r="L3" t="s">
        <v>518</v>
      </c>
      <c r="M3" t="s">
        <v>114</v>
      </c>
      <c r="N3" t="s">
        <v>516</v>
      </c>
      <c r="O3" t="str">
        <f>VLOOKUP(Table_EH_Pre_Survey_May_20__2023_08_229[[#This Row],[LocationLatitude - Location Latitude]], 'Post-Survey Full Set'!Q:AU, 1, 0)</f>
        <v>40.488</v>
      </c>
      <c r="P3" t="str">
        <f>VLOOKUP(Table_EH_Pre_Survey_May_20__2023_08_229[[#This Row],[LocationLongitude - Location Longitude]], 'Post-Survey Full Set'!S:AV, 1, 0)</f>
        <v>-74.4544</v>
      </c>
      <c r="Q3" t="s">
        <v>519</v>
      </c>
      <c r="R3" t="s">
        <v>111</v>
      </c>
      <c r="S3" t="s">
        <v>111</v>
      </c>
      <c r="T3" t="s">
        <v>111</v>
      </c>
      <c r="U3" t="s">
        <v>111</v>
      </c>
      <c r="V3" t="s">
        <v>351</v>
      </c>
      <c r="W3" t="str">
        <f>IF(COUNTIF($V$2:$V$103, Table_EH_Pre_Survey_May_20__2023_08_229[[#This Row],[LocationLatitude - Location Latitude]])=1, "Unique", "")</f>
        <v/>
      </c>
      <c r="X3" t="str">
        <f>VLOOKUP(Table_EH_Pre_Survey_May_20__2023_08_229[[#This Row],[LocationLatitude - Location Latitude]], 'Post-Survey Full Set'!Q:AU, 2, 0)</f>
        <v/>
      </c>
      <c r="Y3" t="s">
        <v>352</v>
      </c>
      <c r="Z3" t="e">
        <f>VLOOKUP(Table_EH_Pre_Survey_May_20__2023_08_229[[#This Row],[ResponseId - Response ID]], 'Post-Survey Full Set'!L:AU, 1, 0)</f>
        <v>#N/A</v>
      </c>
      <c r="AA3" t="s">
        <v>487</v>
      </c>
      <c r="AB3" t="s">
        <v>117</v>
      </c>
      <c r="AC3" s="35" t="s">
        <v>520</v>
      </c>
      <c r="AD3" t="s">
        <v>1131</v>
      </c>
      <c r="AE3" t="str">
        <f>IF(ISTEXT(Table_EH_Pre_Survey_May_20__2023_08_229[[#This Row],[Post-Survey NetID''s]]) = TRUE, "Match", "")</f>
        <v>Match</v>
      </c>
      <c r="AF3" t="str">
        <f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f>
        <v>Yh645</v>
      </c>
      <c r="AG3" t="str">
        <f>IF(Table_EH_Pre_Survey_May_20__2023_08_229[[#This Row],[NetID Match]] = "Match",  "Match", IF(ISTEXT(Table_EH_Pre_Survey_May_20__2023_08_229[[#This Row],[IP Address Match]]) = TRUE, "Match", ""))</f>
        <v>Match</v>
      </c>
      <c r="AH3" s="8">
        <v>5</v>
      </c>
      <c r="AI3" s="8">
        <f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f>
        <v>5</v>
      </c>
      <c r="AJ3" s="4">
        <v>5</v>
      </c>
      <c r="AK3" s="4">
        <f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f>
        <v>5</v>
      </c>
      <c r="AL3" s="4">
        <v>5</v>
      </c>
      <c r="AM3" s="4">
        <f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f>
        <v>5</v>
      </c>
      <c r="AN3" s="4">
        <v>5</v>
      </c>
      <c r="AO3" s="4">
        <f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f>
        <v>5</v>
      </c>
      <c r="AP3" s="4">
        <v>5</v>
      </c>
      <c r="AQ3" s="4">
        <f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f>
        <v>5</v>
      </c>
      <c r="AR3" s="4">
        <v>5</v>
      </c>
      <c r="AS3" s="4">
        <f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f>
        <v>5</v>
      </c>
      <c r="AT3" s="4">
        <v>5</v>
      </c>
      <c r="AU3" s="4">
        <f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f>
        <v>5</v>
      </c>
      <c r="AV3" s="4">
        <v>5</v>
      </c>
      <c r="AW3" s="4">
        <f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f>
        <v>5</v>
      </c>
      <c r="AX3" s="2">
        <v>5</v>
      </c>
      <c r="AY3" s="2">
        <f>IF(Table_EH_Pre_Survey_May_20__2023_08_229[[#This Row],[Q4]] = 3, 1, IF(Table_EH_Pre_Survey_May_20__2023_08_229[[#This Row],[Q4]] = 2.5, 0.5, IF(Table_EH_Pre_Survey_May_20__2023_08_229[[#This Row],[Q4]] = 3.5, 0.5, 0)))</f>
        <v>0</v>
      </c>
      <c r="AZ3" s="2">
        <f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f>
        <v>2.5</v>
      </c>
      <c r="BA3" s="2">
        <f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f>
        <v>0.5</v>
      </c>
      <c r="BB3" t="s">
        <v>130</v>
      </c>
      <c r="BC3">
        <f>IF(Table_EH_Pre_Survey_May_20__2023_08_229[[#This Row],[Q5 ]]="PM &lt; 2.5 μm", 1, 0)</f>
        <v>0</v>
      </c>
      <c r="BD3" t="str">
        <f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f>
        <v>PM &lt; 0.25 μm</v>
      </c>
      <c r="BE3">
        <f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f>
        <v>0</v>
      </c>
      <c r="BF3" t="s">
        <v>131</v>
      </c>
      <c r="BG3">
        <f>IF(Table_EH_Pre_Survey_May_20__2023_08_229[[#This Row],[Q6]]="Particles of this size are generally absorbed in the respiratory tract and safely excreted in mucus.", 1, 0)</f>
        <v>0</v>
      </c>
      <c r="BH3" t="str">
        <f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f>
        <v>Particles of this size are generally absorbed in the respiratory tract and safely excreted in mucus.</v>
      </c>
      <c r="BI3">
        <f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f>
        <v>1</v>
      </c>
      <c r="BJ3" t="s">
        <v>327</v>
      </c>
      <c r="BK3">
        <f>IF(ISNUMBER(SEARCH("Trucks", Table_EH_Pre_Survey_May_20__2023_08_229[[#This Row],[Q7]])) = TRUE, 1, 0) + IF(ISNUMBER(SEARCH("Cars", Table_EH_Pre_Survey_May_20__2023_08_229[[#This Row],[Q7]])) = TRUE, 1, 0) + IF(ISNUMBER(SEARCH("Fireplaces", Table_EH_Pre_Survey_May_20__2023_08_229[[#This Row],[Q7]])) = TRUE, 1, 0) + IF(ISNUMBER(SEARCH("Dirt Roads", Table_EH_Pre_Survey_May_20__2023_08_229[[#This Row],[Q7]])) = TRUE, 1, 0) - IF(ISNUMBER(SEARCH("Electric Vehicles", Table_EH_Pre_Survey_May_20__2023_08_229[[#This Row],[Q7]])) = TRUE, 1, 0) - IF(ISNUMBER(SEARCH("Pollen", Table_EH_Pre_Survey_May_20__2023_08_229[[#This Row],[Q7]])) = TRUE, 1, 0)</f>
        <v>1</v>
      </c>
      <c r="BL3" t="str">
        <f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f>
        <v>Cars,Electric Vehicles,Fireplaces,Trucks</v>
      </c>
      <c r="BM3">
        <f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f>
        <v>2</v>
      </c>
      <c r="BN3">
        <v>5</v>
      </c>
      <c r="BO3">
        <f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f>
        <v>5</v>
      </c>
      <c r="BP3">
        <v>2</v>
      </c>
      <c r="BQ3">
        <f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f>
        <v>5</v>
      </c>
      <c r="BR3">
        <v>4</v>
      </c>
      <c r="BS3">
        <f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f>
        <v>5</v>
      </c>
      <c r="BT3">
        <v>2</v>
      </c>
      <c r="BU3">
        <f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f>
        <v>5</v>
      </c>
      <c r="BV3">
        <v>4</v>
      </c>
      <c r="BW3">
        <f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f>
        <v>5</v>
      </c>
      <c r="BX3">
        <v>3</v>
      </c>
      <c r="BY3">
        <f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f>
        <v>5</v>
      </c>
      <c r="BZ3">
        <v>10</v>
      </c>
      <c r="CA3">
        <f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f>
        <v>10</v>
      </c>
      <c r="CB3" t="s">
        <v>111</v>
      </c>
      <c r="CC3">
        <f>IF(ISTEXT(VLOOKUP(Table_EH_Pre_Survey_May_20__2023_08_229[[#This Row],[Unique Identifier]], 'Post-Survey Full Set'!$D$1:$AU$72, 1, 0)), VLOOKUP(Table_EH_Pre_Survey_May_20__2023_08_229[[#This Row],[Unique Identifier]], 'Post-Survey Full Set'!$D$1:$AU$72, 43, 0), VLOOKUP(Table_EH_Pre_Survey_May_20__2023_08_229[[#This Row],[Unique Identifier]], 'Post-Survey Full Set'!$V$1:$AU$72, 25, 0))</f>
        <v>0</v>
      </c>
    </row>
    <row r="4" spans="1:82" x14ac:dyDescent="0.25">
      <c r="A4" t="s">
        <v>565</v>
      </c>
      <c r="B4" t="s">
        <v>566</v>
      </c>
      <c r="C4" t="s">
        <v>42</v>
      </c>
      <c r="D4" t="s">
        <v>389</v>
      </c>
      <c r="E4" t="str">
        <f>IF(COUNTIF($D$2:$D$103, Table_EH_Pre_Survey_May_20__2023_08_229[[#This Row],[IPAddress - IP Address]])=1, "Unique", "")</f>
        <v/>
      </c>
      <c r="F4" t="str">
        <f>VLOOKUP(Table_EH_Pre_Survey_May_20__2023_08_229[[#This Row],[IPAddress - IP Address]], 'Post-Survey Full Set'!D:AU, 2, 0)</f>
        <v/>
      </c>
      <c r="G4" t="str">
        <f>VLOOKUP(Table_EH_Pre_Survey_May_20__2023_08_229[[#This Row],[IPAddress - IP Address]], 'Post-Survey Full Set'!$D$1:$AU$72, 1, 0)</f>
        <v>130.219.10.90</v>
      </c>
      <c r="I4">
        <v>1</v>
      </c>
      <c r="J4" t="s">
        <v>112</v>
      </c>
      <c r="K4">
        <f>_xlfn.NUMBERVALUE(Table_EH_Pre_Survey_May_20__2023_08_229[[#This Row],[Duration (in seconds) - Duration (in seconds)2]])</f>
        <v>171</v>
      </c>
      <c r="L4" t="s">
        <v>567</v>
      </c>
      <c r="M4" t="s">
        <v>114</v>
      </c>
      <c r="N4" t="s">
        <v>566</v>
      </c>
      <c r="O4" t="str">
        <f>VLOOKUP(Table_EH_Pre_Survey_May_20__2023_08_229[[#This Row],[LocationLatitude - Location Latitude]], 'Post-Survey Full Set'!Q:AU, 1, 0)</f>
        <v>40.7337</v>
      </c>
      <c r="P4" t="str">
        <f>VLOOKUP(Table_EH_Pre_Survey_May_20__2023_08_229[[#This Row],[LocationLongitude - Location Longitude]], 'Post-Survey Full Set'!S:AV, 1, 0)</f>
        <v>-74.1939</v>
      </c>
      <c r="Q4" t="s">
        <v>568</v>
      </c>
      <c r="R4" t="s">
        <v>111</v>
      </c>
      <c r="S4" t="s">
        <v>111</v>
      </c>
      <c r="T4" t="s">
        <v>111</v>
      </c>
      <c r="U4" t="s">
        <v>111</v>
      </c>
      <c r="V4" t="s">
        <v>392</v>
      </c>
      <c r="W4" t="str">
        <f>IF(COUNTIF($V$2:$V$103, Table_EH_Pre_Survey_May_20__2023_08_229[[#This Row],[LocationLatitude - Location Latitude]])=1, "Unique", "")</f>
        <v/>
      </c>
      <c r="X4" t="str">
        <f>VLOOKUP(Table_EH_Pre_Survey_May_20__2023_08_229[[#This Row],[LocationLatitude - Location Latitude]], 'Post-Survey Full Set'!Q:AU, 2, 0)</f>
        <v/>
      </c>
      <c r="Y4" t="s">
        <v>393</v>
      </c>
      <c r="Z4" t="e">
        <f>VLOOKUP(Table_EH_Pre_Survey_May_20__2023_08_229[[#This Row],[ResponseId - Response ID]], 'Post-Survey Full Set'!L:AU, 1, 0)</f>
        <v>#N/A</v>
      </c>
      <c r="AA4" t="s">
        <v>487</v>
      </c>
      <c r="AB4" t="s">
        <v>117</v>
      </c>
      <c r="AC4" s="35" t="s">
        <v>569</v>
      </c>
      <c r="AD4" t="s">
        <v>569</v>
      </c>
      <c r="AE4" t="str">
        <f>IF(ISTEXT(Table_EH_Pre_Survey_May_20__2023_08_229[[#This Row],[Post-Survey NetID''s]]) = TRUE, "Match", "")</f>
        <v>Match</v>
      </c>
      <c r="AF4" t="str">
        <f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f>
        <v>uz14</v>
      </c>
      <c r="AG4" t="str">
        <f>IF(Table_EH_Pre_Survey_May_20__2023_08_229[[#This Row],[NetID Match]] = "Match",  "Match", IF(ISTEXT(Table_EH_Pre_Survey_May_20__2023_08_229[[#This Row],[IP Address Match]]) = TRUE, "Match", ""))</f>
        <v>Match</v>
      </c>
      <c r="AH4" s="8">
        <v>5</v>
      </c>
      <c r="AI4" s="8">
        <f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f>
        <v>5</v>
      </c>
      <c r="AJ4" s="4">
        <v>4</v>
      </c>
      <c r="AK4" s="4">
        <f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f>
        <v>5</v>
      </c>
      <c r="AL4" s="4">
        <v>5</v>
      </c>
      <c r="AM4" s="4">
        <f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f>
        <v>5</v>
      </c>
      <c r="AN4" s="4">
        <v>5</v>
      </c>
      <c r="AO4" s="4">
        <f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f>
        <v>5</v>
      </c>
      <c r="AP4" s="4">
        <v>3</v>
      </c>
      <c r="AQ4" s="4">
        <f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f>
        <v>5</v>
      </c>
      <c r="AR4" s="4">
        <v>5</v>
      </c>
      <c r="AS4" s="4">
        <f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f>
        <v>5</v>
      </c>
      <c r="AT4" s="4">
        <v>5</v>
      </c>
      <c r="AU4" s="4">
        <f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f>
        <v>5</v>
      </c>
      <c r="AV4" s="4"/>
      <c r="AW4" s="4">
        <f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f>
        <v>3</v>
      </c>
      <c r="AX4" s="2">
        <v>3.5</v>
      </c>
      <c r="AY4" s="2">
        <f>IF(Table_EH_Pre_Survey_May_20__2023_08_229[[#This Row],[Q4]] = 3, 1, IF(Table_EH_Pre_Survey_May_20__2023_08_229[[#This Row],[Q4]] = 2.5, 0.5, IF(Table_EH_Pre_Survey_May_20__2023_08_229[[#This Row],[Q4]] = 3.5, 0.5, 0)))</f>
        <v>0.5</v>
      </c>
      <c r="AZ4" s="2">
        <f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f>
        <v>3</v>
      </c>
      <c r="BA4" s="2">
        <f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f>
        <v>1</v>
      </c>
      <c r="BB4" t="s">
        <v>185</v>
      </c>
      <c r="BC4">
        <f>IF(Table_EH_Pre_Survey_May_20__2023_08_229[[#This Row],[Q5 ]]="PM &lt; 2.5 μm", 1, 0)</f>
        <v>0</v>
      </c>
      <c r="BD4" t="str">
        <f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f>
        <v>PM &lt; 0.25 μm</v>
      </c>
      <c r="BE4">
        <f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f>
        <v>0</v>
      </c>
      <c r="BF4" t="s">
        <v>131</v>
      </c>
      <c r="BG4">
        <f>IF(Table_EH_Pre_Survey_May_20__2023_08_229[[#This Row],[Q6]]="Particles of this size are generally absorbed in the respiratory tract and safely excreted in mucus.", 1, 0)</f>
        <v>0</v>
      </c>
      <c r="BH4" t="str">
        <f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f>
        <v>Particles of this size reach the bronchial tree where they corrode the alveolar parenchyma.</v>
      </c>
      <c r="BI4">
        <f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f>
        <v>0</v>
      </c>
      <c r="BJ4" t="s">
        <v>280</v>
      </c>
      <c r="BK4">
        <f>IF(ISNUMBER(SEARCH("Trucks", Table_EH_Pre_Survey_May_20__2023_08_229[[#This Row],[Q7]])) = TRUE, 1, 0) + IF(ISNUMBER(SEARCH("Cars", Table_EH_Pre_Survey_May_20__2023_08_229[[#This Row],[Q7]])) = TRUE, 1, 0) + IF(ISNUMBER(SEARCH("Fireplaces", Table_EH_Pre_Survey_May_20__2023_08_229[[#This Row],[Q7]])) = TRUE, 1, 0) + IF(ISNUMBER(SEARCH("Dirt Roads", Table_EH_Pre_Survey_May_20__2023_08_229[[#This Row],[Q7]])) = TRUE, 1, 0) - IF(ISNUMBER(SEARCH("Electric Vehicles", Table_EH_Pre_Survey_May_20__2023_08_229[[#This Row],[Q7]])) = TRUE, 1, 0) - IF(ISNUMBER(SEARCH("Pollen", Table_EH_Pre_Survey_May_20__2023_08_229[[#This Row],[Q7]])) = TRUE, 1, 0)</f>
        <v>2</v>
      </c>
      <c r="BL4" t="str">
        <f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f>
        <v>Cars,Electric Vehicles,Fireplaces,Trucks</v>
      </c>
      <c r="BM4">
        <f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f>
        <v>2</v>
      </c>
      <c r="BN4">
        <v>4</v>
      </c>
      <c r="BO4">
        <f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f>
        <v>5</v>
      </c>
      <c r="BP4">
        <v>5</v>
      </c>
      <c r="BQ4">
        <f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f>
        <v>3</v>
      </c>
      <c r="BR4">
        <v>5</v>
      </c>
      <c r="BS4">
        <f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f>
        <v>4</v>
      </c>
      <c r="BT4">
        <v>4</v>
      </c>
      <c r="BU4">
        <f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f>
        <v>4</v>
      </c>
      <c r="BV4">
        <v>5</v>
      </c>
      <c r="BW4">
        <f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f>
        <v>4</v>
      </c>
      <c r="BX4">
        <v>4</v>
      </c>
      <c r="BY4">
        <f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f>
        <v>5</v>
      </c>
      <c r="BZ4">
        <v>7</v>
      </c>
      <c r="CA4">
        <f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f>
        <v>9</v>
      </c>
      <c r="CB4" t="s">
        <v>570</v>
      </c>
      <c r="CC4" t="str">
        <f>IF(ISTEXT(VLOOKUP(Table_EH_Pre_Survey_May_20__2023_08_229[[#This Row],[Unique Identifier]], 'Post-Survey Full Set'!$D$1:$AU$72, 1, 0)), VLOOKUP(Table_EH_Pre_Survey_May_20__2023_08_229[[#This Row],[Unique Identifier]], 'Post-Survey Full Set'!$D$1:$AU$72, 43, 0), VLOOKUP(Table_EH_Pre_Survey_May_20__2023_08_229[[#This Row],[Unique Identifier]], 'Post-Survey Full Set'!$V$1:$AU$72, 25, 0))</f>
        <v/>
      </c>
    </row>
    <row r="5" spans="1:82" x14ac:dyDescent="0.25">
      <c r="A5" t="s">
        <v>577</v>
      </c>
      <c r="B5" t="s">
        <v>578</v>
      </c>
      <c r="C5" t="s">
        <v>42</v>
      </c>
      <c r="D5" t="s">
        <v>579</v>
      </c>
      <c r="E5" t="str">
        <f>IF(COUNTIF($D$2:$D$103, Table_EH_Pre_Survey_May_20__2023_08_229[[#This Row],[IPAddress - IP Address]])=1, "Unique", "")</f>
        <v>Unique</v>
      </c>
      <c r="F5" t="e">
        <f>VLOOKUP(Table_EH_Pre_Survey_May_20__2023_08_229[[#This Row],[IPAddress - IP Address]], 'Post-Survey Full Set'!D:AU, 2, 0)</f>
        <v>#N/A</v>
      </c>
      <c r="G5" t="e">
        <f>VLOOKUP(Table_EH_Pre_Survey_May_20__2023_08_229[[#This Row],[IPAddress - IP Address]], 'Post-Survey Full Set'!$D$1:$AU$72, 1, 0)</f>
        <v>#N/A</v>
      </c>
      <c r="H5" s="35" t="e">
        <v>#N/A</v>
      </c>
      <c r="I5">
        <v>1</v>
      </c>
      <c r="J5" t="s">
        <v>112</v>
      </c>
      <c r="K5">
        <f>_xlfn.NUMBERVALUE(Table_EH_Pre_Survey_May_20__2023_08_229[[#This Row],[Duration (in seconds) - Duration (in seconds)2]])</f>
        <v>137</v>
      </c>
      <c r="L5" t="s">
        <v>580</v>
      </c>
      <c r="M5" t="s">
        <v>114</v>
      </c>
      <c r="N5" t="s">
        <v>581</v>
      </c>
      <c r="O5" t="str">
        <f>VLOOKUP(Table_EH_Pre_Survey_May_20__2023_08_229[[#This Row],[LocationLatitude - Location Latitude]], 'Post-Survey Full Set'!Q:AU, 1, 0)</f>
        <v>40.488</v>
      </c>
      <c r="P5" t="str">
        <f>VLOOKUP(Table_EH_Pre_Survey_May_20__2023_08_229[[#This Row],[LocationLongitude - Location Longitude]], 'Post-Survey Full Set'!S:AV, 1, 0)</f>
        <v>-74.4544</v>
      </c>
      <c r="Q5" t="s">
        <v>582</v>
      </c>
      <c r="R5" t="s">
        <v>111</v>
      </c>
      <c r="S5" t="s">
        <v>111</v>
      </c>
      <c r="T5" t="s">
        <v>111</v>
      </c>
      <c r="U5" t="s">
        <v>111</v>
      </c>
      <c r="V5" t="s">
        <v>351</v>
      </c>
      <c r="W5" t="str">
        <f>IF(COUNTIF($V$2:$V$103, Table_EH_Pre_Survey_May_20__2023_08_229[[#This Row],[LocationLatitude - Location Latitude]])=1, "Unique", "")</f>
        <v/>
      </c>
      <c r="X5" t="str">
        <f>VLOOKUP(Table_EH_Pre_Survey_May_20__2023_08_229[[#This Row],[LocationLatitude - Location Latitude]], 'Post-Survey Full Set'!Q:AU, 2, 0)</f>
        <v/>
      </c>
      <c r="Y5" t="s">
        <v>352</v>
      </c>
      <c r="Z5" t="e">
        <f>VLOOKUP(Table_EH_Pre_Survey_May_20__2023_08_229[[#This Row],[ResponseId - Response ID]], 'Post-Survey Full Set'!L:AU, 1, 0)</f>
        <v>#N/A</v>
      </c>
      <c r="AA5" t="s">
        <v>127</v>
      </c>
      <c r="AB5" t="s">
        <v>117</v>
      </c>
      <c r="AC5" s="35" t="s">
        <v>583</v>
      </c>
      <c r="AD5" t="s">
        <v>583</v>
      </c>
      <c r="AE5" t="str">
        <f>IF(ISTEXT(Table_EH_Pre_Survey_May_20__2023_08_229[[#This Row],[Post-Survey NetID''s]]) = TRUE, "Match", "")</f>
        <v>Match</v>
      </c>
      <c r="AF5" t="str">
        <f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f>
        <v>tw592</v>
      </c>
      <c r="AG5" t="str">
        <f>IF(Table_EH_Pre_Survey_May_20__2023_08_229[[#This Row],[NetID Match]] = "Match",  "Match", IF(ISTEXT(Table_EH_Pre_Survey_May_20__2023_08_229[[#This Row],[IP Address Match]]) = TRUE, "Match", ""))</f>
        <v>Match</v>
      </c>
      <c r="AH5" s="8">
        <v>3</v>
      </c>
      <c r="AI5" s="8">
        <f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f>
        <v>4</v>
      </c>
      <c r="AJ5" s="4">
        <v>5</v>
      </c>
      <c r="AK5" s="4">
        <f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f>
        <v>3</v>
      </c>
      <c r="AL5" s="4">
        <v>3</v>
      </c>
      <c r="AM5" s="4">
        <f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f>
        <v>3</v>
      </c>
      <c r="AN5" s="4">
        <v>3</v>
      </c>
      <c r="AO5" s="4">
        <f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f>
        <v>5</v>
      </c>
      <c r="AP5" s="4">
        <v>0</v>
      </c>
      <c r="AQ5" s="4">
        <f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f>
        <v>4</v>
      </c>
      <c r="AR5" s="4">
        <v>2</v>
      </c>
      <c r="AS5" s="4">
        <f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f>
        <v>4</v>
      </c>
      <c r="AT5" s="4">
        <v>5</v>
      </c>
      <c r="AU5" s="4">
        <f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f>
        <v>5</v>
      </c>
      <c r="AV5" s="4">
        <v>1</v>
      </c>
      <c r="AW5" s="4">
        <f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f>
        <v>3</v>
      </c>
      <c r="AX5" s="2">
        <v>4</v>
      </c>
      <c r="AY5" s="2">
        <f>IF(Table_EH_Pre_Survey_May_20__2023_08_229[[#This Row],[Q4]] = 3, 1, IF(Table_EH_Pre_Survey_May_20__2023_08_229[[#This Row],[Q4]] = 2.5, 0.5, IF(Table_EH_Pre_Survey_May_20__2023_08_229[[#This Row],[Q4]] = 3.5, 0.5, 0)))</f>
        <v>0</v>
      </c>
      <c r="AZ5" s="2">
        <f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f>
        <v>4</v>
      </c>
      <c r="BA5" s="2">
        <f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f>
        <v>0</v>
      </c>
      <c r="BB5" t="s">
        <v>140</v>
      </c>
      <c r="BC5">
        <f>IF(Table_EH_Pre_Survey_May_20__2023_08_229[[#This Row],[Q5 ]]="PM &lt; 2.5 μm", 1, 0)</f>
        <v>1</v>
      </c>
      <c r="BD5" t="str">
        <f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f>
        <v>PM &lt; 2.5 μm</v>
      </c>
      <c r="BE5">
        <f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f>
        <v>1</v>
      </c>
      <c r="BF5" t="s">
        <v>155</v>
      </c>
      <c r="BG5">
        <f>IF(Table_EH_Pre_Survey_May_20__2023_08_229[[#This Row],[Q6]]="Particles of this size are generally absorbed in the respiratory tract and safely excreted in mucus.", 1, 0)</f>
        <v>0</v>
      </c>
      <c r="BH5" t="str">
        <f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f>
        <v>Particles of this size reach the bronchial tree where they corrode the alveolar parenchyma.</v>
      </c>
      <c r="BI5">
        <f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f>
        <v>0</v>
      </c>
      <c r="BJ5" t="s">
        <v>280</v>
      </c>
      <c r="BK5">
        <f>IF(ISNUMBER(SEARCH("Trucks", Table_EH_Pre_Survey_May_20__2023_08_229[[#This Row],[Q7]])) = TRUE, 1, 0) + IF(ISNUMBER(SEARCH("Cars", Table_EH_Pre_Survey_May_20__2023_08_229[[#This Row],[Q7]])) = TRUE, 1, 0) + IF(ISNUMBER(SEARCH("Fireplaces", Table_EH_Pre_Survey_May_20__2023_08_229[[#This Row],[Q7]])) = TRUE, 1, 0) + IF(ISNUMBER(SEARCH("Dirt Roads", Table_EH_Pre_Survey_May_20__2023_08_229[[#This Row],[Q7]])) = TRUE, 1, 0) - IF(ISNUMBER(SEARCH("Electric Vehicles", Table_EH_Pre_Survey_May_20__2023_08_229[[#This Row],[Q7]])) = TRUE, 1, 0) - IF(ISNUMBER(SEARCH("Pollen", Table_EH_Pre_Survey_May_20__2023_08_229[[#This Row],[Q7]])) = TRUE, 1, 0)</f>
        <v>2</v>
      </c>
      <c r="BL5" t="str">
        <f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f>
        <v>Cars,Fireplaces,Trucks</v>
      </c>
      <c r="BM5">
        <f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f>
        <v>3</v>
      </c>
      <c r="BN5">
        <v>3</v>
      </c>
      <c r="BO5">
        <f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f>
        <v>5</v>
      </c>
      <c r="BP5">
        <v>3</v>
      </c>
      <c r="BQ5">
        <f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f>
        <v>3</v>
      </c>
      <c r="BR5">
        <v>2</v>
      </c>
      <c r="BS5">
        <f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f>
        <v>5</v>
      </c>
      <c r="BT5">
        <v>0</v>
      </c>
      <c r="BU5">
        <f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f>
        <v>4</v>
      </c>
      <c r="BV5">
        <v>1</v>
      </c>
      <c r="BW5">
        <f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f>
        <v>5</v>
      </c>
      <c r="BX5">
        <v>3</v>
      </c>
      <c r="BY5">
        <f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f>
        <v>4</v>
      </c>
      <c r="BZ5">
        <v>5</v>
      </c>
      <c r="CA5">
        <f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f>
        <v>8</v>
      </c>
      <c r="CB5" t="s">
        <v>584</v>
      </c>
      <c r="CC5" t="str">
        <f>IF(ISTEXT(VLOOKUP(Table_EH_Pre_Survey_May_20__2023_08_229[[#This Row],[Unique Identifier]], 'Post-Survey Full Set'!$D$1:$AU$72, 1, 0)), VLOOKUP(Table_EH_Pre_Survey_May_20__2023_08_229[[#This Row],[Unique Identifier]], 'Post-Survey Full Set'!$D$1:$AU$72, 43, 0), VLOOKUP(Table_EH_Pre_Survey_May_20__2023_08_229[[#This Row],[Unique Identifier]], 'Post-Survey Full Set'!$V$1:$AU$72, 25, 0))</f>
        <v/>
      </c>
    </row>
    <row r="6" spans="1:82" hidden="1" x14ac:dyDescent="0.25">
      <c r="A6" t="s">
        <v>488</v>
      </c>
      <c r="B6" t="s">
        <v>626</v>
      </c>
      <c r="C6" t="s">
        <v>42</v>
      </c>
      <c r="D6" t="s">
        <v>627</v>
      </c>
      <c r="E6" t="str">
        <f>IF(COUNTIF($D$2:$D$103, Table_EH_Pre_Survey_May_20__2023_08_229[[#This Row],[IPAddress - IP Address]])=1, "Unique", "")</f>
        <v>Unique</v>
      </c>
      <c r="F6" t="e">
        <f>VLOOKUP(Table_EH_Pre_Survey_May_20__2023_08_229[[#This Row],[IPAddress - IP Address]], 'Post-Survey Full Set'!D:AU, 2, 0)</f>
        <v>#N/A</v>
      </c>
      <c r="G6" t="e">
        <f>VLOOKUP(Table_EH_Pre_Survey_May_20__2023_08_229[[#This Row],[IPAddress - IP Address]], 'Post-Survey Full Set'!$D$1:$AU$72, 1, 0)</f>
        <v>#N/A</v>
      </c>
      <c r="H6" s="35" t="e">
        <v>#N/A</v>
      </c>
      <c r="I6">
        <v>1</v>
      </c>
      <c r="J6" t="s">
        <v>112</v>
      </c>
      <c r="K6">
        <f>_xlfn.NUMBERVALUE(Table_EH_Pre_Survey_May_20__2023_08_229[[#This Row],[Duration (in seconds) - Duration (in seconds)2]])</f>
        <v>237</v>
      </c>
      <c r="L6" t="s">
        <v>628</v>
      </c>
      <c r="M6" t="s">
        <v>114</v>
      </c>
      <c r="N6" t="s">
        <v>626</v>
      </c>
      <c r="O6" t="str">
        <f>VLOOKUP(Table_EH_Pre_Survey_May_20__2023_08_229[[#This Row],[LocationLatitude - Location Latitude]], 'Post-Survey Full Set'!Q:AU, 1, 0)</f>
        <v>40.488</v>
      </c>
      <c r="P6" t="str">
        <f>VLOOKUP(Table_EH_Pre_Survey_May_20__2023_08_229[[#This Row],[LocationLongitude - Location Longitude]], 'Post-Survey Full Set'!S:AV, 1, 0)</f>
        <v>-74.4544</v>
      </c>
      <c r="Q6" t="s">
        <v>629</v>
      </c>
      <c r="R6" t="s">
        <v>111</v>
      </c>
      <c r="S6" t="s">
        <v>111</v>
      </c>
      <c r="T6" t="s">
        <v>111</v>
      </c>
      <c r="U6" t="s">
        <v>111</v>
      </c>
      <c r="V6" t="s">
        <v>351</v>
      </c>
      <c r="W6" t="str">
        <f>IF(COUNTIF($V$2:$V$103, Table_EH_Pre_Survey_May_20__2023_08_229[[#This Row],[LocationLatitude - Location Latitude]])=1, "Unique", "")</f>
        <v/>
      </c>
      <c r="X6" t="str">
        <f>VLOOKUP(Table_EH_Pre_Survey_May_20__2023_08_229[[#This Row],[LocationLatitude - Location Latitude]], 'Post-Survey Full Set'!Q:AU, 2, 0)</f>
        <v/>
      </c>
      <c r="Y6" t="s">
        <v>352</v>
      </c>
      <c r="Z6" t="e">
        <f>VLOOKUP(Table_EH_Pre_Survey_May_20__2023_08_229[[#This Row],[ResponseId - Response ID]], 'Post-Survey Full Set'!L:AU, 1, 0)</f>
        <v>#N/A</v>
      </c>
      <c r="AA6" t="s">
        <v>487</v>
      </c>
      <c r="AB6" t="s">
        <v>117</v>
      </c>
      <c r="AC6" s="35" t="s">
        <v>630</v>
      </c>
      <c r="AD6" t="e">
        <v>#N/A</v>
      </c>
      <c r="AE6" t="str">
        <f>IF(ISTEXT(Table_EH_Pre_Survey_May_20__2023_08_229[[#This Row],[Post-Survey NetID''s]]) = TRUE, "Match", "")</f>
        <v/>
      </c>
      <c r="AF6" t="str">
        <f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f>
        <v/>
      </c>
      <c r="AG6" t="str">
        <f>IF(Table_EH_Pre_Survey_May_20__2023_08_229[[#This Row],[NetID Match]] = "Match",  "Match", IF(ISTEXT(Table_EH_Pre_Survey_May_20__2023_08_229[[#This Row],[IP Address Match]]) = TRUE, "Match", ""))</f>
        <v/>
      </c>
      <c r="AH6" s="8">
        <v>5</v>
      </c>
      <c r="AI6" s="8">
        <f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f>
        <v>3</v>
      </c>
      <c r="AJ6" s="4">
        <v>4</v>
      </c>
      <c r="AK6" s="4">
        <f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f>
        <v>4</v>
      </c>
      <c r="AL6" s="4">
        <v>3</v>
      </c>
      <c r="AM6" s="4">
        <f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f>
        <v>4</v>
      </c>
      <c r="AN6" s="4">
        <v>3</v>
      </c>
      <c r="AO6" s="4">
        <f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f>
        <v>4</v>
      </c>
      <c r="AP6" s="4">
        <v>3</v>
      </c>
      <c r="AQ6" s="4">
        <f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f>
        <v>4</v>
      </c>
      <c r="AR6" s="4">
        <v>3</v>
      </c>
      <c r="AS6" s="4">
        <f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f>
        <v>5</v>
      </c>
      <c r="AT6" s="4">
        <v>4</v>
      </c>
      <c r="AU6" s="4">
        <f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f>
        <v>4</v>
      </c>
      <c r="AV6" s="4">
        <v>4</v>
      </c>
      <c r="AW6" s="4">
        <f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f>
        <v>4</v>
      </c>
      <c r="AX6" s="2">
        <v>4</v>
      </c>
      <c r="AY6" s="2">
        <f>IF(Table_EH_Pre_Survey_May_20__2023_08_229[[#This Row],[Q4]] = 3, 1, IF(Table_EH_Pre_Survey_May_20__2023_08_229[[#This Row],[Q4]] = 2.5, 0.5, IF(Table_EH_Pre_Survey_May_20__2023_08_229[[#This Row],[Q4]] = 3.5, 0.5, 0)))</f>
        <v>0</v>
      </c>
      <c r="AZ6" s="2">
        <f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f>
        <v>4</v>
      </c>
      <c r="BA6" s="2">
        <f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f>
        <v>0</v>
      </c>
      <c r="BB6" t="s">
        <v>166</v>
      </c>
      <c r="BC6">
        <f>IF(Table_EH_Pre_Survey_May_20__2023_08_229[[#This Row],[Q5 ]]="PM &lt; 2.5 μm", 1, 0)</f>
        <v>0</v>
      </c>
      <c r="BD6" t="str">
        <f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f>
        <v>PM &lt; 0.25 μm</v>
      </c>
      <c r="BE6">
        <f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f>
        <v>0</v>
      </c>
      <c r="BF6" t="s">
        <v>141</v>
      </c>
      <c r="BG6">
        <f>IF(Table_EH_Pre_Survey_May_20__2023_08_229[[#This Row],[Q6]]="Particles of this size are generally absorbed in the respiratory tract and safely excreted in mucus.", 1, 0)</f>
        <v>0</v>
      </c>
      <c r="BH6" t="str">
        <f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f>
        <v>Particles of this size reach the bronchial tree where they corrode the alveolar parenchyma.</v>
      </c>
      <c r="BI6">
        <f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f>
        <v>0</v>
      </c>
      <c r="BJ6" t="s">
        <v>353</v>
      </c>
      <c r="BK6">
        <f>IF(ISNUMBER(SEARCH("Trucks", Table_EH_Pre_Survey_May_20__2023_08_229[[#This Row],[Q7]])) = TRUE, 1, 0) + IF(ISNUMBER(SEARCH("Cars", Table_EH_Pre_Survey_May_20__2023_08_229[[#This Row],[Q7]])) = TRUE, 1, 0) + IF(ISNUMBER(SEARCH("Fireplaces", Table_EH_Pre_Survey_May_20__2023_08_229[[#This Row],[Q7]])) = TRUE, 1, 0) + IF(ISNUMBER(SEARCH("Dirt Roads", Table_EH_Pre_Survey_May_20__2023_08_229[[#This Row],[Q7]])) = TRUE, 1, 0) - IF(ISNUMBER(SEARCH("Electric Vehicles", Table_EH_Pre_Survey_May_20__2023_08_229[[#This Row],[Q7]])) = TRUE, 1, 0) - IF(ISNUMBER(SEARCH("Pollen", Table_EH_Pre_Survey_May_20__2023_08_229[[#This Row],[Q7]])) = TRUE, 1, 0)</f>
        <v>3</v>
      </c>
      <c r="BL6" t="str">
        <f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f>
        <v>Cars,Dirt Roads,Electric Vehicles,Fireplaces,Trucks</v>
      </c>
      <c r="BM6">
        <f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f>
        <v>3</v>
      </c>
      <c r="BN6">
        <v>3</v>
      </c>
      <c r="BO6">
        <f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f>
        <v>5</v>
      </c>
      <c r="BP6">
        <v>2</v>
      </c>
      <c r="BQ6">
        <f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f>
        <v>5</v>
      </c>
      <c r="BR6">
        <v>4</v>
      </c>
      <c r="BS6">
        <f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f>
        <v>5</v>
      </c>
      <c r="BT6">
        <v>4</v>
      </c>
      <c r="BU6">
        <f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f>
        <v>5</v>
      </c>
      <c r="BV6">
        <v>4</v>
      </c>
      <c r="BW6">
        <f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f>
        <v>5</v>
      </c>
      <c r="BX6">
        <v>4</v>
      </c>
      <c r="BY6">
        <f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f>
        <v>5</v>
      </c>
      <c r="BZ6">
        <v>9</v>
      </c>
      <c r="CA6">
        <f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f>
        <v>10</v>
      </c>
      <c r="CB6" t="s">
        <v>631</v>
      </c>
      <c r="CC6" t="str">
        <f>IF(ISTEXT(VLOOKUP(Table_EH_Pre_Survey_May_20__2023_08_229[[#This Row],[Unique Identifier]], 'Post-Survey Full Set'!$D$1:$AU$72, 1, 0)), VLOOKUP(Table_EH_Pre_Survey_May_20__2023_08_229[[#This Row],[Unique Identifier]], 'Post-Survey Full Set'!$D$1:$AU$72, 43, 0), VLOOKUP(Table_EH_Pre_Survey_May_20__2023_08_229[[#This Row],[Unique Identifier]], 'Post-Survey Full Set'!$V$1:$AU$72, 25, 0))</f>
        <v/>
      </c>
    </row>
    <row r="7" spans="1:82" hidden="1" x14ac:dyDescent="0.25">
      <c r="A7" t="s">
        <v>591</v>
      </c>
      <c r="B7" t="s">
        <v>592</v>
      </c>
      <c r="C7" t="s">
        <v>42</v>
      </c>
      <c r="D7" t="s">
        <v>593</v>
      </c>
      <c r="E7" t="str">
        <f>IF(COUNTIF($D$2:$D$103, Table_EH_Pre_Survey_May_20__2023_08_229[[#This Row],[IPAddress - IP Address]])=1, "Unique", "")</f>
        <v>Unique</v>
      </c>
      <c r="F7" t="e">
        <f>VLOOKUP(Table_EH_Pre_Survey_May_20__2023_08_229[[#This Row],[IPAddress - IP Address]], 'Post-Survey Full Set'!D:AU, 2, 0)</f>
        <v>#N/A</v>
      </c>
      <c r="G7" t="e">
        <f>VLOOKUP(Table_EH_Pre_Survey_May_20__2023_08_229[[#This Row],[IPAddress - IP Address]], 'Post-Survey Full Set'!$D$1:$AU$72, 1, 0)</f>
        <v>#N/A</v>
      </c>
      <c r="H7" s="35" t="e">
        <v>#N/A</v>
      </c>
      <c r="I7">
        <v>1</v>
      </c>
      <c r="J7" t="s">
        <v>112</v>
      </c>
      <c r="K7">
        <f>_xlfn.NUMBERVALUE(Table_EH_Pre_Survey_May_20__2023_08_229[[#This Row],[Duration (in seconds) - Duration (in seconds)2]])</f>
        <v>115</v>
      </c>
      <c r="L7" t="s">
        <v>594</v>
      </c>
      <c r="M7" t="s">
        <v>114</v>
      </c>
      <c r="N7" t="s">
        <v>595</v>
      </c>
      <c r="O7" t="str">
        <f>VLOOKUP(Table_EH_Pre_Survey_May_20__2023_08_229[[#This Row],[LocationLatitude - Location Latitude]], 'Post-Survey Full Set'!Q:AU, 1, 0)</f>
        <v>40.5511</v>
      </c>
      <c r="P7" t="str">
        <f>VLOOKUP(Table_EH_Pre_Survey_May_20__2023_08_229[[#This Row],[LocationLongitude - Location Longitude]], 'Post-Survey Full Set'!S:AV, 1, 0)</f>
        <v>-74.4606</v>
      </c>
      <c r="Q7" t="s">
        <v>596</v>
      </c>
      <c r="R7" t="s">
        <v>111</v>
      </c>
      <c r="S7" t="s">
        <v>111</v>
      </c>
      <c r="T7" t="s">
        <v>111</v>
      </c>
      <c r="U7" t="s">
        <v>111</v>
      </c>
      <c r="V7" t="s">
        <v>115</v>
      </c>
      <c r="W7" t="str">
        <f>IF(COUNTIF($V$2:$V$103, Table_EH_Pre_Survey_May_20__2023_08_229[[#This Row],[LocationLatitude - Location Latitude]])=1, "Unique", "")</f>
        <v/>
      </c>
      <c r="X7" t="str">
        <f>VLOOKUP(Table_EH_Pre_Survey_May_20__2023_08_229[[#This Row],[LocationLatitude - Location Latitude]], 'Post-Survey Full Set'!Q:AU, 2, 0)</f>
        <v/>
      </c>
      <c r="Y7" t="s">
        <v>116</v>
      </c>
      <c r="Z7" t="e">
        <f>VLOOKUP(Table_EH_Pre_Survey_May_20__2023_08_229[[#This Row],[ResponseId - Response ID]], 'Post-Survey Full Set'!L:AU, 1, 0)</f>
        <v>#N/A</v>
      </c>
      <c r="AA7" t="s">
        <v>127</v>
      </c>
      <c r="AB7" t="s">
        <v>117</v>
      </c>
      <c r="AC7" s="35" t="s">
        <v>597</v>
      </c>
      <c r="AD7" t="e">
        <v>#N/A</v>
      </c>
      <c r="AE7" t="str">
        <f>IF(ISTEXT(Table_EH_Pre_Survey_May_20__2023_08_229[[#This Row],[Post-Survey NetID''s]]) = TRUE, "Match", "")</f>
        <v/>
      </c>
      <c r="AF7" t="str">
        <f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f>
        <v/>
      </c>
      <c r="AG7" t="str">
        <f>IF(Table_EH_Pre_Survey_May_20__2023_08_229[[#This Row],[NetID Match]] = "Match",  "Match", IF(ISTEXT(Table_EH_Pre_Survey_May_20__2023_08_229[[#This Row],[IP Address Match]]) = TRUE, "Match", ""))</f>
        <v/>
      </c>
      <c r="AH7" s="8">
        <v>4</v>
      </c>
      <c r="AI7" s="8">
        <f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f>
        <v>3</v>
      </c>
      <c r="AJ7" s="4">
        <v>3</v>
      </c>
      <c r="AK7" s="4">
        <f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f>
        <v>4</v>
      </c>
      <c r="AL7" s="4">
        <v>3</v>
      </c>
      <c r="AM7" s="4">
        <f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f>
        <v>4</v>
      </c>
      <c r="AN7" s="4">
        <v>5</v>
      </c>
      <c r="AO7" s="4">
        <f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f>
        <v>4</v>
      </c>
      <c r="AP7" s="4">
        <v>3</v>
      </c>
      <c r="AQ7" s="4">
        <f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f>
        <v>4</v>
      </c>
      <c r="AR7" s="4">
        <v>5</v>
      </c>
      <c r="AS7" s="4">
        <f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f>
        <v>5</v>
      </c>
      <c r="AT7" s="4">
        <v>5</v>
      </c>
      <c r="AU7" s="4">
        <f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f>
        <v>4</v>
      </c>
      <c r="AV7" s="4">
        <v>3</v>
      </c>
      <c r="AW7" s="4">
        <f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f>
        <v>4</v>
      </c>
      <c r="AX7" s="2">
        <v>4</v>
      </c>
      <c r="AY7" s="2">
        <f>IF(Table_EH_Pre_Survey_May_20__2023_08_229[[#This Row],[Q4]] = 3, 1, IF(Table_EH_Pre_Survey_May_20__2023_08_229[[#This Row],[Q4]] = 2.5, 0.5, IF(Table_EH_Pre_Survey_May_20__2023_08_229[[#This Row],[Q4]] = 3.5, 0.5, 0)))</f>
        <v>0</v>
      </c>
      <c r="AZ7" s="2">
        <f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f>
        <v>4</v>
      </c>
      <c r="BA7" s="2">
        <f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f>
        <v>0</v>
      </c>
      <c r="BB7" t="s">
        <v>185</v>
      </c>
      <c r="BC7">
        <f>IF(Table_EH_Pre_Survey_May_20__2023_08_229[[#This Row],[Q5 ]]="PM &lt; 2.5 μm", 1, 0)</f>
        <v>0</v>
      </c>
      <c r="BD7" t="str">
        <f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f>
        <v>PM &lt; 0.25 μm</v>
      </c>
      <c r="BE7">
        <f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f>
        <v>0</v>
      </c>
      <c r="BF7" t="s">
        <v>155</v>
      </c>
      <c r="BG7">
        <f>IF(Table_EH_Pre_Survey_May_20__2023_08_229[[#This Row],[Q6]]="Particles of this size are generally absorbed in the respiratory tract and safely excreted in mucus.", 1, 0)</f>
        <v>0</v>
      </c>
      <c r="BH7" t="str">
        <f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f>
        <v>Particles of this size reach the bronchial tree where they corrode the alveolar parenchyma.</v>
      </c>
      <c r="BI7">
        <f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f>
        <v>0</v>
      </c>
      <c r="BJ7" t="s">
        <v>598</v>
      </c>
      <c r="BK7">
        <f>IF(ISNUMBER(SEARCH("Trucks", Table_EH_Pre_Survey_May_20__2023_08_229[[#This Row],[Q7]])) = TRUE, 1, 0) + IF(ISNUMBER(SEARCH("Cars", Table_EH_Pre_Survey_May_20__2023_08_229[[#This Row],[Q7]])) = TRUE, 1, 0) + IF(ISNUMBER(SEARCH("Fireplaces", Table_EH_Pre_Survey_May_20__2023_08_229[[#This Row],[Q7]])) = TRUE, 1, 0) + IF(ISNUMBER(SEARCH("Dirt Roads", Table_EH_Pre_Survey_May_20__2023_08_229[[#This Row],[Q7]])) = TRUE, 1, 0) - IF(ISNUMBER(SEARCH("Electric Vehicles", Table_EH_Pre_Survey_May_20__2023_08_229[[#This Row],[Q7]])) = TRUE, 1, 0) - IF(ISNUMBER(SEARCH("Pollen", Table_EH_Pre_Survey_May_20__2023_08_229[[#This Row],[Q7]])) = TRUE, 1, 0)</f>
        <v>1</v>
      </c>
      <c r="BL7" t="str">
        <f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f>
        <v>Cars,Dirt Roads,Electric Vehicles,Fireplaces,Trucks</v>
      </c>
      <c r="BM7">
        <f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f>
        <v>3</v>
      </c>
      <c r="BN7">
        <v>2</v>
      </c>
      <c r="BO7">
        <f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f>
        <v>5</v>
      </c>
      <c r="BP7">
        <v>1</v>
      </c>
      <c r="BQ7">
        <f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f>
        <v>5</v>
      </c>
      <c r="BR7">
        <v>3</v>
      </c>
      <c r="BS7">
        <f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f>
        <v>5</v>
      </c>
      <c r="BT7">
        <v>2</v>
      </c>
      <c r="BU7">
        <f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f>
        <v>5</v>
      </c>
      <c r="BV7">
        <v>4</v>
      </c>
      <c r="BW7">
        <f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f>
        <v>5</v>
      </c>
      <c r="BX7">
        <v>5</v>
      </c>
      <c r="BY7">
        <f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f>
        <v>5</v>
      </c>
      <c r="BZ7">
        <v>7</v>
      </c>
      <c r="CA7">
        <f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f>
        <v>10</v>
      </c>
      <c r="CB7" t="s">
        <v>111</v>
      </c>
      <c r="CC7" t="str">
        <f>IF(ISTEXT(VLOOKUP(Table_EH_Pre_Survey_May_20__2023_08_229[[#This Row],[Unique Identifier]], 'Post-Survey Full Set'!$D$1:$AU$72, 1, 0)), VLOOKUP(Table_EH_Pre_Survey_May_20__2023_08_229[[#This Row],[Unique Identifier]], 'Post-Survey Full Set'!$D$1:$AU$72, 43, 0), VLOOKUP(Table_EH_Pre_Survey_May_20__2023_08_229[[#This Row],[Unique Identifier]], 'Post-Survey Full Set'!$V$1:$AU$72, 25, 0))</f>
        <v/>
      </c>
    </row>
    <row r="8" spans="1:82" x14ac:dyDescent="0.25">
      <c r="A8" t="s">
        <v>533</v>
      </c>
      <c r="B8" t="s">
        <v>534</v>
      </c>
      <c r="C8" t="s">
        <v>42</v>
      </c>
      <c r="D8" t="s">
        <v>535</v>
      </c>
      <c r="E8" t="str">
        <f>IF(COUNTIF($D$2:$D$103, Table_EH_Pre_Survey_May_20__2023_08_229[[#This Row],[IPAddress - IP Address]])=1, "Unique", "")</f>
        <v>Unique</v>
      </c>
      <c r="F8" t="e">
        <f>VLOOKUP(Table_EH_Pre_Survey_May_20__2023_08_229[[#This Row],[IPAddress - IP Address]], 'Post-Survey Full Set'!D:AU, 2, 0)</f>
        <v>#N/A</v>
      </c>
      <c r="G8" t="e">
        <f>VLOOKUP(Table_EH_Pre_Survey_May_20__2023_08_229[[#This Row],[IPAddress - IP Address]], 'Post-Survey Full Set'!$D$1:$AU$72, 1, 0)</f>
        <v>#N/A</v>
      </c>
      <c r="H8" s="35" t="e">
        <v>#N/A</v>
      </c>
      <c r="I8">
        <v>1</v>
      </c>
      <c r="J8" t="s">
        <v>112</v>
      </c>
      <c r="K8">
        <f>_xlfn.NUMBERVALUE(Table_EH_Pre_Survey_May_20__2023_08_229[[#This Row],[Duration (in seconds) - Duration (in seconds)2]])</f>
        <v>344</v>
      </c>
      <c r="L8" t="s">
        <v>536</v>
      </c>
      <c r="M8" t="s">
        <v>114</v>
      </c>
      <c r="N8" t="s">
        <v>534</v>
      </c>
      <c r="O8" t="str">
        <f>VLOOKUP(Table_EH_Pre_Survey_May_20__2023_08_229[[#This Row],[LocationLatitude - Location Latitude]], 'Post-Survey Full Set'!Q:AU, 1, 0)</f>
        <v>40.488</v>
      </c>
      <c r="P8" t="str">
        <f>VLOOKUP(Table_EH_Pre_Survey_May_20__2023_08_229[[#This Row],[LocationLongitude - Location Longitude]], 'Post-Survey Full Set'!S:AV, 1, 0)</f>
        <v>-74.4544</v>
      </c>
      <c r="Q8" t="s">
        <v>537</v>
      </c>
      <c r="R8" t="s">
        <v>111</v>
      </c>
      <c r="S8" t="s">
        <v>111</v>
      </c>
      <c r="T8" t="s">
        <v>111</v>
      </c>
      <c r="U8" t="s">
        <v>111</v>
      </c>
      <c r="V8" t="s">
        <v>351</v>
      </c>
      <c r="W8" t="str">
        <f>IF(COUNTIF($V$2:$V$103, Table_EH_Pre_Survey_May_20__2023_08_229[[#This Row],[LocationLatitude - Location Latitude]])=1, "Unique", "")</f>
        <v/>
      </c>
      <c r="X8" t="str">
        <f>VLOOKUP(Table_EH_Pre_Survey_May_20__2023_08_229[[#This Row],[LocationLatitude - Location Latitude]], 'Post-Survey Full Set'!Q:AU, 2, 0)</f>
        <v/>
      </c>
      <c r="Y8" t="s">
        <v>352</v>
      </c>
      <c r="Z8" t="e">
        <f>VLOOKUP(Table_EH_Pre_Survey_May_20__2023_08_229[[#This Row],[ResponseId - Response ID]], 'Post-Survey Full Set'!L:AU, 1, 0)</f>
        <v>#N/A</v>
      </c>
      <c r="AA8" t="s">
        <v>127</v>
      </c>
      <c r="AB8" t="s">
        <v>117</v>
      </c>
      <c r="AC8" s="35" t="s">
        <v>538</v>
      </c>
      <c r="AD8" t="s">
        <v>538</v>
      </c>
      <c r="AE8" t="str">
        <f>IF(ISTEXT(Table_EH_Pre_Survey_May_20__2023_08_229[[#This Row],[Post-Survey NetID''s]]) = TRUE, "Match", "")</f>
        <v>Match</v>
      </c>
      <c r="AF8" t="str">
        <f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f>
        <v>Sph108</v>
      </c>
      <c r="AG8" t="str">
        <f>IF(Table_EH_Pre_Survey_May_20__2023_08_229[[#This Row],[NetID Match]] = "Match",  "Match", IF(ISTEXT(Table_EH_Pre_Survey_May_20__2023_08_229[[#This Row],[IP Address Match]]) = TRUE, "Match", ""))</f>
        <v>Match</v>
      </c>
      <c r="AH8" s="8">
        <v>2</v>
      </c>
      <c r="AI8" s="8">
        <f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f>
        <v>4</v>
      </c>
      <c r="AJ8" s="4">
        <v>3</v>
      </c>
      <c r="AK8" s="4">
        <f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f>
        <v>2</v>
      </c>
      <c r="AL8" s="4">
        <v>4</v>
      </c>
      <c r="AM8" s="4">
        <f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f>
        <v>4</v>
      </c>
      <c r="AN8" s="4">
        <v>5</v>
      </c>
      <c r="AO8" s="4">
        <f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f>
        <v>5</v>
      </c>
      <c r="AP8" s="4">
        <v>4</v>
      </c>
      <c r="AQ8" s="4">
        <f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f>
        <v>3</v>
      </c>
      <c r="AR8" s="4">
        <v>2</v>
      </c>
      <c r="AS8" s="4">
        <f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f>
        <v>3</v>
      </c>
      <c r="AT8" s="4">
        <v>5</v>
      </c>
      <c r="AU8" s="4">
        <f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f>
        <v>5</v>
      </c>
      <c r="AV8" s="4">
        <v>2</v>
      </c>
      <c r="AW8" s="4">
        <f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f>
        <v>2</v>
      </c>
      <c r="AX8" s="2">
        <v>3</v>
      </c>
      <c r="AY8" s="2">
        <f>IF(Table_EH_Pre_Survey_May_20__2023_08_229[[#This Row],[Q4]] = 3, 1, IF(Table_EH_Pre_Survey_May_20__2023_08_229[[#This Row],[Q4]] = 2.5, 0.5, IF(Table_EH_Pre_Survey_May_20__2023_08_229[[#This Row],[Q4]] = 3.5, 0.5, 0)))</f>
        <v>1</v>
      </c>
      <c r="AZ8" s="2">
        <f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f>
        <v>3.5</v>
      </c>
      <c r="BA8" s="2">
        <f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f>
        <v>0.5</v>
      </c>
      <c r="BB8" t="s">
        <v>185</v>
      </c>
      <c r="BC8">
        <f>IF(Table_EH_Pre_Survey_May_20__2023_08_229[[#This Row],[Q5 ]]="PM &lt; 2.5 μm", 1, 0)</f>
        <v>0</v>
      </c>
      <c r="BD8" t="str">
        <f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f>
        <v>PM &lt; 0.25 μm</v>
      </c>
      <c r="BE8">
        <f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f>
        <v>0</v>
      </c>
      <c r="BF8" t="s">
        <v>141</v>
      </c>
      <c r="BG8">
        <f>IF(Table_EH_Pre_Survey_May_20__2023_08_229[[#This Row],[Q6]]="Particles of this size are generally absorbed in the respiratory tract and safely excreted in mucus.", 1, 0)</f>
        <v>0</v>
      </c>
      <c r="BH8" t="str">
        <f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f>
        <v>Particles of this size reach the bronchial tree where they corrode the alveolar parenchyma.</v>
      </c>
      <c r="BI8">
        <f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f>
        <v>0</v>
      </c>
      <c r="BJ8" t="s">
        <v>156</v>
      </c>
      <c r="BK8">
        <f>IF(ISNUMBER(SEARCH("Trucks", Table_EH_Pre_Survey_May_20__2023_08_229[[#This Row],[Q7]])) = TRUE, 1, 0) + IF(ISNUMBER(SEARCH("Cars", Table_EH_Pre_Survey_May_20__2023_08_229[[#This Row],[Q7]])) = TRUE, 1, 0) + IF(ISNUMBER(SEARCH("Fireplaces", Table_EH_Pre_Survey_May_20__2023_08_229[[#This Row],[Q7]])) = TRUE, 1, 0) + IF(ISNUMBER(SEARCH("Dirt Roads", Table_EH_Pre_Survey_May_20__2023_08_229[[#This Row],[Q7]])) = TRUE, 1, 0) - IF(ISNUMBER(SEARCH("Electric Vehicles", Table_EH_Pre_Survey_May_20__2023_08_229[[#This Row],[Q7]])) = TRUE, 1, 0) - IF(ISNUMBER(SEARCH("Pollen", Table_EH_Pre_Survey_May_20__2023_08_229[[#This Row],[Q7]])) = TRUE, 1, 0)</f>
        <v>4</v>
      </c>
      <c r="BL8" t="str">
        <f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f>
        <v>Cars,Dirt Roads,Fireplaces,Trucks</v>
      </c>
      <c r="BM8">
        <f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f>
        <v>4</v>
      </c>
      <c r="BN8">
        <v>4</v>
      </c>
      <c r="BO8">
        <f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f>
        <v>3</v>
      </c>
      <c r="BP8">
        <v>4</v>
      </c>
      <c r="BQ8">
        <f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f>
        <v>1</v>
      </c>
      <c r="BR8">
        <v>3</v>
      </c>
      <c r="BS8">
        <f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f>
        <v>2</v>
      </c>
      <c r="BT8">
        <v>5</v>
      </c>
      <c r="BU8">
        <f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f>
        <v>2</v>
      </c>
      <c r="BV8">
        <v>2</v>
      </c>
      <c r="BW8">
        <f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f>
        <v>1</v>
      </c>
      <c r="BX8">
        <v>5</v>
      </c>
      <c r="BY8">
        <f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f>
        <v>4</v>
      </c>
      <c r="BZ8">
        <v>7</v>
      </c>
      <c r="CA8">
        <f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f>
        <v>8</v>
      </c>
      <c r="CB8" t="s">
        <v>539</v>
      </c>
      <c r="CC8" t="str">
        <f>IF(ISTEXT(VLOOKUP(Table_EH_Pre_Survey_May_20__2023_08_229[[#This Row],[Unique Identifier]], 'Post-Survey Full Set'!$D$1:$AU$72, 1, 0)), VLOOKUP(Table_EH_Pre_Survey_May_20__2023_08_229[[#This Row],[Unique Identifier]], 'Post-Survey Full Set'!$D$1:$AU$72, 43, 0), VLOOKUP(Table_EH_Pre_Survey_May_20__2023_08_229[[#This Row],[Unique Identifier]], 'Post-Survey Full Set'!$V$1:$AU$72, 25, 0))</f>
        <v>N/A</v>
      </c>
    </row>
    <row r="9" spans="1:82" x14ac:dyDescent="0.25">
      <c r="A9" t="s">
        <v>659</v>
      </c>
      <c r="B9" t="s">
        <v>660</v>
      </c>
      <c r="C9" t="s">
        <v>42</v>
      </c>
      <c r="D9" t="s">
        <v>661</v>
      </c>
      <c r="E9" t="str">
        <f>IF(COUNTIF($D$2:$D$103, Table_EH_Pre_Survey_May_20__2023_08_229[[#This Row],[IPAddress - IP Address]])=1, "Unique", "")</f>
        <v>Unique</v>
      </c>
      <c r="F9" t="e">
        <f>VLOOKUP(Table_EH_Pre_Survey_May_20__2023_08_229[[#This Row],[IPAddress - IP Address]], 'Post-Survey Full Set'!D:AU, 2, 0)</f>
        <v>#N/A</v>
      </c>
      <c r="G9" t="e">
        <f>VLOOKUP(Table_EH_Pre_Survey_May_20__2023_08_229[[#This Row],[IPAddress - IP Address]], 'Post-Survey Full Set'!$D$1:$AU$72, 1, 0)</f>
        <v>#N/A</v>
      </c>
      <c r="H9" s="35" t="e">
        <v>#N/A</v>
      </c>
      <c r="I9">
        <v>1</v>
      </c>
      <c r="J9" t="s">
        <v>112</v>
      </c>
      <c r="K9">
        <f>_xlfn.NUMBERVALUE(Table_EH_Pre_Survey_May_20__2023_08_229[[#This Row],[Duration (in seconds) - Duration (in seconds)2]])</f>
        <v>160</v>
      </c>
      <c r="L9" t="s">
        <v>662</v>
      </c>
      <c r="M9" t="s">
        <v>114</v>
      </c>
      <c r="N9" t="s">
        <v>660</v>
      </c>
      <c r="O9" t="str">
        <f>VLOOKUP(Table_EH_Pre_Survey_May_20__2023_08_229[[#This Row],[LocationLatitude - Location Latitude]], 'Post-Survey Full Set'!Q:AU, 1, 0)</f>
        <v>40.5511</v>
      </c>
      <c r="P9" t="str">
        <f>VLOOKUP(Table_EH_Pre_Survey_May_20__2023_08_229[[#This Row],[LocationLongitude - Location Longitude]], 'Post-Survey Full Set'!S:AV, 1, 0)</f>
        <v>-74.4606</v>
      </c>
      <c r="Q9" t="s">
        <v>663</v>
      </c>
      <c r="R9" t="s">
        <v>111</v>
      </c>
      <c r="S9" t="s">
        <v>111</v>
      </c>
      <c r="T9" t="s">
        <v>111</v>
      </c>
      <c r="U9" t="s">
        <v>111</v>
      </c>
      <c r="V9" t="s">
        <v>115</v>
      </c>
      <c r="W9" t="str">
        <f>IF(COUNTIF($V$2:$V$103, Table_EH_Pre_Survey_May_20__2023_08_229[[#This Row],[LocationLatitude - Location Latitude]])=1, "Unique", "")</f>
        <v/>
      </c>
      <c r="X9" t="str">
        <f>VLOOKUP(Table_EH_Pre_Survey_May_20__2023_08_229[[#This Row],[LocationLatitude - Location Latitude]], 'Post-Survey Full Set'!Q:AU, 2, 0)</f>
        <v/>
      </c>
      <c r="Y9" t="s">
        <v>116</v>
      </c>
      <c r="Z9" t="e">
        <f>VLOOKUP(Table_EH_Pre_Survey_May_20__2023_08_229[[#This Row],[ResponseId - Response ID]], 'Post-Survey Full Set'!L:AU, 1, 0)</f>
        <v>#N/A</v>
      </c>
      <c r="AA9" t="s">
        <v>127</v>
      </c>
      <c r="AB9" t="s">
        <v>117</v>
      </c>
      <c r="AC9" s="35" t="s">
        <v>664</v>
      </c>
      <c r="AD9" t="s">
        <v>664</v>
      </c>
      <c r="AE9" t="str">
        <f>IF(ISTEXT(Table_EH_Pre_Survey_May_20__2023_08_229[[#This Row],[Post-Survey NetID''s]]) = TRUE, "Match", "")</f>
        <v>Match</v>
      </c>
      <c r="AF9" t="str">
        <f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f>
        <v>Sp2098</v>
      </c>
      <c r="AG9" t="str">
        <f>IF(Table_EH_Pre_Survey_May_20__2023_08_229[[#This Row],[NetID Match]] = "Match",  "Match", IF(ISTEXT(Table_EH_Pre_Survey_May_20__2023_08_229[[#This Row],[IP Address Match]]) = TRUE, "Match", ""))</f>
        <v>Match</v>
      </c>
      <c r="AH9" s="8">
        <v>5</v>
      </c>
      <c r="AI9" s="8">
        <f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f>
        <v>5</v>
      </c>
      <c r="AJ9" s="4">
        <v>4</v>
      </c>
      <c r="AK9" s="4">
        <f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f>
        <v>4</v>
      </c>
      <c r="AL9" s="4">
        <v>5</v>
      </c>
      <c r="AM9" s="4">
        <f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f>
        <v>5</v>
      </c>
      <c r="AN9" s="4">
        <v>5</v>
      </c>
      <c r="AO9" s="4">
        <f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f>
        <v>5</v>
      </c>
      <c r="AP9" s="4">
        <v>5</v>
      </c>
      <c r="AQ9" s="4">
        <f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f>
        <v>4</v>
      </c>
      <c r="AR9" s="4">
        <v>3</v>
      </c>
      <c r="AS9" s="4">
        <f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f>
        <v>4</v>
      </c>
      <c r="AT9" s="4">
        <v>5</v>
      </c>
      <c r="AU9" s="4">
        <f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f>
        <v>5</v>
      </c>
      <c r="AV9" s="4">
        <v>3</v>
      </c>
      <c r="AW9" s="4">
        <f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f>
        <v>3</v>
      </c>
      <c r="AX9" s="2">
        <v>4.5</v>
      </c>
      <c r="AY9" s="2">
        <f>IF(Table_EH_Pre_Survey_May_20__2023_08_229[[#This Row],[Q4]] = 3, 1, IF(Table_EH_Pre_Survey_May_20__2023_08_229[[#This Row],[Q4]] = 2.5, 0.5, IF(Table_EH_Pre_Survey_May_20__2023_08_229[[#This Row],[Q4]] = 3.5, 0.5, 0)))</f>
        <v>0</v>
      </c>
      <c r="AZ9" s="2">
        <f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f>
        <v>3</v>
      </c>
      <c r="BA9" s="2">
        <f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f>
        <v>1</v>
      </c>
      <c r="BB9" t="s">
        <v>130</v>
      </c>
      <c r="BC9">
        <f>IF(Table_EH_Pre_Survey_May_20__2023_08_229[[#This Row],[Q5 ]]="PM &lt; 2.5 μm", 1, 0)</f>
        <v>0</v>
      </c>
      <c r="BD9" t="str">
        <f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f>
        <v>PM &lt; 2.5 μm</v>
      </c>
      <c r="BE9">
        <f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f>
        <v>1</v>
      </c>
      <c r="BF9" t="s">
        <v>155</v>
      </c>
      <c r="BG9">
        <f>IF(Table_EH_Pre_Survey_May_20__2023_08_229[[#This Row],[Q6]]="Particles of this size are generally absorbed in the respiratory tract and safely excreted in mucus.", 1, 0)</f>
        <v>0</v>
      </c>
      <c r="BH9" t="str">
        <f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f>
        <v>Particles of this size are generally absorbed in the respiratory tract and safely excreted in mucus.</v>
      </c>
      <c r="BI9">
        <f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f>
        <v>1</v>
      </c>
      <c r="BJ9" t="s">
        <v>167</v>
      </c>
      <c r="BK9">
        <f>IF(ISNUMBER(SEARCH("Trucks", Table_EH_Pre_Survey_May_20__2023_08_229[[#This Row],[Q7]])) = TRUE, 1, 0) + IF(ISNUMBER(SEARCH("Cars", Table_EH_Pre_Survey_May_20__2023_08_229[[#This Row],[Q7]])) = TRUE, 1, 0) + IF(ISNUMBER(SEARCH("Fireplaces", Table_EH_Pre_Survey_May_20__2023_08_229[[#This Row],[Q7]])) = TRUE, 1, 0) + IF(ISNUMBER(SEARCH("Dirt Roads", Table_EH_Pre_Survey_May_20__2023_08_229[[#This Row],[Q7]])) = TRUE, 1, 0) - IF(ISNUMBER(SEARCH("Electric Vehicles", Table_EH_Pre_Survey_May_20__2023_08_229[[#This Row],[Q7]])) = TRUE, 1, 0) - IF(ISNUMBER(SEARCH("Pollen", Table_EH_Pre_Survey_May_20__2023_08_229[[#This Row],[Q7]])) = TRUE, 1, 0)</f>
        <v>3</v>
      </c>
      <c r="BL9" t="str">
        <f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f>
        <v>Cars,Dirt Roads,Electric Vehicles,Fireplaces,Pollen,Trucks</v>
      </c>
      <c r="BM9">
        <f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f>
        <v>2</v>
      </c>
      <c r="BN9">
        <v>4</v>
      </c>
      <c r="BO9">
        <f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f>
        <v>4</v>
      </c>
      <c r="BP9">
        <v>1</v>
      </c>
      <c r="BQ9">
        <f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f>
        <v>4</v>
      </c>
      <c r="BR9">
        <v>4</v>
      </c>
      <c r="BS9">
        <f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f>
        <v>4</v>
      </c>
      <c r="BT9">
        <v>4</v>
      </c>
      <c r="BU9">
        <f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f>
        <v>4</v>
      </c>
      <c r="BV9">
        <v>4</v>
      </c>
      <c r="BW9">
        <f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f>
        <v>5</v>
      </c>
      <c r="BX9">
        <v>3</v>
      </c>
      <c r="BY9">
        <f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f>
        <v>5</v>
      </c>
      <c r="BZ9">
        <v>7</v>
      </c>
      <c r="CA9">
        <f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f>
        <v>10</v>
      </c>
      <c r="CB9" t="s">
        <v>665</v>
      </c>
      <c r="CC9" t="str">
        <f>IF(ISTEXT(VLOOKUP(Table_EH_Pre_Survey_May_20__2023_08_229[[#This Row],[Unique Identifier]], 'Post-Survey Full Set'!$D$1:$AU$72, 1, 0)), VLOOKUP(Table_EH_Pre_Survey_May_20__2023_08_229[[#This Row],[Unique Identifier]], 'Post-Survey Full Set'!$D$1:$AU$72, 43, 0), VLOOKUP(Table_EH_Pre_Survey_May_20__2023_08_229[[#This Row],[Unique Identifier]], 'Post-Survey Full Set'!$V$1:$AU$72, 25, 0))</f>
        <v/>
      </c>
    </row>
    <row r="10" spans="1:82" hidden="1" x14ac:dyDescent="0.25">
      <c r="A10" t="s">
        <v>554</v>
      </c>
      <c r="B10" t="s">
        <v>551</v>
      </c>
      <c r="C10" t="s">
        <v>42</v>
      </c>
      <c r="D10" t="s">
        <v>389</v>
      </c>
      <c r="E10" t="str">
        <f>IF(COUNTIF($D$2:$D$103, Table_EH_Pre_Survey_May_20__2023_08_229[[#This Row],[IPAddress - IP Address]])=1, "Unique", "")</f>
        <v/>
      </c>
      <c r="F10" t="str">
        <f>VLOOKUP(Table_EH_Pre_Survey_May_20__2023_08_229[[#This Row],[IPAddress - IP Address]], 'Post-Survey Full Set'!D:AU, 2, 0)</f>
        <v/>
      </c>
      <c r="G10" t="str">
        <f>VLOOKUP(Table_EH_Pre_Survey_May_20__2023_08_229[[#This Row],[IPAddress - IP Address]], 'Post-Survey Full Set'!$D$1:$AU$72, 1, 0)</f>
        <v>130.219.10.90</v>
      </c>
      <c r="I10">
        <v>1</v>
      </c>
      <c r="J10" t="s">
        <v>112</v>
      </c>
      <c r="K10">
        <f>_xlfn.NUMBERVALUE(Table_EH_Pre_Survey_May_20__2023_08_229[[#This Row],[Duration (in seconds) - Duration (in seconds)2]])</f>
        <v>143</v>
      </c>
      <c r="L10" t="s">
        <v>555</v>
      </c>
      <c r="M10" t="s">
        <v>114</v>
      </c>
      <c r="N10" t="s">
        <v>556</v>
      </c>
      <c r="O10" t="str">
        <f>VLOOKUP(Table_EH_Pre_Survey_May_20__2023_08_229[[#This Row],[LocationLatitude - Location Latitude]], 'Post-Survey Full Set'!Q:AU, 1, 0)</f>
        <v>40.7337</v>
      </c>
      <c r="P10" t="str">
        <f>VLOOKUP(Table_EH_Pre_Survey_May_20__2023_08_229[[#This Row],[LocationLongitude - Location Longitude]], 'Post-Survey Full Set'!S:AV, 1, 0)</f>
        <v>-74.1939</v>
      </c>
      <c r="Q10" t="s">
        <v>557</v>
      </c>
      <c r="R10" t="s">
        <v>111</v>
      </c>
      <c r="S10" t="s">
        <v>111</v>
      </c>
      <c r="T10" t="s">
        <v>111</v>
      </c>
      <c r="U10" t="s">
        <v>111</v>
      </c>
      <c r="V10" t="s">
        <v>392</v>
      </c>
      <c r="W10" t="str">
        <f>IF(COUNTIF($V$2:$V$103, Table_EH_Pre_Survey_May_20__2023_08_229[[#This Row],[LocationLatitude - Location Latitude]])=1, "Unique", "")</f>
        <v/>
      </c>
      <c r="X10" t="str">
        <f>VLOOKUP(Table_EH_Pre_Survey_May_20__2023_08_229[[#This Row],[LocationLatitude - Location Latitude]], 'Post-Survey Full Set'!Q:AU, 2, 0)</f>
        <v/>
      </c>
      <c r="Y10" t="s">
        <v>393</v>
      </c>
      <c r="Z10" t="e">
        <f>VLOOKUP(Table_EH_Pre_Survey_May_20__2023_08_229[[#This Row],[ResponseId - Response ID]], 'Post-Survey Full Set'!L:AU, 1, 0)</f>
        <v>#N/A</v>
      </c>
      <c r="AA10" t="s">
        <v>127</v>
      </c>
      <c r="AB10" t="s">
        <v>117</v>
      </c>
      <c r="AC10" s="35" t="s">
        <v>558</v>
      </c>
      <c r="AD10" t="e">
        <v>#N/A</v>
      </c>
      <c r="AE10" t="str">
        <f>IF(ISTEXT(Table_EH_Pre_Survey_May_20__2023_08_229[[#This Row],[Post-Survey NetID''s]]) = TRUE, "Match", "")</f>
        <v/>
      </c>
      <c r="AF10" t="str">
        <f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f>
        <v/>
      </c>
      <c r="AG10" t="str">
        <f>IF(Table_EH_Pre_Survey_May_20__2023_08_229[[#This Row],[NetID Match]] = "Match",  "Match", IF(ISTEXT(Table_EH_Pre_Survey_May_20__2023_08_229[[#This Row],[IP Address Match]]) = TRUE, "Match", ""))</f>
        <v/>
      </c>
      <c r="AH10" s="8">
        <v>4</v>
      </c>
      <c r="AI10" s="8">
        <f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f>
        <v>3</v>
      </c>
      <c r="AJ10" s="4">
        <v>4</v>
      </c>
      <c r="AK10" s="4">
        <f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f>
        <v>4</v>
      </c>
      <c r="AL10" s="4">
        <v>4</v>
      </c>
      <c r="AM10" s="4">
        <f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f>
        <v>4</v>
      </c>
      <c r="AN10" s="4">
        <v>5</v>
      </c>
      <c r="AO10" s="4">
        <f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f>
        <v>4</v>
      </c>
      <c r="AP10" s="4">
        <v>5</v>
      </c>
      <c r="AQ10" s="4">
        <f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f>
        <v>4</v>
      </c>
      <c r="AR10" s="4">
        <v>4</v>
      </c>
      <c r="AS10" s="4">
        <f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f>
        <v>5</v>
      </c>
      <c r="AT10" s="4">
        <v>5</v>
      </c>
      <c r="AU10" s="4">
        <f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f>
        <v>4</v>
      </c>
      <c r="AV10" s="4">
        <v>3</v>
      </c>
      <c r="AW10" s="4">
        <f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f>
        <v>4</v>
      </c>
      <c r="AX10" s="2">
        <v>4</v>
      </c>
      <c r="AY10" s="2">
        <f>IF(Table_EH_Pre_Survey_May_20__2023_08_229[[#This Row],[Q4]] = 3, 1, IF(Table_EH_Pre_Survey_May_20__2023_08_229[[#This Row],[Q4]] = 2.5, 0.5, IF(Table_EH_Pre_Survey_May_20__2023_08_229[[#This Row],[Q4]] = 3.5, 0.5, 0)))</f>
        <v>0</v>
      </c>
      <c r="AZ10" s="2">
        <f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f>
        <v>4</v>
      </c>
      <c r="BA10" s="2">
        <f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f>
        <v>0</v>
      </c>
      <c r="BB10" t="s">
        <v>154</v>
      </c>
      <c r="BC10">
        <f>IF(Table_EH_Pre_Survey_May_20__2023_08_229[[#This Row],[Q5 ]]="PM &lt; 2.5 μm", 1, 0)</f>
        <v>0</v>
      </c>
      <c r="BD10" t="str">
        <f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f>
        <v>PM &lt; 0.25 μm</v>
      </c>
      <c r="BE10">
        <f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f>
        <v>0</v>
      </c>
      <c r="BF10" t="s">
        <v>175</v>
      </c>
      <c r="BG10">
        <f>IF(Table_EH_Pre_Survey_May_20__2023_08_229[[#This Row],[Q6]]="Particles of this size are generally absorbed in the respiratory tract and safely excreted in mucus.", 1, 0)</f>
        <v>1</v>
      </c>
      <c r="BH10" t="str">
        <f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f>
        <v>Particles of this size reach the bronchial tree where they corrode the alveolar parenchyma.</v>
      </c>
      <c r="BI10">
        <f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f>
        <v>0</v>
      </c>
      <c r="BJ10" t="s">
        <v>156</v>
      </c>
      <c r="BK10">
        <f>IF(ISNUMBER(SEARCH("Trucks", Table_EH_Pre_Survey_May_20__2023_08_229[[#This Row],[Q7]])) = TRUE, 1, 0) + IF(ISNUMBER(SEARCH("Cars", Table_EH_Pre_Survey_May_20__2023_08_229[[#This Row],[Q7]])) = TRUE, 1, 0) + IF(ISNUMBER(SEARCH("Fireplaces", Table_EH_Pre_Survey_May_20__2023_08_229[[#This Row],[Q7]])) = TRUE, 1, 0) + IF(ISNUMBER(SEARCH("Dirt Roads", Table_EH_Pre_Survey_May_20__2023_08_229[[#This Row],[Q7]])) = TRUE, 1, 0) - IF(ISNUMBER(SEARCH("Electric Vehicles", Table_EH_Pre_Survey_May_20__2023_08_229[[#This Row],[Q7]])) = TRUE, 1, 0) - IF(ISNUMBER(SEARCH("Pollen", Table_EH_Pre_Survey_May_20__2023_08_229[[#This Row],[Q7]])) = TRUE, 1, 0)</f>
        <v>4</v>
      </c>
      <c r="BL10" t="str">
        <f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f>
        <v>Cars,Dirt Roads,Electric Vehicles,Fireplaces,Trucks</v>
      </c>
      <c r="BM10">
        <f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f>
        <v>3</v>
      </c>
      <c r="BN10">
        <v>4</v>
      </c>
      <c r="BO10">
        <f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f>
        <v>5</v>
      </c>
      <c r="BP10">
        <v>4</v>
      </c>
      <c r="BQ10">
        <f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f>
        <v>5</v>
      </c>
      <c r="BR10">
        <v>4</v>
      </c>
      <c r="BS10">
        <f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f>
        <v>5</v>
      </c>
      <c r="BT10">
        <v>4</v>
      </c>
      <c r="BU10">
        <f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f>
        <v>5</v>
      </c>
      <c r="BV10">
        <v>4</v>
      </c>
      <c r="BW10">
        <f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f>
        <v>5</v>
      </c>
      <c r="BX10">
        <v>4</v>
      </c>
      <c r="BY10">
        <f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f>
        <v>5</v>
      </c>
      <c r="BZ10">
        <v>9</v>
      </c>
      <c r="CA10">
        <f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f>
        <v>10</v>
      </c>
      <c r="CB10" t="s">
        <v>559</v>
      </c>
      <c r="CC10" t="str">
        <f>IF(ISTEXT(VLOOKUP(Table_EH_Pre_Survey_May_20__2023_08_229[[#This Row],[Unique Identifier]], 'Post-Survey Full Set'!$D$1:$AU$72, 1, 0)), VLOOKUP(Table_EH_Pre_Survey_May_20__2023_08_229[[#This Row],[Unique Identifier]], 'Post-Survey Full Set'!$D$1:$AU$72, 43, 0), VLOOKUP(Table_EH_Pre_Survey_May_20__2023_08_229[[#This Row],[Unique Identifier]], 'Post-Survey Full Set'!$V$1:$AU$72, 25, 0))</f>
        <v/>
      </c>
    </row>
    <row r="11" spans="1:82" x14ac:dyDescent="0.25">
      <c r="A11" t="s">
        <v>528</v>
      </c>
      <c r="B11" t="s">
        <v>522</v>
      </c>
      <c r="C11" t="s">
        <v>42</v>
      </c>
      <c r="D11" t="s">
        <v>389</v>
      </c>
      <c r="E11" t="str">
        <f>IF(COUNTIF($D$2:$D$103, Table_EH_Pre_Survey_May_20__2023_08_229[[#This Row],[IPAddress - IP Address]])=1, "Unique", "")</f>
        <v/>
      </c>
      <c r="F11" t="str">
        <f>VLOOKUP(Table_EH_Pre_Survey_May_20__2023_08_229[[#This Row],[IPAddress - IP Address]], 'Post-Survey Full Set'!D:AU, 2, 0)</f>
        <v/>
      </c>
      <c r="G11" t="str">
        <f>VLOOKUP(Table_EH_Pre_Survey_May_20__2023_08_229[[#This Row],[IPAddress - IP Address]], 'Post-Survey Full Set'!$D$1:$AU$72, 1, 0)</f>
        <v>130.219.10.90</v>
      </c>
      <c r="I11">
        <v>1</v>
      </c>
      <c r="J11" t="s">
        <v>112</v>
      </c>
      <c r="K11">
        <f>_xlfn.NUMBERVALUE(Table_EH_Pre_Survey_May_20__2023_08_229[[#This Row],[Duration (in seconds) - Duration (in seconds)2]])</f>
        <v>71</v>
      </c>
      <c r="L11" t="s">
        <v>529</v>
      </c>
      <c r="M11" t="s">
        <v>114</v>
      </c>
      <c r="N11" t="s">
        <v>522</v>
      </c>
      <c r="O11" t="str">
        <f>VLOOKUP(Table_EH_Pre_Survey_May_20__2023_08_229[[#This Row],[LocationLatitude - Location Latitude]], 'Post-Survey Full Set'!Q:AU, 1, 0)</f>
        <v>40.7337</v>
      </c>
      <c r="P11" t="str">
        <f>VLOOKUP(Table_EH_Pre_Survey_May_20__2023_08_229[[#This Row],[LocationLongitude - Location Longitude]], 'Post-Survey Full Set'!S:AV, 1, 0)</f>
        <v>-74.1939</v>
      </c>
      <c r="Q11" t="s">
        <v>530</v>
      </c>
      <c r="R11" t="s">
        <v>111</v>
      </c>
      <c r="S11" t="s">
        <v>111</v>
      </c>
      <c r="T11" t="s">
        <v>111</v>
      </c>
      <c r="U11" t="s">
        <v>111</v>
      </c>
      <c r="V11" t="s">
        <v>392</v>
      </c>
      <c r="W11" t="str">
        <f>IF(COUNTIF($V$2:$V$103, Table_EH_Pre_Survey_May_20__2023_08_229[[#This Row],[LocationLatitude - Location Latitude]])=1, "Unique", "")</f>
        <v/>
      </c>
      <c r="X11" t="str">
        <f>VLOOKUP(Table_EH_Pre_Survey_May_20__2023_08_229[[#This Row],[LocationLatitude - Location Latitude]], 'Post-Survey Full Set'!Q:AU, 2, 0)</f>
        <v/>
      </c>
      <c r="Y11" t="s">
        <v>393</v>
      </c>
      <c r="Z11" t="e">
        <f>VLOOKUP(Table_EH_Pre_Survey_May_20__2023_08_229[[#This Row],[ResponseId - Response ID]], 'Post-Survey Full Set'!L:AU, 1, 0)</f>
        <v>#N/A</v>
      </c>
      <c r="AA11" t="s">
        <v>487</v>
      </c>
      <c r="AB11" t="s">
        <v>117</v>
      </c>
      <c r="AC11" s="35" t="s">
        <v>531</v>
      </c>
      <c r="AD11" t="s">
        <v>531</v>
      </c>
      <c r="AE11" t="str">
        <f>IF(ISTEXT(Table_EH_Pre_Survey_May_20__2023_08_229[[#This Row],[Post-Survey NetID''s]]) = TRUE, "Match", "")</f>
        <v>Match</v>
      </c>
      <c r="AF11" t="str">
        <f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f>
        <v>Sje67</v>
      </c>
      <c r="AG11" t="str">
        <f>IF(Table_EH_Pre_Survey_May_20__2023_08_229[[#This Row],[NetID Match]] = "Match",  "Match", IF(ISTEXT(Table_EH_Pre_Survey_May_20__2023_08_229[[#This Row],[IP Address Match]]) = TRUE, "Match", ""))</f>
        <v>Match</v>
      </c>
      <c r="AH11" s="8">
        <v>4</v>
      </c>
      <c r="AI11" s="8">
        <f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f>
        <v>5</v>
      </c>
      <c r="AJ11" s="4">
        <v>4</v>
      </c>
      <c r="AK11" s="4">
        <f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f>
        <v>5</v>
      </c>
      <c r="AL11" s="4">
        <v>1</v>
      </c>
      <c r="AM11" s="4">
        <f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f>
        <v>4</v>
      </c>
      <c r="AN11" s="4">
        <v>5</v>
      </c>
      <c r="AO11" s="4">
        <f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f>
        <v>5</v>
      </c>
      <c r="AP11" s="4">
        <v>3</v>
      </c>
      <c r="AQ11" s="4">
        <f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f>
        <v>5</v>
      </c>
      <c r="AR11" s="4">
        <v>3</v>
      </c>
      <c r="AS11" s="4">
        <f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f>
        <v>5</v>
      </c>
      <c r="AT11" s="4">
        <v>5</v>
      </c>
      <c r="AU11" s="4">
        <f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f>
        <v>5</v>
      </c>
      <c r="AV11" s="4">
        <v>4</v>
      </c>
      <c r="AW11" s="4">
        <f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f>
        <v>3</v>
      </c>
      <c r="AX11" s="2">
        <v>2.5</v>
      </c>
      <c r="AY11" s="2">
        <f>IF(Table_EH_Pre_Survey_May_20__2023_08_229[[#This Row],[Q4]] = 3, 1, IF(Table_EH_Pre_Survey_May_20__2023_08_229[[#This Row],[Q4]] = 2.5, 0.5, IF(Table_EH_Pre_Survey_May_20__2023_08_229[[#This Row],[Q4]] = 3.5, 0.5, 0)))</f>
        <v>0.5</v>
      </c>
      <c r="AZ11" s="2">
        <f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f>
        <v>2.5</v>
      </c>
      <c r="BA11" s="2">
        <f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f>
        <v>0.5</v>
      </c>
      <c r="BB11" t="s">
        <v>130</v>
      </c>
      <c r="BC11">
        <f>IF(Table_EH_Pre_Survey_May_20__2023_08_229[[#This Row],[Q5 ]]="PM &lt; 2.5 μm", 1, 0)</f>
        <v>0</v>
      </c>
      <c r="BD11" t="str">
        <f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f>
        <v>PM &lt; 2.5 μm</v>
      </c>
      <c r="BE11">
        <f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f>
        <v>1</v>
      </c>
      <c r="BF11" t="s">
        <v>175</v>
      </c>
      <c r="BG11">
        <f>IF(Table_EH_Pre_Survey_May_20__2023_08_229[[#This Row],[Q6]]="Particles of this size are generally absorbed in the respiratory tract and safely excreted in mucus.", 1, 0)</f>
        <v>1</v>
      </c>
      <c r="BH11" t="str">
        <f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f>
        <v>Particles of this size include dust and pollen and are the main source of seasonal rhinitis</v>
      </c>
      <c r="BI11">
        <f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f>
        <v>0</v>
      </c>
      <c r="BJ11" t="s">
        <v>532</v>
      </c>
      <c r="BK11">
        <f>IF(ISNUMBER(SEARCH("Trucks", Table_EH_Pre_Survey_May_20__2023_08_229[[#This Row],[Q7]])) = TRUE, 1, 0) + IF(ISNUMBER(SEARCH("Cars", Table_EH_Pre_Survey_May_20__2023_08_229[[#This Row],[Q7]])) = TRUE, 1, 0) + IF(ISNUMBER(SEARCH("Fireplaces", Table_EH_Pre_Survey_May_20__2023_08_229[[#This Row],[Q7]])) = TRUE, 1, 0) + IF(ISNUMBER(SEARCH("Dirt Roads", Table_EH_Pre_Survey_May_20__2023_08_229[[#This Row],[Q7]])) = TRUE, 1, 0) - IF(ISNUMBER(SEARCH("Electric Vehicles", Table_EH_Pre_Survey_May_20__2023_08_229[[#This Row],[Q7]])) = TRUE, 1, 0) - IF(ISNUMBER(SEARCH("Pollen", Table_EH_Pre_Survey_May_20__2023_08_229[[#This Row],[Q7]])) = TRUE, 1, 0)</f>
        <v>-1</v>
      </c>
      <c r="BL11" t="str">
        <f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f>
        <v>Cars,Dirt Roads,Electric Vehicles,Fireplaces,Pollen,Trucks</v>
      </c>
      <c r="BM11">
        <f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f>
        <v>2</v>
      </c>
      <c r="BN11">
        <v>3</v>
      </c>
      <c r="BO11">
        <f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f>
        <v>4</v>
      </c>
      <c r="BP11">
        <v>2</v>
      </c>
      <c r="BQ11">
        <f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f>
        <v>4</v>
      </c>
      <c r="BR11">
        <v>4</v>
      </c>
      <c r="BS11">
        <f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f>
        <v>4</v>
      </c>
      <c r="BT11">
        <v>3</v>
      </c>
      <c r="BU11">
        <f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f>
        <v>3</v>
      </c>
      <c r="BV11">
        <v>4</v>
      </c>
      <c r="BW11">
        <f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f>
        <v>3</v>
      </c>
      <c r="BX11">
        <v>3</v>
      </c>
      <c r="BY11">
        <f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f>
        <v>4</v>
      </c>
      <c r="BZ11">
        <v>6</v>
      </c>
      <c r="CA11">
        <f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f>
        <v>9</v>
      </c>
      <c r="CB11" t="s">
        <v>111</v>
      </c>
      <c r="CC11" t="str">
        <f>IF(ISTEXT(VLOOKUP(Table_EH_Pre_Survey_May_20__2023_08_229[[#This Row],[Unique Identifier]], 'Post-Survey Full Set'!$D$1:$AU$72, 1, 0)), VLOOKUP(Table_EH_Pre_Survey_May_20__2023_08_229[[#This Row],[Unique Identifier]], 'Post-Survey Full Set'!$D$1:$AU$72, 43, 0), VLOOKUP(Table_EH_Pre_Survey_May_20__2023_08_229[[#This Row],[Unique Identifier]], 'Post-Survey Full Set'!$V$1:$AU$72, 25, 0))</f>
        <v/>
      </c>
    </row>
    <row r="12" spans="1:82" hidden="1" x14ac:dyDescent="0.25">
      <c r="A12" t="s">
        <v>260</v>
      </c>
      <c r="B12" t="s">
        <v>261</v>
      </c>
      <c r="C12" t="s">
        <v>42</v>
      </c>
      <c r="D12" t="s">
        <v>262</v>
      </c>
      <c r="E12" t="str">
        <f>IF(COUNTIF($D$2:$D$103, Table_EH_Pre_Survey_May_20__2023_08_229[[#This Row],[IPAddress - IP Address]])=1, "Unique", "")</f>
        <v>Unique</v>
      </c>
      <c r="F12" t="e">
        <f>VLOOKUP(Table_EH_Pre_Survey_May_20__2023_08_229[[#This Row],[IPAddress - IP Address]], 'Post-Survey Full Set'!D:AU, 2, 0)</f>
        <v>#N/A</v>
      </c>
      <c r="G12" t="e">
        <f>VLOOKUP(Table_EH_Pre_Survey_May_20__2023_08_229[[#This Row],[IPAddress - IP Address]], 'Post-Survey Full Set'!$D$1:$AU$72, 1, 0)</f>
        <v>#N/A</v>
      </c>
      <c r="H12" s="35" t="e">
        <v>#N/A</v>
      </c>
      <c r="I12">
        <v>1</v>
      </c>
      <c r="J12" t="s">
        <v>112</v>
      </c>
      <c r="K12">
        <f>_xlfn.NUMBERVALUE(Table_EH_Pre_Survey_May_20__2023_08_229[[#This Row],[Duration (in seconds) - Duration (in seconds)2]])</f>
        <v>184</v>
      </c>
      <c r="L12" t="s">
        <v>263</v>
      </c>
      <c r="M12" t="s">
        <v>114</v>
      </c>
      <c r="N12" t="s">
        <v>264</v>
      </c>
      <c r="O12" t="str">
        <f>VLOOKUP(Table_EH_Pre_Survey_May_20__2023_08_229[[#This Row],[LocationLatitude - Location Latitude]], 'Post-Survey Full Set'!Q:AU, 1, 0)</f>
        <v>40.5511</v>
      </c>
      <c r="P12" t="str">
        <f>VLOOKUP(Table_EH_Pre_Survey_May_20__2023_08_229[[#This Row],[LocationLongitude - Location Longitude]], 'Post-Survey Full Set'!S:AV, 1, 0)</f>
        <v>-74.4606</v>
      </c>
      <c r="Q12" t="s">
        <v>265</v>
      </c>
      <c r="R12" t="s">
        <v>111</v>
      </c>
      <c r="S12" t="s">
        <v>111</v>
      </c>
      <c r="T12" t="s">
        <v>111</v>
      </c>
      <c r="U12" t="s">
        <v>111</v>
      </c>
      <c r="V12" t="s">
        <v>115</v>
      </c>
      <c r="W12" t="str">
        <f>IF(COUNTIF($V$2:$V$103, Table_EH_Pre_Survey_May_20__2023_08_229[[#This Row],[LocationLatitude - Location Latitude]])=1, "Unique", "")</f>
        <v/>
      </c>
      <c r="X12" t="str">
        <f>VLOOKUP(Table_EH_Pre_Survey_May_20__2023_08_229[[#This Row],[LocationLatitude - Location Latitude]], 'Post-Survey Full Set'!Q:AU, 2, 0)</f>
        <v/>
      </c>
      <c r="Y12" t="s">
        <v>116</v>
      </c>
      <c r="Z12" t="e">
        <f>VLOOKUP(Table_EH_Pre_Survey_May_20__2023_08_229[[#This Row],[ResponseId - Response ID]], 'Post-Survey Full Set'!L:AU, 1, 0)</f>
        <v>#N/A</v>
      </c>
      <c r="AA12" t="s">
        <v>127</v>
      </c>
      <c r="AB12" t="s">
        <v>117</v>
      </c>
      <c r="AC12" s="35" t="s">
        <v>266</v>
      </c>
      <c r="AD12" t="e">
        <v>#N/A</v>
      </c>
      <c r="AE12" t="str">
        <f>IF(ISTEXT(Table_EH_Pre_Survey_May_20__2023_08_229[[#This Row],[Post-Survey NetID''s]]) = TRUE, "Match", "")</f>
        <v/>
      </c>
      <c r="AF12" t="str">
        <f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f>
        <v/>
      </c>
      <c r="AG12" t="str">
        <f>IF(Table_EH_Pre_Survey_May_20__2023_08_229[[#This Row],[NetID Match]] = "Match",  "Match", IF(ISTEXT(Table_EH_Pre_Survey_May_20__2023_08_229[[#This Row],[IP Address Match]]) = TRUE, "Match", ""))</f>
        <v/>
      </c>
      <c r="AH12" s="8">
        <v>4</v>
      </c>
      <c r="AI12" s="8">
        <f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f>
        <v>3</v>
      </c>
      <c r="AJ12" s="4">
        <v>4</v>
      </c>
      <c r="AK12" s="4">
        <f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f>
        <v>4</v>
      </c>
      <c r="AL12" s="4">
        <v>5</v>
      </c>
      <c r="AM12" s="4">
        <f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f>
        <v>4</v>
      </c>
      <c r="AN12" s="4">
        <v>2</v>
      </c>
      <c r="AO12" s="4">
        <f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f>
        <v>4</v>
      </c>
      <c r="AP12" s="4">
        <v>2</v>
      </c>
      <c r="AQ12" s="4">
        <f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f>
        <v>4</v>
      </c>
      <c r="AR12" s="4">
        <v>1</v>
      </c>
      <c r="AS12" s="4">
        <f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f>
        <v>5</v>
      </c>
      <c r="AT12" s="4">
        <v>5</v>
      </c>
      <c r="AU12" s="4">
        <f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f>
        <v>4</v>
      </c>
      <c r="AV12" s="4">
        <v>2</v>
      </c>
      <c r="AW12" s="4">
        <f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f>
        <v>4</v>
      </c>
      <c r="AX12" s="2">
        <v>3</v>
      </c>
      <c r="AY12" s="2">
        <f>IF(Table_EH_Pre_Survey_May_20__2023_08_229[[#This Row],[Q4]] = 3, 1, IF(Table_EH_Pre_Survey_May_20__2023_08_229[[#This Row],[Q4]] = 2.5, 0.5, IF(Table_EH_Pre_Survey_May_20__2023_08_229[[#This Row],[Q4]] = 3.5, 0.5, 0)))</f>
        <v>1</v>
      </c>
      <c r="AZ12" s="2">
        <f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f>
        <v>4</v>
      </c>
      <c r="BA12" s="2">
        <f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f>
        <v>0</v>
      </c>
      <c r="BB12" t="s">
        <v>130</v>
      </c>
      <c r="BC12">
        <f>IF(Table_EH_Pre_Survey_May_20__2023_08_229[[#This Row],[Q5 ]]="PM &lt; 2.5 μm", 1, 0)</f>
        <v>0</v>
      </c>
      <c r="BD12" t="str">
        <f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f>
        <v>PM &lt; 0.25 μm</v>
      </c>
      <c r="BE12">
        <f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f>
        <v>0</v>
      </c>
      <c r="BF12" t="s">
        <v>175</v>
      </c>
      <c r="BG12">
        <f>IF(Table_EH_Pre_Survey_May_20__2023_08_229[[#This Row],[Q6]]="Particles of this size are generally absorbed in the respiratory tract and safely excreted in mucus.", 1, 0)</f>
        <v>1</v>
      </c>
      <c r="BH12" t="str">
        <f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f>
        <v>Particles of this size reach the bronchial tree where they corrode the alveolar parenchyma.</v>
      </c>
      <c r="BI12">
        <f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f>
        <v>0</v>
      </c>
      <c r="BJ12" t="s">
        <v>258</v>
      </c>
      <c r="BK12">
        <f>IF(ISNUMBER(SEARCH("Trucks", Table_EH_Pre_Survey_May_20__2023_08_229[[#This Row],[Q7]])) = TRUE, 1, 0) + IF(ISNUMBER(SEARCH("Cars", Table_EH_Pre_Survey_May_20__2023_08_229[[#This Row],[Q7]])) = TRUE, 1, 0) + IF(ISNUMBER(SEARCH("Fireplaces", Table_EH_Pre_Survey_May_20__2023_08_229[[#This Row],[Q7]])) = TRUE, 1, 0) + IF(ISNUMBER(SEARCH("Dirt Roads", Table_EH_Pre_Survey_May_20__2023_08_229[[#This Row],[Q7]])) = TRUE, 1, 0) - IF(ISNUMBER(SEARCH("Electric Vehicles", Table_EH_Pre_Survey_May_20__2023_08_229[[#This Row],[Q7]])) = TRUE, 1, 0) - IF(ISNUMBER(SEARCH("Pollen", Table_EH_Pre_Survey_May_20__2023_08_229[[#This Row],[Q7]])) = TRUE, 1, 0)</f>
        <v>1</v>
      </c>
      <c r="BL12" t="str">
        <f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f>
        <v>Cars,Dirt Roads,Electric Vehicles,Fireplaces,Trucks</v>
      </c>
      <c r="BM12">
        <f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f>
        <v>3</v>
      </c>
      <c r="BN12">
        <v>2</v>
      </c>
      <c r="BO12">
        <f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f>
        <v>5</v>
      </c>
      <c r="BP12">
        <v>2</v>
      </c>
      <c r="BQ12">
        <f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f>
        <v>5</v>
      </c>
      <c r="BR12">
        <v>3</v>
      </c>
      <c r="BS12">
        <f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f>
        <v>5</v>
      </c>
      <c r="BT12">
        <v>2</v>
      </c>
      <c r="BU12">
        <f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f>
        <v>5</v>
      </c>
      <c r="BV12">
        <v>5</v>
      </c>
      <c r="BW12">
        <f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f>
        <v>5</v>
      </c>
      <c r="BX12">
        <v>4</v>
      </c>
      <c r="BY12">
        <f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f>
        <v>5</v>
      </c>
      <c r="BZ12">
        <v>5</v>
      </c>
      <c r="CA12">
        <f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f>
        <v>10</v>
      </c>
      <c r="CB12" t="s">
        <v>111</v>
      </c>
      <c r="CC12" t="str">
        <f>IF(ISTEXT(VLOOKUP(Table_EH_Pre_Survey_May_20__2023_08_229[[#This Row],[Unique Identifier]], 'Post-Survey Full Set'!$D$1:$AU$72, 1, 0)), VLOOKUP(Table_EH_Pre_Survey_May_20__2023_08_229[[#This Row],[Unique Identifier]], 'Post-Survey Full Set'!$D$1:$AU$72, 43, 0), VLOOKUP(Table_EH_Pre_Survey_May_20__2023_08_229[[#This Row],[Unique Identifier]], 'Post-Survey Full Set'!$V$1:$AU$72, 25, 0))</f>
        <v/>
      </c>
    </row>
    <row r="13" spans="1:82" x14ac:dyDescent="0.25">
      <c r="A13" t="s">
        <v>498</v>
      </c>
      <c r="B13" t="s">
        <v>499</v>
      </c>
      <c r="C13" t="s">
        <v>42</v>
      </c>
      <c r="D13" t="s">
        <v>500</v>
      </c>
      <c r="E13" t="str">
        <f>IF(COUNTIF($D$2:$D$103, Table_EH_Pre_Survey_May_20__2023_08_229[[#This Row],[IPAddress - IP Address]])=1, "Unique", "")</f>
        <v>Unique</v>
      </c>
      <c r="F13" t="e">
        <f>VLOOKUP(Table_EH_Pre_Survey_May_20__2023_08_229[[#This Row],[IPAddress - IP Address]], 'Post-Survey Full Set'!D:AU, 2, 0)</f>
        <v>#N/A</v>
      </c>
      <c r="G13" t="e">
        <f>VLOOKUP(Table_EH_Pre_Survey_May_20__2023_08_229[[#This Row],[IPAddress - IP Address]], 'Post-Survey Full Set'!$D$1:$AU$72, 1, 0)</f>
        <v>#N/A</v>
      </c>
      <c r="H13" s="35" t="e">
        <v>#N/A</v>
      </c>
      <c r="I13">
        <v>1</v>
      </c>
      <c r="J13" t="s">
        <v>112</v>
      </c>
      <c r="K13">
        <f>_xlfn.NUMBERVALUE(Table_EH_Pre_Survey_May_20__2023_08_229[[#This Row],[Duration (in seconds) - Duration (in seconds)2]])</f>
        <v>127</v>
      </c>
      <c r="L13" t="s">
        <v>501</v>
      </c>
      <c r="M13" t="s">
        <v>114</v>
      </c>
      <c r="N13" t="s">
        <v>502</v>
      </c>
      <c r="O13" t="str">
        <f>VLOOKUP(Table_EH_Pre_Survey_May_20__2023_08_229[[#This Row],[LocationLatitude - Location Latitude]], 'Post-Survey Full Set'!Q:AU, 1, 0)</f>
        <v>40.488</v>
      </c>
      <c r="P13" t="str">
        <f>VLOOKUP(Table_EH_Pre_Survey_May_20__2023_08_229[[#This Row],[LocationLongitude - Location Longitude]], 'Post-Survey Full Set'!S:AV, 1, 0)</f>
        <v>-74.4544</v>
      </c>
      <c r="Q13" t="s">
        <v>503</v>
      </c>
      <c r="R13" t="s">
        <v>111</v>
      </c>
      <c r="S13" t="s">
        <v>111</v>
      </c>
      <c r="T13" t="s">
        <v>111</v>
      </c>
      <c r="U13" t="s">
        <v>111</v>
      </c>
      <c r="V13" t="s">
        <v>351</v>
      </c>
      <c r="W13" t="str">
        <f>IF(COUNTIF($V$2:$V$103, Table_EH_Pre_Survey_May_20__2023_08_229[[#This Row],[LocationLatitude - Location Latitude]])=1, "Unique", "")</f>
        <v/>
      </c>
      <c r="X13" t="str">
        <f>VLOOKUP(Table_EH_Pre_Survey_May_20__2023_08_229[[#This Row],[LocationLatitude - Location Latitude]], 'Post-Survey Full Set'!Q:AU, 2, 0)</f>
        <v/>
      </c>
      <c r="Y13" t="s">
        <v>352</v>
      </c>
      <c r="Z13" t="e">
        <f>VLOOKUP(Table_EH_Pre_Survey_May_20__2023_08_229[[#This Row],[ResponseId - Response ID]], 'Post-Survey Full Set'!L:AU, 1, 0)</f>
        <v>#N/A</v>
      </c>
      <c r="AA13" t="s">
        <v>127</v>
      </c>
      <c r="AB13" t="s">
        <v>117</v>
      </c>
      <c r="AC13" s="35" t="s">
        <v>504</v>
      </c>
      <c r="AD13" t="s">
        <v>504</v>
      </c>
      <c r="AE13" t="str">
        <f>IF(ISTEXT(Table_EH_Pre_Survey_May_20__2023_08_229[[#This Row],[Post-Survey NetID''s]]) = TRUE, "Match", "")</f>
        <v>Match</v>
      </c>
      <c r="AF13" t="str">
        <f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f>
        <v>Sef122</v>
      </c>
      <c r="AG13" t="str">
        <f>IF(Table_EH_Pre_Survey_May_20__2023_08_229[[#This Row],[NetID Match]] = "Match",  "Match", IF(ISTEXT(Table_EH_Pre_Survey_May_20__2023_08_229[[#This Row],[IP Address Match]]) = TRUE, "Match", ""))</f>
        <v>Match</v>
      </c>
      <c r="AH13" s="8">
        <v>3</v>
      </c>
      <c r="AI13" s="8">
        <f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f>
        <v>4</v>
      </c>
      <c r="AJ13" s="4">
        <v>3</v>
      </c>
      <c r="AK13" s="4">
        <f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f>
        <v>4</v>
      </c>
      <c r="AL13" s="4">
        <v>3</v>
      </c>
      <c r="AM13" s="4">
        <f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f>
        <v>3</v>
      </c>
      <c r="AN13" s="4">
        <v>4</v>
      </c>
      <c r="AO13" s="4">
        <f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f>
        <v>5</v>
      </c>
      <c r="AP13" s="4">
        <v>3</v>
      </c>
      <c r="AQ13" s="4">
        <f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f>
        <v>3</v>
      </c>
      <c r="AR13" s="4">
        <v>4</v>
      </c>
      <c r="AS13" s="4">
        <f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f>
        <v>4</v>
      </c>
      <c r="AT13" s="4">
        <v>5</v>
      </c>
      <c r="AU13" s="4">
        <f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f>
        <v>5</v>
      </c>
      <c r="AV13" s="4">
        <v>2</v>
      </c>
      <c r="AW13" s="4">
        <f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f>
        <v>3</v>
      </c>
      <c r="AX13" s="2">
        <v>4</v>
      </c>
      <c r="AY13" s="2">
        <f>IF(Table_EH_Pre_Survey_May_20__2023_08_229[[#This Row],[Q4]] = 3, 1, IF(Table_EH_Pre_Survey_May_20__2023_08_229[[#This Row],[Q4]] = 2.5, 0.5, IF(Table_EH_Pre_Survey_May_20__2023_08_229[[#This Row],[Q4]] = 3.5, 0.5, 0)))</f>
        <v>0</v>
      </c>
      <c r="AZ13" s="2">
        <f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f>
        <v>4</v>
      </c>
      <c r="BA13" s="2">
        <f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f>
        <v>0</v>
      </c>
      <c r="BB13" t="s">
        <v>185</v>
      </c>
      <c r="BC13">
        <f>IF(Table_EH_Pre_Survey_May_20__2023_08_229[[#This Row],[Q5 ]]="PM &lt; 2.5 μm", 1, 0)</f>
        <v>0</v>
      </c>
      <c r="BD13" t="str">
        <f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f>
        <v>PM &lt; 2.5 μm</v>
      </c>
      <c r="BE13">
        <f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f>
        <v>1</v>
      </c>
      <c r="BF13" t="s">
        <v>141</v>
      </c>
      <c r="BG13">
        <f>IF(Table_EH_Pre_Survey_May_20__2023_08_229[[#This Row],[Q6]]="Particles of this size are generally absorbed in the respiratory tract and safely excreted in mucus.", 1, 0)</f>
        <v>0</v>
      </c>
      <c r="BH13" t="str">
        <f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f>
        <v>Particles of this size are generally absorbed in the respiratory tract and safely excreted in mucus.</v>
      </c>
      <c r="BI13">
        <f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f>
        <v>1</v>
      </c>
      <c r="BJ13" t="s">
        <v>186</v>
      </c>
      <c r="BK13">
        <f>IF(ISNUMBER(SEARCH("Trucks", Table_EH_Pre_Survey_May_20__2023_08_229[[#This Row],[Q7]])) = TRUE, 1, 0) + IF(ISNUMBER(SEARCH("Cars", Table_EH_Pre_Survey_May_20__2023_08_229[[#This Row],[Q7]])) = TRUE, 1, 0) + IF(ISNUMBER(SEARCH("Fireplaces", Table_EH_Pre_Survey_May_20__2023_08_229[[#This Row],[Q7]])) = TRUE, 1, 0) + IF(ISNUMBER(SEARCH("Dirt Roads", Table_EH_Pre_Survey_May_20__2023_08_229[[#This Row],[Q7]])) = TRUE, 1, 0) - IF(ISNUMBER(SEARCH("Electric Vehicles", Table_EH_Pre_Survey_May_20__2023_08_229[[#This Row],[Q7]])) = TRUE, 1, 0) - IF(ISNUMBER(SEARCH("Pollen", Table_EH_Pre_Survey_May_20__2023_08_229[[#This Row],[Q7]])) = TRUE, 1, 0)</f>
        <v>3</v>
      </c>
      <c r="BL13" t="str">
        <f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f>
        <v>Cars,Dirt Roads,Fireplaces,Pollen,Trucks</v>
      </c>
      <c r="BM13">
        <f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f>
        <v>3</v>
      </c>
      <c r="BN13">
        <v>3</v>
      </c>
      <c r="BO13">
        <f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f>
        <v>5</v>
      </c>
      <c r="BP13">
        <v>3</v>
      </c>
      <c r="BQ13">
        <f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f>
        <v>5</v>
      </c>
      <c r="BR13">
        <v>3</v>
      </c>
      <c r="BS13">
        <f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f>
        <v>5</v>
      </c>
      <c r="BT13">
        <v>3</v>
      </c>
      <c r="BU13">
        <f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f>
        <v>5</v>
      </c>
      <c r="BV13">
        <v>3</v>
      </c>
      <c r="BW13">
        <f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f>
        <v>5</v>
      </c>
      <c r="BX13">
        <v>3</v>
      </c>
      <c r="BY13">
        <f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f>
        <v>5</v>
      </c>
      <c r="BZ13">
        <v>8</v>
      </c>
      <c r="CA13">
        <f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f>
        <v>9</v>
      </c>
      <c r="CB13" t="s">
        <v>111</v>
      </c>
      <c r="CC13" t="str">
        <f>IF(ISTEXT(VLOOKUP(Table_EH_Pre_Survey_May_20__2023_08_229[[#This Row],[Unique Identifier]], 'Post-Survey Full Set'!$D$1:$AU$72, 1, 0)), VLOOKUP(Table_EH_Pre_Survey_May_20__2023_08_229[[#This Row],[Unique Identifier]], 'Post-Survey Full Set'!$D$1:$AU$72, 43, 0), VLOOKUP(Table_EH_Pre_Survey_May_20__2023_08_229[[#This Row],[Unique Identifier]], 'Post-Survey Full Set'!$V$1:$AU$72, 25, 0))</f>
        <v/>
      </c>
    </row>
    <row r="14" spans="1:82" x14ac:dyDescent="0.25">
      <c r="A14" t="s">
        <v>806</v>
      </c>
      <c r="B14" t="s">
        <v>807</v>
      </c>
      <c r="C14" t="s">
        <v>42</v>
      </c>
      <c r="D14" t="s">
        <v>808</v>
      </c>
      <c r="E14" t="str">
        <f>IF(COUNTIF($D$2:$D$103, Table_EH_Pre_Survey_May_20__2023_08_229[[#This Row],[IPAddress - IP Address]])=1, "Unique", "")</f>
        <v>Unique</v>
      </c>
      <c r="F14" t="str">
        <f>VLOOKUP(Table_EH_Pre_Survey_May_20__2023_08_229[[#This Row],[IPAddress - IP Address]], 'Post-Survey Full Set'!D:AU, 2, 0)</f>
        <v>Unique</v>
      </c>
      <c r="G14" t="str">
        <f>VLOOKUP(Table_EH_Pre_Survey_May_20__2023_08_229[[#This Row],[IPAddress - IP Address]], 'Post-Survey Full Set'!$D$1:$AU$72, 1, 0)</f>
        <v>108.35.253.186</v>
      </c>
      <c r="H14" s="35" t="s">
        <v>808</v>
      </c>
      <c r="I14">
        <v>1</v>
      </c>
      <c r="J14" t="s">
        <v>112</v>
      </c>
      <c r="K14">
        <f>_xlfn.NUMBERVALUE(Table_EH_Pre_Survey_May_20__2023_08_229[[#This Row],[Duration (in seconds) - Duration (in seconds)2]])</f>
        <v>193</v>
      </c>
      <c r="L14" t="s">
        <v>809</v>
      </c>
      <c r="M14" t="s">
        <v>114</v>
      </c>
      <c r="N14" t="s">
        <v>807</v>
      </c>
      <c r="O14" t="str">
        <f>VLOOKUP(Table_EH_Pre_Survey_May_20__2023_08_229[[#This Row],[LocationLatitude - Location Latitude]], 'Post-Survey Full Set'!Q:AU, 1, 0)</f>
        <v>40.4992</v>
      </c>
      <c r="P14" t="str">
        <f>VLOOKUP(Table_EH_Pre_Survey_May_20__2023_08_229[[#This Row],[LocationLongitude - Location Longitude]], 'Post-Survey Full Set'!S:AV, 1, 0)</f>
        <v>-74.4996</v>
      </c>
      <c r="Q14" t="s">
        <v>810</v>
      </c>
      <c r="R14" t="s">
        <v>111</v>
      </c>
      <c r="S14" t="s">
        <v>111</v>
      </c>
      <c r="T14" t="s">
        <v>111</v>
      </c>
      <c r="U14" t="s">
        <v>111</v>
      </c>
      <c r="V14" t="s">
        <v>164</v>
      </c>
      <c r="W14" t="str">
        <f>IF(COUNTIF($V$2:$V$103, Table_EH_Pre_Survey_May_20__2023_08_229[[#This Row],[LocationLatitude - Location Latitude]])=1, "Unique", "")</f>
        <v/>
      </c>
      <c r="X14" t="str">
        <f>VLOOKUP(Table_EH_Pre_Survey_May_20__2023_08_229[[#This Row],[LocationLatitude - Location Latitude]], 'Post-Survey Full Set'!Q:AU, 2, 0)</f>
        <v>Unique</v>
      </c>
      <c r="Y14" t="s">
        <v>165</v>
      </c>
      <c r="Z14" t="e">
        <f>VLOOKUP(Table_EH_Pre_Survey_May_20__2023_08_229[[#This Row],[ResponseId - Response ID]], 'Post-Survey Full Set'!L:AU, 1, 0)</f>
        <v>#N/A</v>
      </c>
      <c r="AA14" t="s">
        <v>127</v>
      </c>
      <c r="AB14" t="s">
        <v>117</v>
      </c>
      <c r="AC14" s="35" t="s">
        <v>811</v>
      </c>
      <c r="AD14" t="s">
        <v>1163</v>
      </c>
      <c r="AE14" t="str">
        <f>IF(ISTEXT(Table_EH_Pre_Survey_May_20__2023_08_229[[#This Row],[Post-Survey NetID''s]]) = TRUE, "Match", "")</f>
        <v>Match</v>
      </c>
      <c r="AF14" t="str">
        <f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f>
        <v>sc1700</v>
      </c>
      <c r="AG14" t="str">
        <f>IF(Table_EH_Pre_Survey_May_20__2023_08_229[[#This Row],[NetID Match]] = "Match",  "Match", IF(ISTEXT(Table_EH_Pre_Survey_May_20__2023_08_229[[#This Row],[IP Address Match]]) = TRUE, "Match", ""))</f>
        <v>Match</v>
      </c>
      <c r="AH14" s="8">
        <v>4</v>
      </c>
      <c r="AI14" s="8">
        <f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f>
        <v>5</v>
      </c>
      <c r="AJ14" s="4">
        <v>2</v>
      </c>
      <c r="AK14" s="4">
        <f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f>
        <v>4</v>
      </c>
      <c r="AL14" s="4">
        <v>3</v>
      </c>
      <c r="AM14" s="4">
        <f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f>
        <v>4</v>
      </c>
      <c r="AN14" s="4">
        <v>4</v>
      </c>
      <c r="AO14" s="4">
        <f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f>
        <v>4</v>
      </c>
      <c r="AP14" s="4">
        <v>4</v>
      </c>
      <c r="AQ14" s="4">
        <f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f>
        <v>2</v>
      </c>
      <c r="AR14" s="4">
        <v>4</v>
      </c>
      <c r="AS14" s="4">
        <f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f>
        <v>3</v>
      </c>
      <c r="AT14" s="4">
        <v>4</v>
      </c>
      <c r="AU14" s="4">
        <f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f>
        <v>5</v>
      </c>
      <c r="AV14" s="4">
        <v>2</v>
      </c>
      <c r="AW14" s="4">
        <f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f>
        <v>3</v>
      </c>
      <c r="AX14" s="2">
        <v>3</v>
      </c>
      <c r="AY14" s="2">
        <f>IF(Table_EH_Pre_Survey_May_20__2023_08_229[[#This Row],[Q4]] = 3, 1, IF(Table_EH_Pre_Survey_May_20__2023_08_229[[#This Row],[Q4]] = 2.5, 0.5, IF(Table_EH_Pre_Survey_May_20__2023_08_229[[#This Row],[Q4]] = 3.5, 0.5, 0)))</f>
        <v>1</v>
      </c>
      <c r="AZ14" s="2">
        <f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f>
        <v>3</v>
      </c>
      <c r="BA14" s="2">
        <f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f>
        <v>1</v>
      </c>
      <c r="BB14" t="s">
        <v>140</v>
      </c>
      <c r="BC14">
        <f>IF(Table_EH_Pre_Survey_May_20__2023_08_229[[#This Row],[Q5 ]]="PM &lt; 2.5 μm", 1, 0)</f>
        <v>1</v>
      </c>
      <c r="BD14" t="str">
        <f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f>
        <v>PM &lt; 2.5 μm</v>
      </c>
      <c r="BE14">
        <f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f>
        <v>1</v>
      </c>
      <c r="BF14" t="s">
        <v>141</v>
      </c>
      <c r="BG14">
        <f>IF(Table_EH_Pre_Survey_May_20__2023_08_229[[#This Row],[Q6]]="Particles of this size are generally absorbed in the respiratory tract and safely excreted in mucus.", 1, 0)</f>
        <v>0</v>
      </c>
      <c r="BH14" t="str">
        <f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f>
        <v>Particles of this size include dust and pollen and are the main source of seasonal rhinitis</v>
      </c>
      <c r="BI14">
        <f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f>
        <v>0</v>
      </c>
      <c r="BJ14" t="s">
        <v>167</v>
      </c>
      <c r="BK14">
        <f>IF(ISNUMBER(SEARCH("Trucks", Table_EH_Pre_Survey_May_20__2023_08_229[[#This Row],[Q7]])) = TRUE, 1, 0) + IF(ISNUMBER(SEARCH("Cars", Table_EH_Pre_Survey_May_20__2023_08_229[[#This Row],[Q7]])) = TRUE, 1, 0) + IF(ISNUMBER(SEARCH("Fireplaces", Table_EH_Pre_Survey_May_20__2023_08_229[[#This Row],[Q7]])) = TRUE, 1, 0) + IF(ISNUMBER(SEARCH("Dirt Roads", Table_EH_Pre_Survey_May_20__2023_08_229[[#This Row],[Q7]])) = TRUE, 1, 0) - IF(ISNUMBER(SEARCH("Electric Vehicles", Table_EH_Pre_Survey_May_20__2023_08_229[[#This Row],[Q7]])) = TRUE, 1, 0) - IF(ISNUMBER(SEARCH("Pollen", Table_EH_Pre_Survey_May_20__2023_08_229[[#This Row],[Q7]])) = TRUE, 1, 0)</f>
        <v>3</v>
      </c>
      <c r="BL14" t="str">
        <f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f>
        <v>Cars,Trucks</v>
      </c>
      <c r="BM14">
        <f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f>
        <v>2</v>
      </c>
      <c r="BN14">
        <v>3</v>
      </c>
      <c r="BO14">
        <f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f>
        <v>4</v>
      </c>
      <c r="BP14">
        <v>2</v>
      </c>
      <c r="BQ14">
        <f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f>
        <v>4</v>
      </c>
      <c r="BR14">
        <v>3</v>
      </c>
      <c r="BS14">
        <f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f>
        <v>4</v>
      </c>
      <c r="BT14">
        <v>3</v>
      </c>
      <c r="BU14">
        <f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f>
        <v>4</v>
      </c>
      <c r="BV14">
        <v>3</v>
      </c>
      <c r="BW14">
        <f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f>
        <v>4</v>
      </c>
      <c r="BX14">
        <v>3</v>
      </c>
      <c r="BY14">
        <f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f>
        <v>5</v>
      </c>
      <c r="BZ14">
        <v>8</v>
      </c>
      <c r="CA14">
        <f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f>
        <v>9</v>
      </c>
      <c r="CB14" t="s">
        <v>812</v>
      </c>
      <c r="CC14" t="str">
        <f>IF(ISTEXT(VLOOKUP(Table_EH_Pre_Survey_May_20__2023_08_229[[#This Row],[Unique Identifier]], 'Post-Survey Full Set'!$D$1:$AU$72, 1, 0)), VLOOKUP(Table_EH_Pre_Survey_May_20__2023_08_229[[#This Row],[Unique Identifier]], 'Post-Survey Full Set'!$D$1:$AU$72, 43, 0), VLOOKUP(Table_EH_Pre_Survey_May_20__2023_08_229[[#This Row],[Unique Identifier]], 'Post-Survey Full Set'!$V$1:$AU$72, 25, 0))</f>
        <v>Loved this!</v>
      </c>
    </row>
    <row r="15" spans="1:82" hidden="1" x14ac:dyDescent="0.25">
      <c r="A15" t="s">
        <v>387</v>
      </c>
      <c r="B15" t="s">
        <v>388</v>
      </c>
      <c r="C15" t="s">
        <v>42</v>
      </c>
      <c r="D15" t="s">
        <v>389</v>
      </c>
      <c r="E15" t="str">
        <f>IF(COUNTIF($D$2:$D$103, Table_EH_Pre_Survey_May_20__2023_08_229[[#This Row],[IPAddress - IP Address]])=1, "Unique", "")</f>
        <v/>
      </c>
      <c r="F15" t="str">
        <f>VLOOKUP(Table_EH_Pre_Survey_May_20__2023_08_229[[#This Row],[IPAddress - IP Address]], 'Post-Survey Full Set'!D:AU, 2, 0)</f>
        <v/>
      </c>
      <c r="G15" t="str">
        <f>VLOOKUP(Table_EH_Pre_Survey_May_20__2023_08_229[[#This Row],[IPAddress - IP Address]], 'Post-Survey Full Set'!$D$1:$AU$72, 1, 0)</f>
        <v>130.219.10.90</v>
      </c>
      <c r="I15">
        <v>1</v>
      </c>
      <c r="J15" t="s">
        <v>112</v>
      </c>
      <c r="K15">
        <f>_xlfn.NUMBERVALUE(Table_EH_Pre_Survey_May_20__2023_08_229[[#This Row],[Duration (in seconds) - Duration (in seconds)2]])</f>
        <v>159</v>
      </c>
      <c r="L15" t="s">
        <v>390</v>
      </c>
      <c r="M15" t="s">
        <v>114</v>
      </c>
      <c r="N15" t="s">
        <v>388</v>
      </c>
      <c r="O15" t="str">
        <f>VLOOKUP(Table_EH_Pre_Survey_May_20__2023_08_229[[#This Row],[LocationLatitude - Location Latitude]], 'Post-Survey Full Set'!Q:AU, 1, 0)</f>
        <v>40.7337</v>
      </c>
      <c r="P15" t="str">
        <f>VLOOKUP(Table_EH_Pre_Survey_May_20__2023_08_229[[#This Row],[LocationLongitude - Location Longitude]], 'Post-Survey Full Set'!S:AV, 1, 0)</f>
        <v>-74.1939</v>
      </c>
      <c r="Q15" t="s">
        <v>391</v>
      </c>
      <c r="R15" t="s">
        <v>111</v>
      </c>
      <c r="S15" t="s">
        <v>111</v>
      </c>
      <c r="T15" t="s">
        <v>111</v>
      </c>
      <c r="U15" t="s">
        <v>111</v>
      </c>
      <c r="V15" t="s">
        <v>392</v>
      </c>
      <c r="W15" t="str">
        <f>IF(COUNTIF($V$2:$V$103, Table_EH_Pre_Survey_May_20__2023_08_229[[#This Row],[LocationLatitude - Location Latitude]])=1, "Unique", "")</f>
        <v/>
      </c>
      <c r="X15" t="str">
        <f>VLOOKUP(Table_EH_Pre_Survey_May_20__2023_08_229[[#This Row],[LocationLatitude - Location Latitude]], 'Post-Survey Full Set'!Q:AU, 2, 0)</f>
        <v/>
      </c>
      <c r="Y15" t="s">
        <v>393</v>
      </c>
      <c r="Z15" t="e">
        <f>VLOOKUP(Table_EH_Pre_Survey_May_20__2023_08_229[[#This Row],[ResponseId - Response ID]], 'Post-Survey Full Set'!L:AU, 1, 0)</f>
        <v>#N/A</v>
      </c>
      <c r="AA15" t="s">
        <v>127</v>
      </c>
      <c r="AB15" t="s">
        <v>117</v>
      </c>
      <c r="AC15" s="35" t="s">
        <v>394</v>
      </c>
      <c r="AD15" t="e">
        <v>#N/A</v>
      </c>
      <c r="AE15" t="str">
        <f>IF(ISTEXT(Table_EH_Pre_Survey_May_20__2023_08_229[[#This Row],[Post-Survey NetID''s]]) = TRUE, "Match", "")</f>
        <v/>
      </c>
      <c r="AF15" t="str">
        <f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f>
        <v/>
      </c>
      <c r="AG15" t="str">
        <f>IF(Table_EH_Pre_Survey_May_20__2023_08_229[[#This Row],[NetID Match]] = "Match",  "Match", IF(ISTEXT(Table_EH_Pre_Survey_May_20__2023_08_229[[#This Row],[IP Address Match]]) = TRUE, "Match", ""))</f>
        <v/>
      </c>
      <c r="AH15" s="8">
        <v>4</v>
      </c>
      <c r="AI15" s="8">
        <f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f>
        <v>3</v>
      </c>
      <c r="AJ15" s="4">
        <v>4</v>
      </c>
      <c r="AK15" s="4">
        <f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f>
        <v>4</v>
      </c>
      <c r="AL15" s="4">
        <v>5</v>
      </c>
      <c r="AM15" s="4">
        <f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f>
        <v>4</v>
      </c>
      <c r="AN15" s="4">
        <v>5</v>
      </c>
      <c r="AO15" s="4">
        <f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f>
        <v>4</v>
      </c>
      <c r="AP15" s="4">
        <v>1</v>
      </c>
      <c r="AQ15" s="4">
        <f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f>
        <v>4</v>
      </c>
      <c r="AR15" s="4">
        <v>4</v>
      </c>
      <c r="AS15" s="4">
        <f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f>
        <v>5</v>
      </c>
      <c r="AT15" s="4">
        <v>5</v>
      </c>
      <c r="AU15" s="4">
        <f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f>
        <v>4</v>
      </c>
      <c r="AV15" s="4">
        <v>2</v>
      </c>
      <c r="AW15" s="4">
        <f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f>
        <v>4</v>
      </c>
      <c r="AX15" s="2">
        <v>4.5</v>
      </c>
      <c r="AY15" s="2">
        <f>IF(Table_EH_Pre_Survey_May_20__2023_08_229[[#This Row],[Q4]] = 3, 1, IF(Table_EH_Pre_Survey_May_20__2023_08_229[[#This Row],[Q4]] = 2.5, 0.5, IF(Table_EH_Pre_Survey_May_20__2023_08_229[[#This Row],[Q4]] = 3.5, 0.5, 0)))</f>
        <v>0</v>
      </c>
      <c r="AZ15" s="2">
        <f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f>
        <v>4</v>
      </c>
      <c r="BA15" s="2">
        <f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f>
        <v>0</v>
      </c>
      <c r="BB15" t="s">
        <v>185</v>
      </c>
      <c r="BC15">
        <f>IF(Table_EH_Pre_Survey_May_20__2023_08_229[[#This Row],[Q5 ]]="PM &lt; 2.5 μm", 1, 0)</f>
        <v>0</v>
      </c>
      <c r="BD15" t="str">
        <f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f>
        <v>PM &lt; 0.25 μm</v>
      </c>
      <c r="BE15">
        <f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f>
        <v>0</v>
      </c>
      <c r="BF15" t="s">
        <v>155</v>
      </c>
      <c r="BG15">
        <f>IF(Table_EH_Pre_Survey_May_20__2023_08_229[[#This Row],[Q6]]="Particles of this size are generally absorbed in the respiratory tract and safely excreted in mucus.", 1, 0)</f>
        <v>0</v>
      </c>
      <c r="BH15" t="str">
        <f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f>
        <v>Particles of this size reach the bronchial tree where they corrode the alveolar parenchyma.</v>
      </c>
      <c r="BI15">
        <f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f>
        <v>0</v>
      </c>
      <c r="BJ15" t="s">
        <v>156</v>
      </c>
      <c r="BK15">
        <f>IF(ISNUMBER(SEARCH("Trucks", Table_EH_Pre_Survey_May_20__2023_08_229[[#This Row],[Q7]])) = TRUE, 1, 0) + IF(ISNUMBER(SEARCH("Cars", Table_EH_Pre_Survey_May_20__2023_08_229[[#This Row],[Q7]])) = TRUE, 1, 0) + IF(ISNUMBER(SEARCH("Fireplaces", Table_EH_Pre_Survey_May_20__2023_08_229[[#This Row],[Q7]])) = TRUE, 1, 0) + IF(ISNUMBER(SEARCH("Dirt Roads", Table_EH_Pre_Survey_May_20__2023_08_229[[#This Row],[Q7]])) = TRUE, 1, 0) - IF(ISNUMBER(SEARCH("Electric Vehicles", Table_EH_Pre_Survey_May_20__2023_08_229[[#This Row],[Q7]])) = TRUE, 1, 0) - IF(ISNUMBER(SEARCH("Pollen", Table_EH_Pre_Survey_May_20__2023_08_229[[#This Row],[Q7]])) = TRUE, 1, 0)</f>
        <v>4</v>
      </c>
      <c r="BL15" t="str">
        <f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f>
        <v>Cars,Dirt Roads,Electric Vehicles,Fireplaces,Trucks</v>
      </c>
      <c r="BM15">
        <f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f>
        <v>3</v>
      </c>
      <c r="BN15">
        <v>1</v>
      </c>
      <c r="BO15">
        <f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f>
        <v>5</v>
      </c>
      <c r="BP15">
        <v>1</v>
      </c>
      <c r="BQ15">
        <f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f>
        <v>5</v>
      </c>
      <c r="BR15">
        <v>2</v>
      </c>
      <c r="BS15">
        <f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f>
        <v>5</v>
      </c>
      <c r="BT15">
        <v>1</v>
      </c>
      <c r="BU15">
        <f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f>
        <v>5</v>
      </c>
      <c r="BV15">
        <v>2</v>
      </c>
      <c r="BW15">
        <f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f>
        <v>5</v>
      </c>
      <c r="BX15">
        <v>2</v>
      </c>
      <c r="BY15">
        <f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f>
        <v>5</v>
      </c>
      <c r="BZ15">
        <v>6</v>
      </c>
      <c r="CA15">
        <f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f>
        <v>10</v>
      </c>
      <c r="CB15" t="s">
        <v>395</v>
      </c>
      <c r="CC15" t="str">
        <f>IF(ISTEXT(VLOOKUP(Table_EH_Pre_Survey_May_20__2023_08_229[[#This Row],[Unique Identifier]], 'Post-Survey Full Set'!$D$1:$AU$72, 1, 0)), VLOOKUP(Table_EH_Pre_Survey_May_20__2023_08_229[[#This Row],[Unique Identifier]], 'Post-Survey Full Set'!$D$1:$AU$72, 43, 0), VLOOKUP(Table_EH_Pre_Survey_May_20__2023_08_229[[#This Row],[Unique Identifier]], 'Post-Survey Full Set'!$V$1:$AU$72, 25, 0))</f>
        <v/>
      </c>
    </row>
    <row r="16" spans="1:82" x14ac:dyDescent="0.25">
      <c r="A16" t="s">
        <v>605</v>
      </c>
      <c r="B16" t="s">
        <v>600</v>
      </c>
      <c r="C16" t="s">
        <v>42</v>
      </c>
      <c r="D16" t="s">
        <v>606</v>
      </c>
      <c r="E16" t="str">
        <f>IF(COUNTIF($D$2:$D$103, Table_EH_Pre_Survey_May_20__2023_08_229[[#This Row],[IPAddress - IP Address]])=1, "Unique", "")</f>
        <v>Unique</v>
      </c>
      <c r="F16" t="str">
        <f>VLOOKUP(Table_EH_Pre_Survey_May_20__2023_08_229[[#This Row],[IPAddress - IP Address]], 'Post-Survey Full Set'!D:AU, 2, 0)</f>
        <v>Unique</v>
      </c>
      <c r="G16" t="str">
        <f>VLOOKUP(Table_EH_Pre_Survey_May_20__2023_08_229[[#This Row],[IPAddress - IP Address]], 'Post-Survey Full Set'!$D$1:$AU$72, 1, 0)</f>
        <v>128.6.37.253</v>
      </c>
      <c r="H16" s="35" t="s">
        <v>606</v>
      </c>
      <c r="I16">
        <v>1</v>
      </c>
      <c r="J16" t="s">
        <v>112</v>
      </c>
      <c r="K16">
        <f>_xlfn.NUMBERVALUE(Table_EH_Pre_Survey_May_20__2023_08_229[[#This Row],[Duration (in seconds) - Duration (in seconds)2]])</f>
        <v>206</v>
      </c>
      <c r="L16" t="s">
        <v>607</v>
      </c>
      <c r="M16" t="s">
        <v>114</v>
      </c>
      <c r="N16" t="s">
        <v>600</v>
      </c>
      <c r="O16" t="str">
        <f>VLOOKUP(Table_EH_Pre_Survey_May_20__2023_08_229[[#This Row],[LocationLatitude - Location Latitude]], 'Post-Survey Full Set'!Q:AU, 1, 0)</f>
        <v>40.488</v>
      </c>
      <c r="P16" t="str">
        <f>VLOOKUP(Table_EH_Pre_Survey_May_20__2023_08_229[[#This Row],[LocationLongitude - Location Longitude]], 'Post-Survey Full Set'!S:AV, 1, 0)</f>
        <v>-74.4544</v>
      </c>
      <c r="Q16" t="s">
        <v>608</v>
      </c>
      <c r="R16" t="s">
        <v>111</v>
      </c>
      <c r="S16" t="s">
        <v>111</v>
      </c>
      <c r="T16" t="s">
        <v>111</v>
      </c>
      <c r="U16" t="s">
        <v>111</v>
      </c>
      <c r="V16" t="s">
        <v>351</v>
      </c>
      <c r="W16" t="str">
        <f>IF(COUNTIF($V$2:$V$103, Table_EH_Pre_Survey_May_20__2023_08_229[[#This Row],[LocationLatitude - Location Latitude]])=1, "Unique", "")</f>
        <v/>
      </c>
      <c r="X16" t="str">
        <f>VLOOKUP(Table_EH_Pre_Survey_May_20__2023_08_229[[#This Row],[LocationLatitude - Location Latitude]], 'Post-Survey Full Set'!Q:AU, 2, 0)</f>
        <v/>
      </c>
      <c r="Y16" t="s">
        <v>352</v>
      </c>
      <c r="Z16" t="e">
        <f>VLOOKUP(Table_EH_Pre_Survey_May_20__2023_08_229[[#This Row],[ResponseId - Response ID]], 'Post-Survey Full Set'!L:AU, 1, 0)</f>
        <v>#N/A</v>
      </c>
      <c r="AA16" t="s">
        <v>487</v>
      </c>
      <c r="AB16" t="s">
        <v>117</v>
      </c>
      <c r="AC16" s="35" t="s">
        <v>609</v>
      </c>
      <c r="AD16" t="e">
        <v>#N/A</v>
      </c>
      <c r="AE16" t="str">
        <f>IF(ISTEXT(Table_EH_Pre_Survey_May_20__2023_08_229[[#This Row],[Post-Survey NetID''s]]) = TRUE, "Match", "")</f>
        <v/>
      </c>
      <c r="AF16" t="str">
        <f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f>
        <v>128.6.37.253</v>
      </c>
      <c r="AG16" t="str">
        <f>IF(Table_EH_Pre_Survey_May_20__2023_08_229[[#This Row],[NetID Match]] = "Match",  "Match", IF(ISTEXT(Table_EH_Pre_Survey_May_20__2023_08_229[[#This Row],[IP Address Match]]) = TRUE, "Match", ""))</f>
        <v>Match</v>
      </c>
      <c r="AH16" s="8">
        <v>4</v>
      </c>
      <c r="AI16" s="8">
        <f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f>
        <v>4</v>
      </c>
      <c r="AJ16" s="4">
        <v>3</v>
      </c>
      <c r="AK16" s="4">
        <f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f>
        <v>4</v>
      </c>
      <c r="AL16" s="4">
        <v>4</v>
      </c>
      <c r="AM16" s="4">
        <f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f>
        <v>4</v>
      </c>
      <c r="AN16" s="4">
        <v>5</v>
      </c>
      <c r="AO16" s="4">
        <f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f>
        <v>4</v>
      </c>
      <c r="AP16" s="4">
        <v>3</v>
      </c>
      <c r="AQ16" s="4">
        <f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f>
        <v>2</v>
      </c>
      <c r="AR16" s="4">
        <v>4</v>
      </c>
      <c r="AS16" s="4">
        <f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f>
        <v>3</v>
      </c>
      <c r="AT16" s="4">
        <v>5</v>
      </c>
      <c r="AU16" s="4">
        <f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f>
        <v>5</v>
      </c>
      <c r="AV16" s="4">
        <v>3</v>
      </c>
      <c r="AW16" s="4">
        <f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f>
        <v>3</v>
      </c>
      <c r="AX16" s="2">
        <v>4</v>
      </c>
      <c r="AY16" s="2">
        <f>IF(Table_EH_Pre_Survey_May_20__2023_08_229[[#This Row],[Q4]] = 3, 1, IF(Table_EH_Pre_Survey_May_20__2023_08_229[[#This Row],[Q4]] = 2.5, 0.5, IF(Table_EH_Pre_Survey_May_20__2023_08_229[[#This Row],[Q4]] = 3.5, 0.5, 0)))</f>
        <v>0</v>
      </c>
      <c r="AZ16" s="2">
        <f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f>
        <v>3</v>
      </c>
      <c r="BA16" s="2">
        <f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f>
        <v>1</v>
      </c>
      <c r="BB16" t="s">
        <v>130</v>
      </c>
      <c r="BC16">
        <f>IF(Table_EH_Pre_Survey_May_20__2023_08_229[[#This Row],[Q5 ]]="PM &lt; 2.5 μm", 1, 0)</f>
        <v>0</v>
      </c>
      <c r="BD16" t="str">
        <f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f>
        <v>PM &lt; 2.5 μm</v>
      </c>
      <c r="BE16">
        <f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f>
        <v>1</v>
      </c>
      <c r="BF16" t="s">
        <v>141</v>
      </c>
      <c r="BG16">
        <f>IF(Table_EH_Pre_Survey_May_20__2023_08_229[[#This Row],[Q6]]="Particles of this size are generally absorbed in the respiratory tract and safely excreted in mucus.", 1, 0)</f>
        <v>0</v>
      </c>
      <c r="BH16" t="str">
        <f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f>
        <v>Particles of this size are generally absorbed in the respiratory tract and safely excreted in mucus.</v>
      </c>
      <c r="BI16">
        <f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f>
        <v>1</v>
      </c>
      <c r="BJ16" t="s">
        <v>610</v>
      </c>
      <c r="BK16">
        <f>IF(ISNUMBER(SEARCH("Trucks", Table_EH_Pre_Survey_May_20__2023_08_229[[#This Row],[Q7]])) = TRUE, 1, 0) + IF(ISNUMBER(SEARCH("Cars", Table_EH_Pre_Survey_May_20__2023_08_229[[#This Row],[Q7]])) = TRUE, 1, 0) + IF(ISNUMBER(SEARCH("Fireplaces", Table_EH_Pre_Survey_May_20__2023_08_229[[#This Row],[Q7]])) = TRUE, 1, 0) + IF(ISNUMBER(SEARCH("Dirt Roads", Table_EH_Pre_Survey_May_20__2023_08_229[[#This Row],[Q7]])) = TRUE, 1, 0) - IF(ISNUMBER(SEARCH("Electric Vehicles", Table_EH_Pre_Survey_May_20__2023_08_229[[#This Row],[Q7]])) = TRUE, 1, 0) - IF(ISNUMBER(SEARCH("Pollen", Table_EH_Pre_Survey_May_20__2023_08_229[[#This Row],[Q7]])) = TRUE, 1, 0)</f>
        <v>2</v>
      </c>
      <c r="BL16" t="str">
        <f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f>
        <v>Cars,Fireplaces</v>
      </c>
      <c r="BM16">
        <f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f>
        <v>2</v>
      </c>
      <c r="BN16">
        <v>4</v>
      </c>
      <c r="BO16">
        <f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f>
        <v>3</v>
      </c>
      <c r="BP16">
        <v>1</v>
      </c>
      <c r="BQ16">
        <f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f>
        <v>4</v>
      </c>
      <c r="BR16">
        <v>2</v>
      </c>
      <c r="BS16">
        <f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f>
        <v>3</v>
      </c>
      <c r="BT16">
        <v>2</v>
      </c>
      <c r="BU16">
        <f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f>
        <v>3</v>
      </c>
      <c r="BV16">
        <v>2</v>
      </c>
      <c r="BW16">
        <f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f>
        <v>3</v>
      </c>
      <c r="BX16">
        <v>3</v>
      </c>
      <c r="BY16">
        <f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f>
        <v>3</v>
      </c>
      <c r="BZ16">
        <v>8</v>
      </c>
      <c r="CA16">
        <f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f>
        <v>10</v>
      </c>
      <c r="CB16" t="s">
        <v>611</v>
      </c>
      <c r="CC16" t="str">
        <f>IF(ISTEXT(VLOOKUP(Table_EH_Pre_Survey_May_20__2023_08_229[[#This Row],[Unique Identifier]], 'Post-Survey Full Set'!$D$1:$AU$72, 1, 0)), VLOOKUP(Table_EH_Pre_Survey_May_20__2023_08_229[[#This Row],[Unique Identifier]], 'Post-Survey Full Set'!$D$1:$AU$72, 43, 0), VLOOKUP(Table_EH_Pre_Survey_May_20__2023_08_229[[#This Row],[Unique Identifier]], 'Post-Survey Full Set'!$V$1:$AU$72, 25, 0))</f>
        <v/>
      </c>
    </row>
    <row r="17" spans="1:81" hidden="1" x14ac:dyDescent="0.25">
      <c r="A17" t="s">
        <v>618</v>
      </c>
      <c r="B17" t="s">
        <v>619</v>
      </c>
      <c r="C17" t="s">
        <v>42</v>
      </c>
      <c r="D17" t="s">
        <v>620</v>
      </c>
      <c r="E17" t="str">
        <f>IF(COUNTIF($D$2:$D$103, Table_EH_Pre_Survey_May_20__2023_08_229[[#This Row],[IPAddress - IP Address]])=1, "Unique", "")</f>
        <v>Unique</v>
      </c>
      <c r="F17" t="e">
        <f>VLOOKUP(Table_EH_Pre_Survey_May_20__2023_08_229[[#This Row],[IPAddress - IP Address]], 'Post-Survey Full Set'!D:AU, 2, 0)</f>
        <v>#N/A</v>
      </c>
      <c r="G17" t="e">
        <f>VLOOKUP(Table_EH_Pre_Survey_May_20__2023_08_229[[#This Row],[IPAddress - IP Address]], 'Post-Survey Full Set'!$D$1:$AU$72, 1, 0)</f>
        <v>#N/A</v>
      </c>
      <c r="H17" s="35" t="e">
        <v>#N/A</v>
      </c>
      <c r="I17">
        <v>1</v>
      </c>
      <c r="J17" t="s">
        <v>112</v>
      </c>
      <c r="K17">
        <f>_xlfn.NUMBERVALUE(Table_EH_Pre_Survey_May_20__2023_08_229[[#This Row],[Duration (in seconds) - Duration (in seconds)2]])</f>
        <v>197</v>
      </c>
      <c r="L17" t="s">
        <v>621</v>
      </c>
      <c r="M17" t="s">
        <v>114</v>
      </c>
      <c r="N17" t="s">
        <v>622</v>
      </c>
      <c r="O17" t="str">
        <f>VLOOKUP(Table_EH_Pre_Survey_May_20__2023_08_229[[#This Row],[LocationLatitude - Location Latitude]], 'Post-Survey Full Set'!Q:AU, 1, 0)</f>
        <v>40.7523</v>
      </c>
      <c r="P17" t="str">
        <f>VLOOKUP(Table_EH_Pre_Survey_May_20__2023_08_229[[#This Row],[LocationLongitude - Location Longitude]], 'Post-Survey Full Set'!S:AV, 1, 0)</f>
        <v>-74.2172</v>
      </c>
      <c r="Q17" t="s">
        <v>623</v>
      </c>
      <c r="R17" t="s">
        <v>111</v>
      </c>
      <c r="S17" t="s">
        <v>111</v>
      </c>
      <c r="T17" t="s">
        <v>111</v>
      </c>
      <c r="U17" t="s">
        <v>111</v>
      </c>
      <c r="V17" t="s">
        <v>214</v>
      </c>
      <c r="W17" t="str">
        <f>IF(COUNTIF($V$2:$V$103, Table_EH_Pre_Survey_May_20__2023_08_229[[#This Row],[LocationLatitude - Location Latitude]])=1, "Unique", "")</f>
        <v/>
      </c>
      <c r="X17" t="str">
        <f>VLOOKUP(Table_EH_Pre_Survey_May_20__2023_08_229[[#This Row],[LocationLatitude - Location Latitude]], 'Post-Survey Full Set'!Q:AU, 2, 0)</f>
        <v>Unique</v>
      </c>
      <c r="Y17" t="s">
        <v>215</v>
      </c>
      <c r="Z17" t="e">
        <f>VLOOKUP(Table_EH_Pre_Survey_May_20__2023_08_229[[#This Row],[ResponseId - Response ID]], 'Post-Survey Full Set'!L:AU, 1, 0)</f>
        <v>#N/A</v>
      </c>
      <c r="AA17" t="s">
        <v>487</v>
      </c>
      <c r="AB17" t="s">
        <v>117</v>
      </c>
      <c r="AC17" s="35" t="s">
        <v>624</v>
      </c>
      <c r="AD17" t="e">
        <v>#N/A</v>
      </c>
      <c r="AE17" t="str">
        <f>IF(ISTEXT(Table_EH_Pre_Survey_May_20__2023_08_229[[#This Row],[Post-Survey NetID''s]]) = TRUE, "Match", "")</f>
        <v/>
      </c>
      <c r="AF17" t="str">
        <f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f>
        <v/>
      </c>
      <c r="AG17" t="str">
        <f>IF(Table_EH_Pre_Survey_May_20__2023_08_229[[#This Row],[NetID Match]] = "Match",  "Match", IF(ISTEXT(Table_EH_Pre_Survey_May_20__2023_08_229[[#This Row],[IP Address Match]]) = TRUE, "Match", ""))</f>
        <v/>
      </c>
      <c r="AH17" s="8">
        <v>3</v>
      </c>
      <c r="AI17" s="8">
        <f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f>
        <v>3</v>
      </c>
      <c r="AJ17" s="4">
        <v>5</v>
      </c>
      <c r="AK17" s="4">
        <f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f>
        <v>4</v>
      </c>
      <c r="AL17" s="4">
        <v>2</v>
      </c>
      <c r="AM17" s="4">
        <f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f>
        <v>4</v>
      </c>
      <c r="AN17" s="4">
        <v>3</v>
      </c>
      <c r="AO17" s="4">
        <f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f>
        <v>4</v>
      </c>
      <c r="AP17" s="4">
        <v>3</v>
      </c>
      <c r="AQ17" s="4">
        <f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f>
        <v>4</v>
      </c>
      <c r="AR17" s="4">
        <v>3</v>
      </c>
      <c r="AS17" s="4">
        <f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f>
        <v>5</v>
      </c>
      <c r="AT17" s="4">
        <v>5</v>
      </c>
      <c r="AU17" s="4">
        <f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f>
        <v>4</v>
      </c>
      <c r="AV17" s="4">
        <v>2</v>
      </c>
      <c r="AW17" s="4">
        <f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f>
        <v>4</v>
      </c>
      <c r="AX17" s="2">
        <v>3.5</v>
      </c>
      <c r="AY17" s="2">
        <f>IF(Table_EH_Pre_Survey_May_20__2023_08_229[[#This Row],[Q4]] = 3, 1, IF(Table_EH_Pre_Survey_May_20__2023_08_229[[#This Row],[Q4]] = 2.5, 0.5, IF(Table_EH_Pre_Survey_May_20__2023_08_229[[#This Row],[Q4]] = 3.5, 0.5, 0)))</f>
        <v>0.5</v>
      </c>
      <c r="AZ17" s="2">
        <f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f>
        <v>4</v>
      </c>
      <c r="BA17" s="2">
        <f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f>
        <v>0</v>
      </c>
      <c r="BB17" t="s">
        <v>166</v>
      </c>
      <c r="BC17">
        <f>IF(Table_EH_Pre_Survey_May_20__2023_08_229[[#This Row],[Q5 ]]="PM &lt; 2.5 μm", 1, 0)</f>
        <v>0</v>
      </c>
      <c r="BD17" t="str">
        <f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f>
        <v>PM &lt; 0.25 μm</v>
      </c>
      <c r="BE17">
        <f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f>
        <v>0</v>
      </c>
      <c r="BF17" t="s">
        <v>131</v>
      </c>
      <c r="BG17">
        <f>IF(Table_EH_Pre_Survey_May_20__2023_08_229[[#This Row],[Q6]]="Particles of this size are generally absorbed in the respiratory tract and safely excreted in mucus.", 1, 0)</f>
        <v>0</v>
      </c>
      <c r="BH17" t="str">
        <f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f>
        <v>Particles of this size reach the bronchial tree where they corrode the alveolar parenchyma.</v>
      </c>
      <c r="BI17">
        <f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f>
        <v>0</v>
      </c>
      <c r="BJ17" t="s">
        <v>258</v>
      </c>
      <c r="BK17">
        <f>IF(ISNUMBER(SEARCH("Trucks", Table_EH_Pre_Survey_May_20__2023_08_229[[#This Row],[Q7]])) = TRUE, 1, 0) + IF(ISNUMBER(SEARCH("Cars", Table_EH_Pre_Survey_May_20__2023_08_229[[#This Row],[Q7]])) = TRUE, 1, 0) + IF(ISNUMBER(SEARCH("Fireplaces", Table_EH_Pre_Survey_May_20__2023_08_229[[#This Row],[Q7]])) = TRUE, 1, 0) + IF(ISNUMBER(SEARCH("Dirt Roads", Table_EH_Pre_Survey_May_20__2023_08_229[[#This Row],[Q7]])) = TRUE, 1, 0) - IF(ISNUMBER(SEARCH("Electric Vehicles", Table_EH_Pre_Survey_May_20__2023_08_229[[#This Row],[Q7]])) = TRUE, 1, 0) - IF(ISNUMBER(SEARCH("Pollen", Table_EH_Pre_Survey_May_20__2023_08_229[[#This Row],[Q7]])) = TRUE, 1, 0)</f>
        <v>1</v>
      </c>
      <c r="BL17" t="str">
        <f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f>
        <v>Cars,Dirt Roads,Electric Vehicles,Fireplaces,Trucks</v>
      </c>
      <c r="BM17">
        <f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f>
        <v>3</v>
      </c>
      <c r="BN17">
        <v>4</v>
      </c>
      <c r="BO17">
        <f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f>
        <v>5</v>
      </c>
      <c r="BP17">
        <v>3</v>
      </c>
      <c r="BQ17">
        <f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f>
        <v>5</v>
      </c>
      <c r="BR17">
        <v>3</v>
      </c>
      <c r="BS17">
        <f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f>
        <v>5</v>
      </c>
      <c r="BT17">
        <v>4</v>
      </c>
      <c r="BU17">
        <f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f>
        <v>5</v>
      </c>
      <c r="BV17">
        <v>3</v>
      </c>
      <c r="BW17">
        <f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f>
        <v>5</v>
      </c>
      <c r="BX17">
        <v>3</v>
      </c>
      <c r="BY17">
        <f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f>
        <v>5</v>
      </c>
      <c r="BZ17">
        <v>10</v>
      </c>
      <c r="CA17">
        <f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f>
        <v>10</v>
      </c>
      <c r="CB17" t="s">
        <v>625</v>
      </c>
      <c r="CC17" t="str">
        <f>IF(ISTEXT(VLOOKUP(Table_EH_Pre_Survey_May_20__2023_08_229[[#This Row],[Unique Identifier]], 'Post-Survey Full Set'!$D$1:$AU$72, 1, 0)), VLOOKUP(Table_EH_Pre_Survey_May_20__2023_08_229[[#This Row],[Unique Identifier]], 'Post-Survey Full Set'!$D$1:$AU$72, 43, 0), VLOOKUP(Table_EH_Pre_Survey_May_20__2023_08_229[[#This Row],[Unique Identifier]], 'Post-Survey Full Set'!$V$1:$AU$72, 25, 0))</f>
        <v/>
      </c>
    </row>
    <row r="18" spans="1:81" hidden="1" x14ac:dyDescent="0.25">
      <c r="A18" t="s">
        <v>242</v>
      </c>
      <c r="B18" t="s">
        <v>243</v>
      </c>
      <c r="C18" t="s">
        <v>42</v>
      </c>
      <c r="D18" t="s">
        <v>244</v>
      </c>
      <c r="E18" t="str">
        <f>IF(COUNTIF($D$2:$D$103, Table_EH_Pre_Survey_May_20__2023_08_229[[#This Row],[IPAddress - IP Address]])=1, "Unique", "")</f>
        <v>Unique</v>
      </c>
      <c r="F18" t="e">
        <f>VLOOKUP(Table_EH_Pre_Survey_May_20__2023_08_229[[#This Row],[IPAddress - IP Address]], 'Post-Survey Full Set'!D:AU, 2, 0)</f>
        <v>#N/A</v>
      </c>
      <c r="G18" t="e">
        <f>VLOOKUP(Table_EH_Pre_Survey_May_20__2023_08_229[[#This Row],[IPAddress - IP Address]], 'Post-Survey Full Set'!$D$1:$AU$72, 1, 0)</f>
        <v>#N/A</v>
      </c>
      <c r="H18" s="35" t="e">
        <v>#N/A</v>
      </c>
      <c r="I18">
        <v>1</v>
      </c>
      <c r="J18" t="s">
        <v>112</v>
      </c>
      <c r="K18">
        <f>_xlfn.NUMBERVALUE(Table_EH_Pre_Survey_May_20__2023_08_229[[#This Row],[Duration (in seconds) - Duration (in seconds)2]])</f>
        <v>210</v>
      </c>
      <c r="L18" t="s">
        <v>245</v>
      </c>
      <c r="M18" t="s">
        <v>114</v>
      </c>
      <c r="N18" t="s">
        <v>246</v>
      </c>
      <c r="O18" t="e">
        <f>VLOOKUP(Table_EH_Pre_Survey_May_20__2023_08_229[[#This Row],[LocationLatitude - Location Latitude]], 'Post-Survey Full Set'!Q:AU, 1, 0)</f>
        <v>#N/A</v>
      </c>
      <c r="P18" t="e">
        <f>VLOOKUP(Table_EH_Pre_Survey_May_20__2023_08_229[[#This Row],[LocationLongitude - Location Longitude]], 'Post-Survey Full Set'!S:AV, 1, 0)</f>
        <v>#N/A</v>
      </c>
      <c r="Q18" t="s">
        <v>247</v>
      </c>
      <c r="R18" t="s">
        <v>111</v>
      </c>
      <c r="S18" t="s">
        <v>111</v>
      </c>
      <c r="T18" t="s">
        <v>111</v>
      </c>
      <c r="U18" t="s">
        <v>111</v>
      </c>
      <c r="V18" t="s">
        <v>248</v>
      </c>
      <c r="W18" t="str">
        <f>IF(COUNTIF($V$2:$V$103, Table_EH_Pre_Survey_May_20__2023_08_229[[#This Row],[LocationLatitude - Location Latitude]])=1, "Unique", "")</f>
        <v>Unique</v>
      </c>
      <c r="X18" t="e">
        <f>VLOOKUP(Table_EH_Pre_Survey_May_20__2023_08_229[[#This Row],[LocationLatitude - Location Latitude]], 'Post-Survey Full Set'!Q:AU, 2, 0)</f>
        <v>#N/A</v>
      </c>
      <c r="Y18" t="s">
        <v>249</v>
      </c>
      <c r="Z18" t="e">
        <f>VLOOKUP(Table_EH_Pre_Survey_May_20__2023_08_229[[#This Row],[ResponseId - Response ID]], 'Post-Survey Full Set'!L:AU, 1, 0)</f>
        <v>#N/A</v>
      </c>
      <c r="AA18" t="s">
        <v>127</v>
      </c>
      <c r="AB18" t="s">
        <v>117</v>
      </c>
      <c r="AC18" s="35" t="s">
        <v>250</v>
      </c>
      <c r="AD18" t="e">
        <v>#N/A</v>
      </c>
      <c r="AE18" t="str">
        <f>IF(ISTEXT(Table_EH_Pre_Survey_May_20__2023_08_229[[#This Row],[Post-Survey NetID''s]]) = TRUE, "Match", "")</f>
        <v/>
      </c>
      <c r="AF18" t="str">
        <f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f>
        <v/>
      </c>
      <c r="AG18" t="str">
        <f>IF(Table_EH_Pre_Survey_May_20__2023_08_229[[#This Row],[NetID Match]] = "Match",  "Match", IF(ISTEXT(Table_EH_Pre_Survey_May_20__2023_08_229[[#This Row],[IP Address Match]]) = TRUE, "Match", ""))</f>
        <v/>
      </c>
      <c r="AH18" s="8">
        <v>4</v>
      </c>
      <c r="AI18" s="8">
        <f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f>
        <v>3</v>
      </c>
      <c r="AJ18" s="4">
        <v>3</v>
      </c>
      <c r="AK18" s="4">
        <f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f>
        <v>4</v>
      </c>
      <c r="AL18" s="4">
        <v>5</v>
      </c>
      <c r="AM18" s="4">
        <f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f>
        <v>4</v>
      </c>
      <c r="AN18" s="4">
        <v>5</v>
      </c>
      <c r="AO18" s="4">
        <f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f>
        <v>4</v>
      </c>
      <c r="AP18" s="4">
        <v>3</v>
      </c>
      <c r="AQ18" s="4">
        <f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f>
        <v>4</v>
      </c>
      <c r="AR18" s="4">
        <v>4</v>
      </c>
      <c r="AS18" s="4">
        <f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f>
        <v>5</v>
      </c>
      <c r="AT18" s="4">
        <v>5</v>
      </c>
      <c r="AU18" s="4">
        <f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f>
        <v>4</v>
      </c>
      <c r="AV18" s="4">
        <v>3</v>
      </c>
      <c r="AW18" s="4">
        <f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f>
        <v>4</v>
      </c>
      <c r="AX18" s="2">
        <v>3</v>
      </c>
      <c r="AY18" s="2">
        <f>IF(Table_EH_Pre_Survey_May_20__2023_08_229[[#This Row],[Q4]] = 3, 1, IF(Table_EH_Pre_Survey_May_20__2023_08_229[[#This Row],[Q4]] = 2.5, 0.5, IF(Table_EH_Pre_Survey_May_20__2023_08_229[[#This Row],[Q4]] = 3.5, 0.5, 0)))</f>
        <v>1</v>
      </c>
      <c r="AZ18" s="2">
        <f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f>
        <v>4</v>
      </c>
      <c r="BA18" s="2">
        <f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f>
        <v>0</v>
      </c>
      <c r="BB18" t="s">
        <v>140</v>
      </c>
      <c r="BC18">
        <f>IF(Table_EH_Pre_Survey_May_20__2023_08_229[[#This Row],[Q5 ]]="PM &lt; 2.5 μm", 1, 0)</f>
        <v>1</v>
      </c>
      <c r="BD18" t="str">
        <f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f>
        <v>PM &lt; 0.25 μm</v>
      </c>
      <c r="BE18">
        <f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f>
        <v>0</v>
      </c>
      <c r="BF18" t="s">
        <v>175</v>
      </c>
      <c r="BG18">
        <f>IF(Table_EH_Pre_Survey_May_20__2023_08_229[[#This Row],[Q6]]="Particles of this size are generally absorbed in the respiratory tract and safely excreted in mucus.", 1, 0)</f>
        <v>1</v>
      </c>
      <c r="BH18" t="str">
        <f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f>
        <v>Particles of this size reach the bronchial tree where they corrode the alveolar parenchyma.</v>
      </c>
      <c r="BI18">
        <f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f>
        <v>0</v>
      </c>
      <c r="BJ18" t="s">
        <v>167</v>
      </c>
      <c r="BK18">
        <f>IF(ISNUMBER(SEARCH("Trucks", Table_EH_Pre_Survey_May_20__2023_08_229[[#This Row],[Q7]])) = TRUE, 1, 0) + IF(ISNUMBER(SEARCH("Cars", Table_EH_Pre_Survey_May_20__2023_08_229[[#This Row],[Q7]])) = TRUE, 1, 0) + IF(ISNUMBER(SEARCH("Fireplaces", Table_EH_Pre_Survey_May_20__2023_08_229[[#This Row],[Q7]])) = TRUE, 1, 0) + IF(ISNUMBER(SEARCH("Dirt Roads", Table_EH_Pre_Survey_May_20__2023_08_229[[#This Row],[Q7]])) = TRUE, 1, 0) - IF(ISNUMBER(SEARCH("Electric Vehicles", Table_EH_Pre_Survey_May_20__2023_08_229[[#This Row],[Q7]])) = TRUE, 1, 0) - IF(ISNUMBER(SEARCH("Pollen", Table_EH_Pre_Survey_May_20__2023_08_229[[#This Row],[Q7]])) = TRUE, 1, 0)</f>
        <v>3</v>
      </c>
      <c r="BL18" t="str">
        <f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f>
        <v>Cars,Dirt Roads,Electric Vehicles,Fireplaces,Trucks</v>
      </c>
      <c r="BM18">
        <f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f>
        <v>3</v>
      </c>
      <c r="BN18">
        <v>1</v>
      </c>
      <c r="BO18">
        <f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f>
        <v>5</v>
      </c>
      <c r="BP18">
        <v>1</v>
      </c>
      <c r="BQ18">
        <f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f>
        <v>5</v>
      </c>
      <c r="BR18">
        <v>2</v>
      </c>
      <c r="BS18">
        <f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f>
        <v>5</v>
      </c>
      <c r="BT18">
        <v>3</v>
      </c>
      <c r="BU18">
        <f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f>
        <v>5</v>
      </c>
      <c r="BV18">
        <v>5</v>
      </c>
      <c r="BW18">
        <f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f>
        <v>5</v>
      </c>
      <c r="BX18">
        <v>2</v>
      </c>
      <c r="BY18">
        <f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f>
        <v>5</v>
      </c>
      <c r="BZ18">
        <v>5</v>
      </c>
      <c r="CA18">
        <f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f>
        <v>10</v>
      </c>
      <c r="CB18" t="s">
        <v>251</v>
      </c>
      <c r="CC18" t="str">
        <f>IF(ISTEXT(VLOOKUP(Table_EH_Pre_Survey_May_20__2023_08_229[[#This Row],[Unique Identifier]], 'Post-Survey Full Set'!$D$1:$AU$72, 1, 0)), VLOOKUP(Table_EH_Pre_Survey_May_20__2023_08_229[[#This Row],[Unique Identifier]], 'Post-Survey Full Set'!$D$1:$AU$72, 43, 0), VLOOKUP(Table_EH_Pre_Survey_May_20__2023_08_229[[#This Row],[Unique Identifier]], 'Post-Survey Full Set'!$V$1:$AU$72, 25, 0))</f>
        <v/>
      </c>
    </row>
    <row r="19" spans="1:81" hidden="1" x14ac:dyDescent="0.25">
      <c r="A19" t="s">
        <v>882</v>
      </c>
      <c r="B19" t="s">
        <v>883</v>
      </c>
      <c r="C19" t="s">
        <v>42</v>
      </c>
      <c r="D19" t="s">
        <v>389</v>
      </c>
      <c r="E19" t="str">
        <f>IF(COUNTIF($D$2:$D$103, Table_EH_Pre_Survey_May_20__2023_08_229[[#This Row],[IPAddress - IP Address]])=1, "Unique", "")</f>
        <v/>
      </c>
      <c r="F19" t="str">
        <f>VLOOKUP(Table_EH_Pre_Survey_May_20__2023_08_229[[#This Row],[IPAddress - IP Address]], 'Post-Survey Full Set'!D:AU, 2, 0)</f>
        <v/>
      </c>
      <c r="G19" t="str">
        <f>VLOOKUP(Table_EH_Pre_Survey_May_20__2023_08_229[[#This Row],[IPAddress - IP Address]], 'Post-Survey Full Set'!$D$1:$AU$72, 1, 0)</f>
        <v>130.219.10.90</v>
      </c>
      <c r="I19">
        <v>1</v>
      </c>
      <c r="J19" t="s">
        <v>878</v>
      </c>
      <c r="K19">
        <f>_xlfn.NUMBERVALUE(Table_EH_Pre_Survey_May_20__2023_08_229[[#This Row],[Duration (in seconds) - Duration (in seconds)2]])</f>
        <v>259</v>
      </c>
      <c r="L19" s="4" t="s">
        <v>884</v>
      </c>
      <c r="M19" s="4" t="s">
        <v>821</v>
      </c>
      <c r="N19" s="4" t="s">
        <v>885</v>
      </c>
      <c r="O19" s="4" t="str">
        <f>VLOOKUP(Table_EH_Pre_Survey_May_20__2023_08_229[[#This Row],[LocationLatitude - Location Latitude]], 'Post-Survey Full Set'!Q:AU, 1, 0)</f>
        <v/>
      </c>
      <c r="P19" s="4" t="str">
        <f>VLOOKUP(Table_EH_Pre_Survey_May_20__2023_08_229[[#This Row],[LocationLongitude - Location Longitude]], 'Post-Survey Full Set'!S:AV, 1, 0)</f>
        <v/>
      </c>
      <c r="Q19" s="4" t="s">
        <v>886</v>
      </c>
      <c r="R19" s="4" t="s">
        <v>111</v>
      </c>
      <c r="S19" s="4" t="s">
        <v>111</v>
      </c>
      <c r="T19" s="4" t="s">
        <v>111</v>
      </c>
      <c r="U19" s="4" t="s">
        <v>111</v>
      </c>
      <c r="V19" s="4" t="s">
        <v>111</v>
      </c>
      <c r="W19" s="4" t="str">
        <f>IF(COUNTIF($V$2:$V$103, Table_EH_Pre_Survey_May_20__2023_08_229[[#This Row],[LocationLatitude - Location Latitude]])=1, "Unique", "")</f>
        <v/>
      </c>
      <c r="X19" s="4" t="str">
        <f>VLOOKUP(Table_EH_Pre_Survey_May_20__2023_08_229[[#This Row],[LocationLatitude - Location Latitude]], 'Post-Survey Full Set'!Q:AU, 2, 0)</f>
        <v>Unique</v>
      </c>
      <c r="Y19" s="4" t="s">
        <v>111</v>
      </c>
      <c r="Z19" s="4" t="e">
        <f>VLOOKUP(Table_EH_Pre_Survey_May_20__2023_08_229[[#This Row],[ResponseId - Response ID]], 'Post-Survey Full Set'!L:AU, 1, 0)</f>
        <v>#N/A</v>
      </c>
      <c r="AA19" s="4" t="s">
        <v>127</v>
      </c>
      <c r="AB19" s="4" t="s">
        <v>117</v>
      </c>
      <c r="AC19" s="35" t="s">
        <v>250</v>
      </c>
      <c r="AD19" s="4" t="e">
        <v>#N/A</v>
      </c>
      <c r="AE19" s="4" t="str">
        <f>IF(ISTEXT(Table_EH_Pre_Survey_May_20__2023_08_229[[#This Row],[Post-Survey NetID''s]]) = TRUE, "Match", "")</f>
        <v/>
      </c>
      <c r="AF19" s="4" t="str">
        <f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f>
        <v/>
      </c>
      <c r="AG19" s="4" t="str">
        <f>IF(Table_EH_Pre_Survey_May_20__2023_08_229[[#This Row],[NetID Match]] = "Match",  "Match", IF(ISTEXT(Table_EH_Pre_Survey_May_20__2023_08_229[[#This Row],[IP Address Match]]) = TRUE, "Match", ""))</f>
        <v/>
      </c>
      <c r="AH19" s="4">
        <v>5</v>
      </c>
      <c r="AI19" s="8">
        <f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f>
        <v>3</v>
      </c>
      <c r="AJ19" s="4">
        <v>5</v>
      </c>
      <c r="AK19" s="4">
        <f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f>
        <v>4</v>
      </c>
      <c r="AL19" s="4">
        <v>5</v>
      </c>
      <c r="AM19" s="4">
        <f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f>
        <v>4</v>
      </c>
      <c r="AN19" s="4">
        <v>5</v>
      </c>
      <c r="AO19" s="4">
        <f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f>
        <v>4</v>
      </c>
      <c r="AP19" s="4">
        <v>5</v>
      </c>
      <c r="AQ19" s="4">
        <f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f>
        <v>4</v>
      </c>
      <c r="AR19" s="4">
        <v>5</v>
      </c>
      <c r="AS19" s="4">
        <f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f>
        <v>5</v>
      </c>
      <c r="AT19" s="4">
        <v>5</v>
      </c>
      <c r="AU19" s="4">
        <f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f>
        <v>4</v>
      </c>
      <c r="AV19" s="4">
        <v>5</v>
      </c>
      <c r="AW19" s="4">
        <f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f>
        <v>4</v>
      </c>
      <c r="AX19" s="4" t="s">
        <v>111</v>
      </c>
      <c r="AY19" t="s">
        <v>111</v>
      </c>
      <c r="AZ19" s="4">
        <f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f>
        <v>4</v>
      </c>
      <c r="BA19" s="4">
        <f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f>
        <v>0</v>
      </c>
      <c r="BB19" t="s">
        <v>111</v>
      </c>
      <c r="BC19" t="s">
        <v>111</v>
      </c>
      <c r="BD19" t="str">
        <f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f>
        <v>PM &lt; 0.25 μm</v>
      </c>
      <c r="BE19">
        <f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f>
        <v>0</v>
      </c>
      <c r="BF19" t="s">
        <v>111</v>
      </c>
      <c r="BG19" t="s">
        <v>111</v>
      </c>
      <c r="BH19" t="str">
        <f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f>
        <v>Particles of this size reach the bronchial tree where they corrode the alveolar parenchyma.</v>
      </c>
      <c r="BI19">
        <f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f>
        <v>0</v>
      </c>
      <c r="BJ19" t="s">
        <v>111</v>
      </c>
      <c r="BK19" t="s">
        <v>111</v>
      </c>
      <c r="BL19" t="str">
        <f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f>
        <v>Cars,Dirt Roads,Electric Vehicles,Fireplaces,Trucks</v>
      </c>
      <c r="BM19">
        <f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f>
        <v>3</v>
      </c>
      <c r="BN19" t="s">
        <v>111</v>
      </c>
      <c r="BO19">
        <f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f>
        <v>5</v>
      </c>
      <c r="BP19" t="s">
        <v>111</v>
      </c>
      <c r="BQ19">
        <f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f>
        <v>5</v>
      </c>
      <c r="BR19" t="s">
        <v>111</v>
      </c>
      <c r="BS19">
        <f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f>
        <v>5</v>
      </c>
      <c r="BU19">
        <f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f>
        <v>5</v>
      </c>
      <c r="BW19">
        <f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f>
        <v>5</v>
      </c>
      <c r="BY19">
        <f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f>
        <v>5</v>
      </c>
      <c r="CA19">
        <f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f>
        <v>10</v>
      </c>
      <c r="CC19" t="str">
        <f>IF(ISTEXT(VLOOKUP(Table_EH_Pre_Survey_May_20__2023_08_229[[#This Row],[Unique Identifier]], 'Post-Survey Full Set'!$D$1:$AU$72, 1, 0)), VLOOKUP(Table_EH_Pre_Survey_May_20__2023_08_229[[#This Row],[Unique Identifier]], 'Post-Survey Full Set'!$D$1:$AU$72, 43, 0), VLOOKUP(Table_EH_Pre_Survey_May_20__2023_08_229[[#This Row],[Unique Identifier]], 'Post-Survey Full Set'!$V$1:$AU$72, 25, 0))</f>
        <v/>
      </c>
    </row>
    <row r="20" spans="1:81" x14ac:dyDescent="0.25">
      <c r="A20" t="s">
        <v>354</v>
      </c>
      <c r="B20" t="s">
        <v>355</v>
      </c>
      <c r="C20" t="s">
        <v>42</v>
      </c>
      <c r="D20" t="s">
        <v>356</v>
      </c>
      <c r="E20" t="str">
        <f>IF(COUNTIF($D$2:$D$103, Table_EH_Pre_Survey_May_20__2023_08_229[[#This Row],[IPAddress - IP Address]])=1, "Unique", "")</f>
        <v>Unique</v>
      </c>
      <c r="F20" t="e">
        <f>VLOOKUP(Table_EH_Pre_Survey_May_20__2023_08_229[[#This Row],[IPAddress - IP Address]], 'Post-Survey Full Set'!D:AU, 2, 0)</f>
        <v>#N/A</v>
      </c>
      <c r="G20" t="e">
        <f>VLOOKUP(Table_EH_Pre_Survey_May_20__2023_08_229[[#This Row],[IPAddress - IP Address]], 'Post-Survey Full Set'!$D$1:$AU$72, 1, 0)</f>
        <v>#N/A</v>
      </c>
      <c r="H20" s="35" t="e">
        <v>#N/A</v>
      </c>
      <c r="I20">
        <v>1</v>
      </c>
      <c r="J20" t="s">
        <v>112</v>
      </c>
      <c r="K20">
        <f>_xlfn.NUMBERVALUE(Table_EH_Pre_Survey_May_20__2023_08_229[[#This Row],[Duration (in seconds) - Duration (in seconds)2]])</f>
        <v>322</v>
      </c>
      <c r="L20" t="s">
        <v>357</v>
      </c>
      <c r="M20" t="s">
        <v>114</v>
      </c>
      <c r="N20" t="s">
        <v>358</v>
      </c>
      <c r="O20" t="e">
        <f>VLOOKUP(Table_EH_Pre_Survey_May_20__2023_08_229[[#This Row],[LocationLatitude - Location Latitude]], 'Post-Survey Full Set'!Q:AU, 1, 0)</f>
        <v>#N/A</v>
      </c>
      <c r="P20" t="e">
        <f>VLOOKUP(Table_EH_Pre_Survey_May_20__2023_08_229[[#This Row],[LocationLongitude - Location Longitude]], 'Post-Survey Full Set'!S:AV, 1, 0)</f>
        <v>#N/A</v>
      </c>
      <c r="Q20" t="s">
        <v>359</v>
      </c>
      <c r="R20" t="s">
        <v>111</v>
      </c>
      <c r="S20" t="s">
        <v>111</v>
      </c>
      <c r="T20" t="s">
        <v>111</v>
      </c>
      <c r="U20" t="s">
        <v>111</v>
      </c>
      <c r="V20" t="s">
        <v>360</v>
      </c>
      <c r="W20" t="str">
        <f>IF(COUNTIF($V$2:$V$103, Table_EH_Pre_Survey_May_20__2023_08_229[[#This Row],[LocationLatitude - Location Latitude]])=1, "Unique", "")</f>
        <v>Unique</v>
      </c>
      <c r="X20" t="e">
        <f>VLOOKUP(Table_EH_Pre_Survey_May_20__2023_08_229[[#This Row],[LocationLatitude - Location Latitude]], 'Post-Survey Full Set'!Q:AU, 2, 0)</f>
        <v>#N/A</v>
      </c>
      <c r="Y20" t="s">
        <v>361</v>
      </c>
      <c r="Z20" t="e">
        <f>VLOOKUP(Table_EH_Pre_Survey_May_20__2023_08_229[[#This Row],[ResponseId - Response ID]], 'Post-Survey Full Set'!L:AU, 1, 0)</f>
        <v>#N/A</v>
      </c>
      <c r="AA20" t="s">
        <v>127</v>
      </c>
      <c r="AB20" t="s">
        <v>117</v>
      </c>
      <c r="AC20" s="35" t="s">
        <v>362</v>
      </c>
      <c r="AD20" t="s">
        <v>362</v>
      </c>
      <c r="AE20" t="str">
        <f>IF(ISTEXT(Table_EH_Pre_Survey_May_20__2023_08_229[[#This Row],[Post-Survey NetID''s]]) = TRUE, "Match", "")</f>
        <v>Match</v>
      </c>
      <c r="AF20" t="str">
        <f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f>
        <v>rd968</v>
      </c>
      <c r="AG20" t="str">
        <f>IF(Table_EH_Pre_Survey_May_20__2023_08_229[[#This Row],[NetID Match]] = "Match",  "Match", IF(ISTEXT(Table_EH_Pre_Survey_May_20__2023_08_229[[#This Row],[IP Address Match]]) = TRUE, "Match", ""))</f>
        <v>Match</v>
      </c>
      <c r="AH20" s="8">
        <v>3</v>
      </c>
      <c r="AI20" s="8">
        <f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f>
        <v>4</v>
      </c>
      <c r="AJ20" s="4">
        <v>2</v>
      </c>
      <c r="AK20" s="4">
        <f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f>
        <v>4</v>
      </c>
      <c r="AL20" s="4">
        <v>2</v>
      </c>
      <c r="AM20" s="4">
        <f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f>
        <v>2</v>
      </c>
      <c r="AN20" s="4">
        <v>5</v>
      </c>
      <c r="AO20" s="4">
        <f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f>
        <v>5</v>
      </c>
      <c r="AP20" s="4">
        <v>1</v>
      </c>
      <c r="AQ20" s="4">
        <f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f>
        <v>2</v>
      </c>
      <c r="AR20" s="4">
        <v>3</v>
      </c>
      <c r="AS20" s="4">
        <f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f>
        <v>2</v>
      </c>
      <c r="AT20" s="4">
        <v>5</v>
      </c>
      <c r="AU20" s="4">
        <f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f>
        <v>5</v>
      </c>
      <c r="AV20" s="4">
        <v>2</v>
      </c>
      <c r="AW20" s="4">
        <f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f>
        <v>2</v>
      </c>
      <c r="AX20" s="2">
        <v>3.5</v>
      </c>
      <c r="AY20" s="2">
        <f>IF(Table_EH_Pre_Survey_May_20__2023_08_229[[#This Row],[Q4]] = 3, 1, IF(Table_EH_Pre_Survey_May_20__2023_08_229[[#This Row],[Q4]] = 2.5, 0.5, IF(Table_EH_Pre_Survey_May_20__2023_08_229[[#This Row],[Q4]] = 3.5, 0.5, 0)))</f>
        <v>0.5</v>
      </c>
      <c r="AZ20" s="2">
        <f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f>
        <v>1</v>
      </c>
      <c r="BA20" s="2">
        <f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f>
        <v>0</v>
      </c>
      <c r="BB20" t="s">
        <v>185</v>
      </c>
      <c r="BC20">
        <f>IF(Table_EH_Pre_Survey_May_20__2023_08_229[[#This Row],[Q5 ]]="PM &lt; 2.5 μm", 1, 0)</f>
        <v>0</v>
      </c>
      <c r="BD20" t="str">
        <f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f>
        <v>PM &lt; 0.05 μm</v>
      </c>
      <c r="BE20">
        <f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f>
        <v>0</v>
      </c>
      <c r="BF20" t="s">
        <v>175</v>
      </c>
      <c r="BG20">
        <f>IF(Table_EH_Pre_Survey_May_20__2023_08_229[[#This Row],[Q6]]="Particles of this size are generally absorbed in the respiratory tract and safely excreted in mucus.", 1, 0)</f>
        <v>1</v>
      </c>
      <c r="BH20" t="str">
        <f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f>
        <v>Particles of this size are generally absorbed in the respiratory tract and safely excreted in mucus.</v>
      </c>
      <c r="BI20">
        <f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f>
        <v>1</v>
      </c>
      <c r="BJ20" t="s">
        <v>167</v>
      </c>
      <c r="BK20">
        <f>IF(ISNUMBER(SEARCH("Trucks", Table_EH_Pre_Survey_May_20__2023_08_229[[#This Row],[Q7]])) = TRUE, 1, 0) + IF(ISNUMBER(SEARCH("Cars", Table_EH_Pre_Survey_May_20__2023_08_229[[#This Row],[Q7]])) = TRUE, 1, 0) + IF(ISNUMBER(SEARCH("Fireplaces", Table_EH_Pre_Survey_May_20__2023_08_229[[#This Row],[Q7]])) = TRUE, 1, 0) + IF(ISNUMBER(SEARCH("Dirt Roads", Table_EH_Pre_Survey_May_20__2023_08_229[[#This Row],[Q7]])) = TRUE, 1, 0) - IF(ISNUMBER(SEARCH("Electric Vehicles", Table_EH_Pre_Survey_May_20__2023_08_229[[#This Row],[Q7]])) = TRUE, 1, 0) - IF(ISNUMBER(SEARCH("Pollen", Table_EH_Pre_Survey_May_20__2023_08_229[[#This Row],[Q7]])) = TRUE, 1, 0)</f>
        <v>3</v>
      </c>
      <c r="BL20" t="str">
        <f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f>
        <v>Cars,Dirt Roads,Fireplaces,Trucks</v>
      </c>
      <c r="BM20">
        <f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f>
        <v>4</v>
      </c>
      <c r="BN20">
        <v>1</v>
      </c>
      <c r="BO20">
        <f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f>
        <v>1</v>
      </c>
      <c r="BP20">
        <v>4</v>
      </c>
      <c r="BQ20">
        <f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f>
        <v>5</v>
      </c>
      <c r="BR20">
        <v>4</v>
      </c>
      <c r="BS20">
        <f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f>
        <v>2</v>
      </c>
      <c r="BT20">
        <v>4</v>
      </c>
      <c r="BU20">
        <f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f>
        <v>2</v>
      </c>
      <c r="BV20">
        <v>4</v>
      </c>
      <c r="BW20">
        <f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f>
        <v>3</v>
      </c>
      <c r="BX20">
        <v>3</v>
      </c>
      <c r="BY20">
        <f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f>
        <v>3</v>
      </c>
      <c r="BZ20">
        <v>9</v>
      </c>
      <c r="CA20">
        <f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f>
        <v>10</v>
      </c>
      <c r="CB20" t="s">
        <v>363</v>
      </c>
      <c r="CC20" t="str">
        <f>IF(ISTEXT(VLOOKUP(Table_EH_Pre_Survey_May_20__2023_08_229[[#This Row],[Unique Identifier]], 'Post-Survey Full Set'!$D$1:$AU$72, 1, 0)), VLOOKUP(Table_EH_Pre_Survey_May_20__2023_08_229[[#This Row],[Unique Identifier]], 'Post-Survey Full Set'!$D$1:$AU$72, 43, 0), VLOOKUP(Table_EH_Pre_Survey_May_20__2023_08_229[[#This Row],[Unique Identifier]], 'Post-Survey Full Set'!$V$1:$AU$72, 25, 0))</f>
        <v>Occupational exposures</v>
      </c>
    </row>
    <row r="21" spans="1:81" hidden="1" x14ac:dyDescent="0.25">
      <c r="A21" t="s">
        <v>696</v>
      </c>
      <c r="B21" t="s">
        <v>697</v>
      </c>
      <c r="C21" t="s">
        <v>42</v>
      </c>
      <c r="D21" t="s">
        <v>698</v>
      </c>
      <c r="E21" t="str">
        <f>IF(COUNTIF($D$2:$D$103, Table_EH_Pre_Survey_May_20__2023_08_229[[#This Row],[IPAddress - IP Address]])=1, "Unique", "")</f>
        <v>Unique</v>
      </c>
      <c r="F21" t="e">
        <f>VLOOKUP(Table_EH_Pre_Survey_May_20__2023_08_229[[#This Row],[IPAddress - IP Address]], 'Post-Survey Full Set'!D:AU, 2, 0)</f>
        <v>#N/A</v>
      </c>
      <c r="G21" t="e">
        <f>VLOOKUP(Table_EH_Pre_Survey_May_20__2023_08_229[[#This Row],[IPAddress - IP Address]], 'Post-Survey Full Set'!$D$1:$AU$72, 1, 0)</f>
        <v>#N/A</v>
      </c>
      <c r="H21" s="35" t="e">
        <v>#N/A</v>
      </c>
      <c r="I21">
        <v>1</v>
      </c>
      <c r="J21" t="s">
        <v>112</v>
      </c>
      <c r="K21">
        <f>_xlfn.NUMBERVALUE(Table_EH_Pre_Survey_May_20__2023_08_229[[#This Row],[Duration (in seconds) - Duration (in seconds)2]])</f>
        <v>339</v>
      </c>
      <c r="L21" t="s">
        <v>699</v>
      </c>
      <c r="M21" t="s">
        <v>114</v>
      </c>
      <c r="N21" t="s">
        <v>697</v>
      </c>
      <c r="O21" t="str">
        <f>VLOOKUP(Table_EH_Pre_Survey_May_20__2023_08_229[[#This Row],[LocationLatitude - Location Latitude]], 'Post-Survey Full Set'!Q:AU, 1, 0)</f>
        <v>40.488</v>
      </c>
      <c r="P21" t="str">
        <f>VLOOKUP(Table_EH_Pre_Survey_May_20__2023_08_229[[#This Row],[LocationLongitude - Location Longitude]], 'Post-Survey Full Set'!S:AV, 1, 0)</f>
        <v>-74.4544</v>
      </c>
      <c r="Q21" t="s">
        <v>700</v>
      </c>
      <c r="R21" t="s">
        <v>111</v>
      </c>
      <c r="S21" t="s">
        <v>111</v>
      </c>
      <c r="T21" t="s">
        <v>111</v>
      </c>
      <c r="U21" t="s">
        <v>111</v>
      </c>
      <c r="V21" t="s">
        <v>351</v>
      </c>
      <c r="W21" t="str">
        <f>IF(COUNTIF($V$2:$V$103, Table_EH_Pre_Survey_May_20__2023_08_229[[#This Row],[LocationLatitude - Location Latitude]])=1, "Unique", "")</f>
        <v/>
      </c>
      <c r="X21" t="str">
        <f>VLOOKUP(Table_EH_Pre_Survey_May_20__2023_08_229[[#This Row],[LocationLatitude - Location Latitude]], 'Post-Survey Full Set'!Q:AU, 2, 0)</f>
        <v/>
      </c>
      <c r="Y21" t="s">
        <v>352</v>
      </c>
      <c r="Z21" t="e">
        <f>VLOOKUP(Table_EH_Pre_Survey_May_20__2023_08_229[[#This Row],[ResponseId - Response ID]], 'Post-Survey Full Set'!L:AU, 1, 0)</f>
        <v>#N/A</v>
      </c>
      <c r="AA21" t="s">
        <v>487</v>
      </c>
      <c r="AB21" t="s">
        <v>117</v>
      </c>
      <c r="AC21" s="35" t="s">
        <v>701</v>
      </c>
      <c r="AD21" t="e">
        <v>#N/A</v>
      </c>
      <c r="AE21" t="str">
        <f>IF(ISTEXT(Table_EH_Pre_Survey_May_20__2023_08_229[[#This Row],[Post-Survey NetID''s]]) = TRUE, "Match", "")</f>
        <v/>
      </c>
      <c r="AF21" t="str">
        <f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f>
        <v/>
      </c>
      <c r="AG21" t="str">
        <f>IF(Table_EH_Pre_Survey_May_20__2023_08_229[[#This Row],[NetID Match]] = "Match",  "Match", IF(ISTEXT(Table_EH_Pre_Survey_May_20__2023_08_229[[#This Row],[IP Address Match]]) = TRUE, "Match", ""))</f>
        <v/>
      </c>
      <c r="AH21" s="8">
        <v>4</v>
      </c>
      <c r="AI21" s="8">
        <f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f>
        <v>3</v>
      </c>
      <c r="AJ21" s="4">
        <v>3</v>
      </c>
      <c r="AK21" s="4">
        <f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f>
        <v>4</v>
      </c>
      <c r="AL21" s="4">
        <v>5</v>
      </c>
      <c r="AM21" s="4">
        <f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f>
        <v>4</v>
      </c>
      <c r="AN21" s="4">
        <v>5</v>
      </c>
      <c r="AO21" s="4">
        <f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f>
        <v>4</v>
      </c>
      <c r="AP21" s="4">
        <v>3</v>
      </c>
      <c r="AQ21" s="4">
        <f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f>
        <v>4</v>
      </c>
      <c r="AR21" s="4">
        <v>1</v>
      </c>
      <c r="AS21" s="4">
        <f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f>
        <v>5</v>
      </c>
      <c r="AT21" s="4">
        <v>3</v>
      </c>
      <c r="AU21" s="4">
        <f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f>
        <v>4</v>
      </c>
      <c r="AV21" s="4">
        <v>1</v>
      </c>
      <c r="AW21" s="4">
        <f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f>
        <v>4</v>
      </c>
      <c r="AX21" s="2">
        <v>3.5</v>
      </c>
      <c r="AY21" s="2">
        <f>IF(Table_EH_Pre_Survey_May_20__2023_08_229[[#This Row],[Q4]] = 3, 1, IF(Table_EH_Pre_Survey_May_20__2023_08_229[[#This Row],[Q4]] = 2.5, 0.5, IF(Table_EH_Pre_Survey_May_20__2023_08_229[[#This Row],[Q4]] = 3.5, 0.5, 0)))</f>
        <v>0.5</v>
      </c>
      <c r="AZ21" s="2">
        <f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f>
        <v>4</v>
      </c>
      <c r="BA21" s="2">
        <f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f>
        <v>0</v>
      </c>
      <c r="BB21" t="s">
        <v>140</v>
      </c>
      <c r="BC21">
        <f>IF(Table_EH_Pre_Survey_May_20__2023_08_229[[#This Row],[Q5 ]]="PM &lt; 2.5 μm", 1, 0)</f>
        <v>1</v>
      </c>
      <c r="BD21" t="str">
        <f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f>
        <v>PM &lt; 0.25 μm</v>
      </c>
      <c r="BE21">
        <f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f>
        <v>0</v>
      </c>
      <c r="BF21" t="s">
        <v>175</v>
      </c>
      <c r="BG21">
        <f>IF(Table_EH_Pre_Survey_May_20__2023_08_229[[#This Row],[Q6]]="Particles of this size are generally absorbed in the respiratory tract and safely excreted in mucus.", 1, 0)</f>
        <v>1</v>
      </c>
      <c r="BH21" t="str">
        <f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f>
        <v>Particles of this size reach the bronchial tree where they corrode the alveolar parenchyma.</v>
      </c>
      <c r="BI21">
        <f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f>
        <v>0</v>
      </c>
      <c r="BJ21" t="s">
        <v>224</v>
      </c>
      <c r="BK21">
        <f>IF(ISNUMBER(SEARCH("Trucks", Table_EH_Pre_Survey_May_20__2023_08_229[[#This Row],[Q7]])) = TRUE, 1, 0) + IF(ISNUMBER(SEARCH("Cars", Table_EH_Pre_Survey_May_20__2023_08_229[[#This Row],[Q7]])) = TRUE, 1, 0) + IF(ISNUMBER(SEARCH("Fireplaces", Table_EH_Pre_Survey_May_20__2023_08_229[[#This Row],[Q7]])) = TRUE, 1, 0) + IF(ISNUMBER(SEARCH("Dirt Roads", Table_EH_Pre_Survey_May_20__2023_08_229[[#This Row],[Q7]])) = TRUE, 1, 0) - IF(ISNUMBER(SEARCH("Electric Vehicles", Table_EH_Pre_Survey_May_20__2023_08_229[[#This Row],[Q7]])) = TRUE, 1, 0) - IF(ISNUMBER(SEARCH("Pollen", Table_EH_Pre_Survey_May_20__2023_08_229[[#This Row],[Q7]])) = TRUE, 1, 0)</f>
        <v>1</v>
      </c>
      <c r="BL21" t="str">
        <f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f>
        <v>Cars,Dirt Roads,Electric Vehicles,Fireplaces,Trucks</v>
      </c>
      <c r="BM21">
        <f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f>
        <v>3</v>
      </c>
      <c r="BN21">
        <v>5</v>
      </c>
      <c r="BO21">
        <f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f>
        <v>5</v>
      </c>
      <c r="BP21">
        <v>2</v>
      </c>
      <c r="BQ21">
        <f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f>
        <v>5</v>
      </c>
      <c r="BR21">
        <v>2</v>
      </c>
      <c r="BS21">
        <f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f>
        <v>5</v>
      </c>
      <c r="BT21">
        <v>1</v>
      </c>
      <c r="BU21">
        <f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f>
        <v>5</v>
      </c>
      <c r="BV21">
        <v>5</v>
      </c>
      <c r="BW21">
        <f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f>
        <v>5</v>
      </c>
      <c r="BX21">
        <v>5</v>
      </c>
      <c r="BY21">
        <f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f>
        <v>5</v>
      </c>
      <c r="BZ21">
        <v>7</v>
      </c>
      <c r="CA21">
        <f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f>
        <v>10</v>
      </c>
      <c r="CB21" t="s">
        <v>111</v>
      </c>
      <c r="CC21" t="str">
        <f>IF(ISTEXT(VLOOKUP(Table_EH_Pre_Survey_May_20__2023_08_229[[#This Row],[Unique Identifier]], 'Post-Survey Full Set'!$D$1:$AU$72, 1, 0)), VLOOKUP(Table_EH_Pre_Survey_May_20__2023_08_229[[#This Row],[Unique Identifier]], 'Post-Survey Full Set'!$D$1:$AU$72, 43, 0), VLOOKUP(Table_EH_Pre_Survey_May_20__2023_08_229[[#This Row],[Unique Identifier]], 'Post-Survey Full Set'!$V$1:$AU$72, 25, 0))</f>
        <v/>
      </c>
    </row>
    <row r="22" spans="1:81" x14ac:dyDescent="0.25">
      <c r="A22" t="s">
        <v>335</v>
      </c>
      <c r="B22" t="s">
        <v>336</v>
      </c>
      <c r="C22" t="s">
        <v>42</v>
      </c>
      <c r="D22" t="s">
        <v>337</v>
      </c>
      <c r="E22" t="str">
        <f>IF(COUNTIF($D$2:$D$103, Table_EH_Pre_Survey_May_20__2023_08_229[[#This Row],[IPAddress - IP Address]])=1, "Unique", "")</f>
        <v>Unique</v>
      </c>
      <c r="F22" t="e">
        <f>VLOOKUP(Table_EH_Pre_Survey_May_20__2023_08_229[[#This Row],[IPAddress - IP Address]], 'Post-Survey Full Set'!D:AU, 2, 0)</f>
        <v>#N/A</v>
      </c>
      <c r="G22" t="e">
        <f>VLOOKUP(Table_EH_Pre_Survey_May_20__2023_08_229[[#This Row],[IPAddress - IP Address]], 'Post-Survey Full Set'!$D$1:$AU$72, 1, 0)</f>
        <v>#N/A</v>
      </c>
      <c r="H22" s="35" t="e">
        <v>#N/A</v>
      </c>
      <c r="I22">
        <v>1</v>
      </c>
      <c r="J22" t="s">
        <v>112</v>
      </c>
      <c r="K22">
        <f>_xlfn.NUMBERVALUE(Table_EH_Pre_Survey_May_20__2023_08_229[[#This Row],[Duration (in seconds) - Duration (in seconds)2]])</f>
        <v>335</v>
      </c>
      <c r="L22" t="s">
        <v>338</v>
      </c>
      <c r="M22" t="s">
        <v>114</v>
      </c>
      <c r="N22" t="s">
        <v>339</v>
      </c>
      <c r="O22" t="e">
        <f>VLOOKUP(Table_EH_Pre_Survey_May_20__2023_08_229[[#This Row],[LocationLatitude - Location Latitude]], 'Post-Survey Full Set'!Q:AU, 1, 0)</f>
        <v>#N/A</v>
      </c>
      <c r="P22" t="e">
        <f>VLOOKUP(Table_EH_Pre_Survey_May_20__2023_08_229[[#This Row],[LocationLongitude - Location Longitude]], 'Post-Survey Full Set'!S:AV, 1, 0)</f>
        <v>#N/A</v>
      </c>
      <c r="Q22" t="s">
        <v>340</v>
      </c>
      <c r="R22" t="s">
        <v>111</v>
      </c>
      <c r="S22" t="s">
        <v>111</v>
      </c>
      <c r="T22" t="s">
        <v>111</v>
      </c>
      <c r="U22" t="s">
        <v>111</v>
      </c>
      <c r="V22" t="s">
        <v>341</v>
      </c>
      <c r="W22" t="str">
        <f>IF(COUNTIF($V$2:$V$103, Table_EH_Pre_Survey_May_20__2023_08_229[[#This Row],[LocationLatitude - Location Latitude]])=1, "Unique", "")</f>
        <v/>
      </c>
      <c r="X22" t="e">
        <f>VLOOKUP(Table_EH_Pre_Survey_May_20__2023_08_229[[#This Row],[LocationLatitude - Location Latitude]], 'Post-Survey Full Set'!Q:AU, 2, 0)</f>
        <v>#N/A</v>
      </c>
      <c r="Y22" t="s">
        <v>342</v>
      </c>
      <c r="Z22" t="e">
        <f>VLOOKUP(Table_EH_Pre_Survey_May_20__2023_08_229[[#This Row],[ResponseId - Response ID]], 'Post-Survey Full Set'!L:AU, 1, 0)</f>
        <v>#N/A</v>
      </c>
      <c r="AA22" t="s">
        <v>127</v>
      </c>
      <c r="AB22" t="s">
        <v>117</v>
      </c>
      <c r="AC22" s="35" t="s">
        <v>343</v>
      </c>
      <c r="AD22" t="s">
        <v>1271</v>
      </c>
      <c r="AE22" t="str">
        <f>IF(ISTEXT(Table_EH_Pre_Survey_May_20__2023_08_229[[#This Row],[Post-Survey NetID''s]]) = TRUE, "Match", "")</f>
        <v>Match</v>
      </c>
      <c r="AF22" t="str">
        <f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f>
        <v>Pmg128</v>
      </c>
      <c r="AG22" t="str">
        <f>IF(Table_EH_Pre_Survey_May_20__2023_08_229[[#This Row],[NetID Match]] = "Match",  "Match", IF(ISTEXT(Table_EH_Pre_Survey_May_20__2023_08_229[[#This Row],[IP Address Match]]) = TRUE, "Match", ""))</f>
        <v>Match</v>
      </c>
      <c r="AH22" s="8">
        <v>5</v>
      </c>
      <c r="AI22" s="8">
        <f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f>
        <v>5</v>
      </c>
      <c r="AJ22" s="4">
        <v>4</v>
      </c>
      <c r="AK22" s="4">
        <f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f>
        <v>5</v>
      </c>
      <c r="AL22" s="4">
        <v>5</v>
      </c>
      <c r="AM22" s="4">
        <f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f>
        <v>5</v>
      </c>
      <c r="AN22" s="4">
        <v>5</v>
      </c>
      <c r="AO22" s="4">
        <f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f>
        <v>5</v>
      </c>
      <c r="AP22" s="4">
        <v>4</v>
      </c>
      <c r="AQ22" s="4">
        <f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f>
        <v>4</v>
      </c>
      <c r="AR22" s="4">
        <v>5</v>
      </c>
      <c r="AS22" s="4">
        <f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f>
        <v>5</v>
      </c>
      <c r="AT22" s="4">
        <v>5</v>
      </c>
      <c r="AU22" s="4">
        <f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f>
        <v>5</v>
      </c>
      <c r="AV22" s="4">
        <v>4</v>
      </c>
      <c r="AW22" s="4">
        <f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f>
        <v>5</v>
      </c>
      <c r="AX22" s="2">
        <v>3.5</v>
      </c>
      <c r="AY22" s="2">
        <f>IF(Table_EH_Pre_Survey_May_20__2023_08_229[[#This Row],[Q4]] = 3, 1, IF(Table_EH_Pre_Survey_May_20__2023_08_229[[#This Row],[Q4]] = 2.5, 0.5, IF(Table_EH_Pre_Survey_May_20__2023_08_229[[#This Row],[Q4]] = 3.5, 0.5, 0)))</f>
        <v>0.5</v>
      </c>
      <c r="AZ22" s="2">
        <f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f>
        <v>3</v>
      </c>
      <c r="BA22" s="2">
        <f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f>
        <v>1</v>
      </c>
      <c r="BB22" t="s">
        <v>130</v>
      </c>
      <c r="BC22">
        <f>IF(Table_EH_Pre_Survey_May_20__2023_08_229[[#This Row],[Q5 ]]="PM &lt; 2.5 μm", 1, 0)</f>
        <v>0</v>
      </c>
      <c r="BD22" t="str">
        <f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f>
        <v>PM &lt; 2.5 μm</v>
      </c>
      <c r="BE22">
        <f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f>
        <v>1</v>
      </c>
      <c r="BF22" t="s">
        <v>175</v>
      </c>
      <c r="BG22">
        <f>IF(Table_EH_Pre_Survey_May_20__2023_08_229[[#This Row],[Q6]]="Particles of this size are generally absorbed in the respiratory tract and safely excreted in mucus.", 1, 0)</f>
        <v>1</v>
      </c>
      <c r="BH22" t="str">
        <f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f>
        <v>Particles of this size are generally absorbed in the respiratory tract and safely excreted in mucus.</v>
      </c>
      <c r="BI22">
        <f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f>
        <v>1</v>
      </c>
      <c r="BJ22" t="s">
        <v>156</v>
      </c>
      <c r="BK22">
        <f>IF(ISNUMBER(SEARCH("Trucks", Table_EH_Pre_Survey_May_20__2023_08_229[[#This Row],[Q7]])) = TRUE, 1, 0) + IF(ISNUMBER(SEARCH("Cars", Table_EH_Pre_Survey_May_20__2023_08_229[[#This Row],[Q7]])) = TRUE, 1, 0) + IF(ISNUMBER(SEARCH("Fireplaces", Table_EH_Pre_Survey_May_20__2023_08_229[[#This Row],[Q7]])) = TRUE, 1, 0) + IF(ISNUMBER(SEARCH("Dirt Roads", Table_EH_Pre_Survey_May_20__2023_08_229[[#This Row],[Q7]])) = TRUE, 1, 0) - IF(ISNUMBER(SEARCH("Electric Vehicles", Table_EH_Pre_Survey_May_20__2023_08_229[[#This Row],[Q7]])) = TRUE, 1, 0) - IF(ISNUMBER(SEARCH("Pollen", Table_EH_Pre_Survey_May_20__2023_08_229[[#This Row],[Q7]])) = TRUE, 1, 0)</f>
        <v>4</v>
      </c>
      <c r="BL22" t="str">
        <f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f>
        <v>Cars,Dirt Roads,Electric Vehicles,Fireplaces,Pollen,Trucks</v>
      </c>
      <c r="BM22">
        <f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f>
        <v>2</v>
      </c>
      <c r="BN22">
        <v>1</v>
      </c>
      <c r="BO22">
        <f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f>
        <v>5</v>
      </c>
      <c r="BP22">
        <v>1</v>
      </c>
      <c r="BQ22">
        <f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f>
        <v>2</v>
      </c>
      <c r="BR22">
        <v>2</v>
      </c>
      <c r="BS22">
        <f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f>
        <v>3</v>
      </c>
      <c r="BT22">
        <v>1</v>
      </c>
      <c r="BU22">
        <f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f>
        <v>3</v>
      </c>
      <c r="BV22">
        <v>4</v>
      </c>
      <c r="BW22">
        <f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f>
        <v>5</v>
      </c>
      <c r="BX22">
        <v>1</v>
      </c>
      <c r="BY22">
        <f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f>
        <v>4</v>
      </c>
      <c r="BZ22">
        <v>7</v>
      </c>
      <c r="CA22">
        <f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f>
        <v>9</v>
      </c>
      <c r="CB22" t="s">
        <v>344</v>
      </c>
      <c r="CC22" t="str">
        <f>IF(ISTEXT(VLOOKUP(Table_EH_Pre_Survey_May_20__2023_08_229[[#This Row],[Unique Identifier]], 'Post-Survey Full Set'!$D$1:$AU$72, 1, 0)), VLOOKUP(Table_EH_Pre_Survey_May_20__2023_08_229[[#This Row],[Unique Identifier]], 'Post-Survey Full Set'!$D$1:$AU$72, 43, 0), VLOOKUP(Table_EH_Pre_Survey_May_20__2023_08_229[[#This Row],[Unique Identifier]], 'Post-Survey Full Set'!$V$1:$AU$72, 25, 0))</f>
        <v/>
      </c>
    </row>
    <row r="23" spans="1:81" x14ac:dyDescent="0.25">
      <c r="A23" t="s">
        <v>298</v>
      </c>
      <c r="B23" t="s">
        <v>299</v>
      </c>
      <c r="C23" t="s">
        <v>42</v>
      </c>
      <c r="D23" t="s">
        <v>300</v>
      </c>
      <c r="E23" t="str">
        <f>IF(COUNTIF($D$2:$D$103, Table_EH_Pre_Survey_May_20__2023_08_229[[#This Row],[IPAddress - IP Address]])=1, "Unique", "")</f>
        <v>Unique</v>
      </c>
      <c r="F23" t="e">
        <f>VLOOKUP(Table_EH_Pre_Survey_May_20__2023_08_229[[#This Row],[IPAddress - IP Address]], 'Post-Survey Full Set'!D:AU, 2, 0)</f>
        <v>#N/A</v>
      </c>
      <c r="G23" t="e">
        <f>VLOOKUP(Table_EH_Pre_Survey_May_20__2023_08_229[[#This Row],[IPAddress - IP Address]], 'Post-Survey Full Set'!$D$1:$AU$72, 1, 0)</f>
        <v>#N/A</v>
      </c>
      <c r="H23" s="35" t="e">
        <v>#N/A</v>
      </c>
      <c r="I23">
        <v>1</v>
      </c>
      <c r="J23" t="s">
        <v>112</v>
      </c>
      <c r="K23">
        <f>_xlfn.NUMBERVALUE(Table_EH_Pre_Survey_May_20__2023_08_229[[#This Row],[Duration (in seconds) - Duration (in seconds)2]])</f>
        <v>117</v>
      </c>
      <c r="L23" t="s">
        <v>301</v>
      </c>
      <c r="M23" t="s">
        <v>114</v>
      </c>
      <c r="N23" t="s">
        <v>302</v>
      </c>
      <c r="O23" t="str">
        <f>VLOOKUP(Table_EH_Pre_Survey_May_20__2023_08_229[[#This Row],[LocationLatitude - Location Latitude]], 'Post-Survey Full Set'!Q:AU, 1, 0)</f>
        <v>40.5175</v>
      </c>
      <c r="P23" t="str">
        <f>VLOOKUP(Table_EH_Pre_Survey_May_20__2023_08_229[[#This Row],[LocationLongitude - Location Longitude]], 'Post-Survey Full Set'!S:AV, 1, 0)</f>
        <v>-74.3991</v>
      </c>
      <c r="Q23" t="s">
        <v>303</v>
      </c>
      <c r="R23" t="s">
        <v>111</v>
      </c>
      <c r="S23" t="s">
        <v>111</v>
      </c>
      <c r="T23" t="s">
        <v>111</v>
      </c>
      <c r="U23" t="s">
        <v>111</v>
      </c>
      <c r="V23" t="s">
        <v>229</v>
      </c>
      <c r="W23" t="str">
        <f>IF(COUNTIF($V$2:$V$103, Table_EH_Pre_Survey_May_20__2023_08_229[[#This Row],[LocationLatitude - Location Latitude]])=1, "Unique", "")</f>
        <v/>
      </c>
      <c r="X23" t="str">
        <f>VLOOKUP(Table_EH_Pre_Survey_May_20__2023_08_229[[#This Row],[LocationLatitude - Location Latitude]], 'Post-Survey Full Set'!Q:AU, 2, 0)</f>
        <v>Unique</v>
      </c>
      <c r="Y23" t="s">
        <v>230</v>
      </c>
      <c r="Z23" t="e">
        <f>VLOOKUP(Table_EH_Pre_Survey_May_20__2023_08_229[[#This Row],[ResponseId - Response ID]], 'Post-Survey Full Set'!L:AU, 1, 0)</f>
        <v>#N/A</v>
      </c>
      <c r="AA23" t="s">
        <v>127</v>
      </c>
      <c r="AB23" t="s">
        <v>117</v>
      </c>
      <c r="AC23" s="35" t="s">
        <v>304</v>
      </c>
      <c r="AD23" t="s">
        <v>304</v>
      </c>
      <c r="AE23" t="str">
        <f>IF(ISTEXT(Table_EH_Pre_Survey_May_20__2023_08_229[[#This Row],[Post-Survey NetID''s]]) = TRUE, "Match", "")</f>
        <v>Match</v>
      </c>
      <c r="AF23" t="str">
        <f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f>
        <v>Phl28</v>
      </c>
      <c r="AG23" t="str">
        <f>IF(Table_EH_Pre_Survey_May_20__2023_08_229[[#This Row],[NetID Match]] = "Match",  "Match", IF(ISTEXT(Table_EH_Pre_Survey_May_20__2023_08_229[[#This Row],[IP Address Match]]) = TRUE, "Match", ""))</f>
        <v>Match</v>
      </c>
      <c r="AH23" s="8">
        <v>4</v>
      </c>
      <c r="AI23" s="8">
        <f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f>
        <v>5</v>
      </c>
      <c r="AJ23" s="4">
        <v>4</v>
      </c>
      <c r="AK23" s="4">
        <f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f>
        <v>4</v>
      </c>
      <c r="AL23" s="4">
        <v>5</v>
      </c>
      <c r="AM23" s="4">
        <f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f>
        <v>4</v>
      </c>
      <c r="AN23" s="4">
        <v>5</v>
      </c>
      <c r="AO23" s="4">
        <f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f>
        <v>4</v>
      </c>
      <c r="AP23" s="4">
        <v>3</v>
      </c>
      <c r="AQ23" s="4">
        <f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f>
        <v>3</v>
      </c>
      <c r="AR23" s="4">
        <v>3</v>
      </c>
      <c r="AS23" s="4">
        <f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f>
        <v>3</v>
      </c>
      <c r="AT23" s="4">
        <v>4</v>
      </c>
      <c r="AU23" s="4">
        <f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f>
        <v>4</v>
      </c>
      <c r="AV23" s="4">
        <v>3</v>
      </c>
      <c r="AW23" s="4">
        <f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f>
        <v>3</v>
      </c>
      <c r="AX23" s="2">
        <v>3.5</v>
      </c>
      <c r="AY23" s="2">
        <f>IF(Table_EH_Pre_Survey_May_20__2023_08_229[[#This Row],[Q4]] = 3, 1, IF(Table_EH_Pre_Survey_May_20__2023_08_229[[#This Row],[Q4]] = 2.5, 0.5, IF(Table_EH_Pre_Survey_May_20__2023_08_229[[#This Row],[Q4]] = 3.5, 0.5, 0)))</f>
        <v>0.5</v>
      </c>
      <c r="AZ23" s="2">
        <f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f>
        <v>4.5</v>
      </c>
      <c r="BA23" s="2">
        <f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f>
        <v>0</v>
      </c>
      <c r="BB23" t="s">
        <v>185</v>
      </c>
      <c r="BC23">
        <f>IF(Table_EH_Pre_Survey_May_20__2023_08_229[[#This Row],[Q5 ]]="PM &lt; 2.5 μm", 1, 0)</f>
        <v>0</v>
      </c>
      <c r="BD23" t="str">
        <f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f>
        <v>PM &lt; 0.25 μm</v>
      </c>
      <c r="BE23">
        <f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f>
        <v>0</v>
      </c>
      <c r="BF23" t="s">
        <v>155</v>
      </c>
      <c r="BG23">
        <f>IF(Table_EH_Pre_Survey_May_20__2023_08_229[[#This Row],[Q6]]="Particles of this size are generally absorbed in the respiratory tract and safely excreted in mucus.", 1, 0)</f>
        <v>0</v>
      </c>
      <c r="BH23" t="str">
        <f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f>
        <v>Particles of this size include dust and pollen and are the main source of seasonal rhinitis</v>
      </c>
      <c r="BI23">
        <f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f>
        <v>0</v>
      </c>
      <c r="BJ23" t="s">
        <v>142</v>
      </c>
      <c r="BK23">
        <f>IF(ISNUMBER(SEARCH("Trucks", Table_EH_Pre_Survey_May_20__2023_08_229[[#This Row],[Q7]])) = TRUE, 1, 0) + IF(ISNUMBER(SEARCH("Cars", Table_EH_Pre_Survey_May_20__2023_08_229[[#This Row],[Q7]])) = TRUE, 1, 0) + IF(ISNUMBER(SEARCH("Fireplaces", Table_EH_Pre_Survey_May_20__2023_08_229[[#This Row],[Q7]])) = TRUE, 1, 0) + IF(ISNUMBER(SEARCH("Dirt Roads", Table_EH_Pre_Survey_May_20__2023_08_229[[#This Row],[Q7]])) = TRUE, 1, 0) - IF(ISNUMBER(SEARCH("Electric Vehicles", Table_EH_Pre_Survey_May_20__2023_08_229[[#This Row],[Q7]])) = TRUE, 1, 0) - IF(ISNUMBER(SEARCH("Pollen", Table_EH_Pre_Survey_May_20__2023_08_229[[#This Row],[Q7]])) = TRUE, 1, 0)</f>
        <v>2</v>
      </c>
      <c r="BL23" t="str">
        <f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f>
        <v>Cars,Dirt Roads,Fireplaces,Pollen,Trucks</v>
      </c>
      <c r="BM23">
        <f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f>
        <v>3</v>
      </c>
      <c r="BN23">
        <v>3</v>
      </c>
      <c r="BO23">
        <f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f>
        <v>4</v>
      </c>
      <c r="BP23">
        <v>2</v>
      </c>
      <c r="BQ23">
        <f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f>
        <v>3</v>
      </c>
      <c r="BR23">
        <v>3</v>
      </c>
      <c r="BS23">
        <f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f>
        <v>3</v>
      </c>
      <c r="BT23">
        <v>3</v>
      </c>
      <c r="BU23">
        <f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f>
        <v>3</v>
      </c>
      <c r="BV23">
        <v>4</v>
      </c>
      <c r="BW23">
        <f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f>
        <v>4</v>
      </c>
      <c r="BX23">
        <v>3</v>
      </c>
      <c r="BY23">
        <f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f>
        <v>3</v>
      </c>
      <c r="BZ23">
        <v>5</v>
      </c>
      <c r="CA23">
        <f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f>
        <v>8</v>
      </c>
      <c r="CB23" t="s">
        <v>111</v>
      </c>
      <c r="CC23" t="str">
        <f>IF(ISTEXT(VLOOKUP(Table_EH_Pre_Survey_May_20__2023_08_229[[#This Row],[Unique Identifier]], 'Post-Survey Full Set'!$D$1:$AU$72, 1, 0)), VLOOKUP(Table_EH_Pre_Survey_May_20__2023_08_229[[#This Row],[Unique Identifier]], 'Post-Survey Full Set'!$D$1:$AU$72, 43, 0), VLOOKUP(Table_EH_Pre_Survey_May_20__2023_08_229[[#This Row],[Unique Identifier]], 'Post-Survey Full Set'!$V$1:$AU$72, 25, 0))</f>
        <v/>
      </c>
    </row>
    <row r="24" spans="1:81" x14ac:dyDescent="0.25">
      <c r="A24" t="s">
        <v>492</v>
      </c>
      <c r="B24" t="s">
        <v>485</v>
      </c>
      <c r="C24" t="s">
        <v>42</v>
      </c>
      <c r="D24" t="s">
        <v>493</v>
      </c>
      <c r="E24" t="str">
        <f>IF(COUNTIF($D$2:$D$103, Table_EH_Pre_Survey_May_20__2023_08_229[[#This Row],[IPAddress - IP Address]])=1, "Unique", "")</f>
        <v>Unique</v>
      </c>
      <c r="F24" t="e">
        <f>VLOOKUP(Table_EH_Pre_Survey_May_20__2023_08_229[[#This Row],[IPAddress - IP Address]], 'Post-Survey Full Set'!D:AU, 2, 0)</f>
        <v>#N/A</v>
      </c>
      <c r="G24" t="e">
        <f>VLOOKUP(Table_EH_Pre_Survey_May_20__2023_08_229[[#This Row],[IPAddress - IP Address]], 'Post-Survey Full Set'!$D$1:$AU$72, 1, 0)</f>
        <v>#N/A</v>
      </c>
      <c r="H24" s="35" t="e">
        <v>#N/A</v>
      </c>
      <c r="I24">
        <v>1</v>
      </c>
      <c r="J24" t="s">
        <v>112</v>
      </c>
      <c r="K24">
        <f>_xlfn.NUMBERVALUE(Table_EH_Pre_Survey_May_20__2023_08_229[[#This Row],[Duration (in seconds) - Duration (in seconds)2]])</f>
        <v>121</v>
      </c>
      <c r="L24" t="s">
        <v>494</v>
      </c>
      <c r="M24" t="s">
        <v>114</v>
      </c>
      <c r="N24" t="s">
        <v>485</v>
      </c>
      <c r="O24" t="str">
        <f>VLOOKUP(Table_EH_Pre_Survey_May_20__2023_08_229[[#This Row],[LocationLatitude - Location Latitude]], 'Post-Survey Full Set'!Q:AU, 1, 0)</f>
        <v>40.488</v>
      </c>
      <c r="P24" t="str">
        <f>VLOOKUP(Table_EH_Pre_Survey_May_20__2023_08_229[[#This Row],[LocationLongitude - Location Longitude]], 'Post-Survey Full Set'!S:AV, 1, 0)</f>
        <v>-74.4544</v>
      </c>
      <c r="Q24" t="s">
        <v>495</v>
      </c>
      <c r="R24" t="s">
        <v>111</v>
      </c>
      <c r="S24" t="s">
        <v>111</v>
      </c>
      <c r="T24" t="s">
        <v>111</v>
      </c>
      <c r="U24" t="s">
        <v>111</v>
      </c>
      <c r="V24" t="s">
        <v>351</v>
      </c>
      <c r="W24" t="str">
        <f>IF(COUNTIF($V$2:$V$103, Table_EH_Pre_Survey_May_20__2023_08_229[[#This Row],[LocationLatitude - Location Latitude]])=1, "Unique", "")</f>
        <v/>
      </c>
      <c r="X24" t="str">
        <f>VLOOKUP(Table_EH_Pre_Survey_May_20__2023_08_229[[#This Row],[LocationLatitude - Location Latitude]], 'Post-Survey Full Set'!Q:AU, 2, 0)</f>
        <v/>
      </c>
      <c r="Y24" t="s">
        <v>352</v>
      </c>
      <c r="Z24" t="e">
        <f>VLOOKUP(Table_EH_Pre_Survey_May_20__2023_08_229[[#This Row],[ResponseId - Response ID]], 'Post-Survey Full Set'!L:AU, 1, 0)</f>
        <v>#N/A</v>
      </c>
      <c r="AA24" t="s">
        <v>487</v>
      </c>
      <c r="AB24" t="s">
        <v>117</v>
      </c>
      <c r="AC24" s="35" t="s">
        <v>496</v>
      </c>
      <c r="AD24" t="s">
        <v>496</v>
      </c>
      <c r="AE24" t="str">
        <f>IF(ISTEXT(Table_EH_Pre_Survey_May_20__2023_08_229[[#This Row],[Post-Survey NetID''s]]) = TRUE, "Match", "")</f>
        <v>Match</v>
      </c>
      <c r="AF24" t="str">
        <f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f>
        <v>Pfa13</v>
      </c>
      <c r="AG24" t="str">
        <f>IF(Table_EH_Pre_Survey_May_20__2023_08_229[[#This Row],[NetID Match]] = "Match",  "Match", IF(ISTEXT(Table_EH_Pre_Survey_May_20__2023_08_229[[#This Row],[IP Address Match]]) = TRUE, "Match", ""))</f>
        <v>Match</v>
      </c>
      <c r="AH24" s="8">
        <v>3</v>
      </c>
      <c r="AI24" s="8">
        <f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f>
        <v>4</v>
      </c>
      <c r="AJ24" s="4">
        <v>2</v>
      </c>
      <c r="AK24" s="4">
        <f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f>
        <v>5</v>
      </c>
      <c r="AL24" s="4">
        <v>4</v>
      </c>
      <c r="AM24" s="4">
        <f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f>
        <v>3</v>
      </c>
      <c r="AN24" s="4">
        <v>5</v>
      </c>
      <c r="AO24" s="4">
        <f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f>
        <v>4</v>
      </c>
      <c r="AP24" s="4">
        <v>1</v>
      </c>
      <c r="AQ24" s="4">
        <f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f>
        <v>1</v>
      </c>
      <c r="AR24" s="4">
        <v>2</v>
      </c>
      <c r="AS24" s="4">
        <f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f>
        <v>1</v>
      </c>
      <c r="AT24" s="4">
        <v>5</v>
      </c>
      <c r="AU24" s="4">
        <f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f>
        <v>4</v>
      </c>
      <c r="AV24" s="4">
        <v>2</v>
      </c>
      <c r="AW24" s="4">
        <f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f>
        <v>1</v>
      </c>
      <c r="AX24" s="2">
        <v>4</v>
      </c>
      <c r="AY24" s="2">
        <f>IF(Table_EH_Pre_Survey_May_20__2023_08_229[[#This Row],[Q4]] = 3, 1, IF(Table_EH_Pre_Survey_May_20__2023_08_229[[#This Row],[Q4]] = 2.5, 0.5, IF(Table_EH_Pre_Survey_May_20__2023_08_229[[#This Row],[Q4]] = 3.5, 0.5, 0)))</f>
        <v>0</v>
      </c>
      <c r="AZ24" s="2">
        <f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f>
        <v>2.5</v>
      </c>
      <c r="BA24" s="2">
        <f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f>
        <v>0.5</v>
      </c>
      <c r="BB24" t="s">
        <v>140</v>
      </c>
      <c r="BC24">
        <f>IF(Table_EH_Pre_Survey_May_20__2023_08_229[[#This Row],[Q5 ]]="PM &lt; 2.5 μm", 1, 0)</f>
        <v>1</v>
      </c>
      <c r="BD24" t="str">
        <f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f>
        <v>PM &lt; 2.5 μm</v>
      </c>
      <c r="BE24">
        <f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f>
        <v>1</v>
      </c>
      <c r="BF24" t="s">
        <v>175</v>
      </c>
      <c r="BG24">
        <f>IF(Table_EH_Pre_Survey_May_20__2023_08_229[[#This Row],[Q6]]="Particles of this size are generally absorbed in the respiratory tract and safely excreted in mucus.", 1, 0)</f>
        <v>1</v>
      </c>
      <c r="BH24" t="str">
        <f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f>
        <v>Particles of this size are generally absorbed in the respiratory tract and safely excreted in mucus.</v>
      </c>
      <c r="BI24">
        <f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f>
        <v>1</v>
      </c>
      <c r="BJ24" t="s">
        <v>142</v>
      </c>
      <c r="BK24">
        <f>IF(ISNUMBER(SEARCH("Trucks", Table_EH_Pre_Survey_May_20__2023_08_229[[#This Row],[Q7]])) = TRUE, 1, 0) + IF(ISNUMBER(SEARCH("Cars", Table_EH_Pre_Survey_May_20__2023_08_229[[#This Row],[Q7]])) = TRUE, 1, 0) + IF(ISNUMBER(SEARCH("Fireplaces", Table_EH_Pre_Survey_May_20__2023_08_229[[#This Row],[Q7]])) = TRUE, 1, 0) + IF(ISNUMBER(SEARCH("Dirt Roads", Table_EH_Pre_Survey_May_20__2023_08_229[[#This Row],[Q7]])) = TRUE, 1, 0) - IF(ISNUMBER(SEARCH("Electric Vehicles", Table_EH_Pre_Survey_May_20__2023_08_229[[#This Row],[Q7]])) = TRUE, 1, 0) - IF(ISNUMBER(SEARCH("Pollen", Table_EH_Pre_Survey_May_20__2023_08_229[[#This Row],[Q7]])) = TRUE, 1, 0)</f>
        <v>2</v>
      </c>
      <c r="BL24" t="str">
        <f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f>
        <v>Dirt Roads,Fireplaces,Pollen</v>
      </c>
      <c r="BM24">
        <f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f>
        <v>1</v>
      </c>
      <c r="BN24">
        <v>4</v>
      </c>
      <c r="BO24">
        <f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f>
        <v>4</v>
      </c>
      <c r="BP24">
        <v>1</v>
      </c>
      <c r="BQ24">
        <f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f>
        <v>3</v>
      </c>
      <c r="BR24">
        <v>5</v>
      </c>
      <c r="BS24">
        <f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f>
        <v>3</v>
      </c>
      <c r="BT24">
        <v>1</v>
      </c>
      <c r="BU24">
        <f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f>
        <v>2</v>
      </c>
      <c r="BV24">
        <v>2</v>
      </c>
      <c r="BW24">
        <f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f>
        <v>3</v>
      </c>
      <c r="BX24">
        <v>4</v>
      </c>
      <c r="BY24">
        <f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f>
        <v>5</v>
      </c>
      <c r="BZ24">
        <v>7</v>
      </c>
      <c r="CA24">
        <f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f>
        <v>10</v>
      </c>
      <c r="CB24" t="s">
        <v>497</v>
      </c>
      <c r="CC24" t="str">
        <f>IF(ISTEXT(VLOOKUP(Table_EH_Pre_Survey_May_20__2023_08_229[[#This Row],[Unique Identifier]], 'Post-Survey Full Set'!$D$1:$AU$72, 1, 0)), VLOOKUP(Table_EH_Pre_Survey_May_20__2023_08_229[[#This Row],[Unique Identifier]], 'Post-Survey Full Set'!$D$1:$AU$72, 43, 0), VLOOKUP(Table_EH_Pre_Survey_May_20__2023_08_229[[#This Row],[Unique Identifier]], 'Post-Survey Full Set'!$V$1:$AU$72, 25, 0))</f>
        <v>Gas vs electric stoves and their health effects on a family, especially children.</v>
      </c>
    </row>
    <row r="25" spans="1:81" x14ac:dyDescent="0.25">
      <c r="A25" t="s">
        <v>209</v>
      </c>
      <c r="B25" t="s">
        <v>210</v>
      </c>
      <c r="C25" t="s">
        <v>42</v>
      </c>
      <c r="D25" t="s">
        <v>211</v>
      </c>
      <c r="E25" t="str">
        <f>IF(COUNTIF($D$2:$D$103, Table_EH_Pre_Survey_May_20__2023_08_229[[#This Row],[IPAddress - IP Address]])=1, "Unique", "")</f>
        <v>Unique</v>
      </c>
      <c r="F25" t="e">
        <f>VLOOKUP(Table_EH_Pre_Survey_May_20__2023_08_229[[#This Row],[IPAddress - IP Address]], 'Post-Survey Full Set'!D:AU, 2, 0)</f>
        <v>#N/A</v>
      </c>
      <c r="G25" t="e">
        <f>VLOOKUP(Table_EH_Pre_Survey_May_20__2023_08_229[[#This Row],[IPAddress - IP Address]], 'Post-Survey Full Set'!$D$1:$AU$72, 1, 0)</f>
        <v>#N/A</v>
      </c>
      <c r="H25" s="35" t="e">
        <v>#N/A</v>
      </c>
      <c r="I25">
        <v>1</v>
      </c>
      <c r="J25" t="s">
        <v>112</v>
      </c>
      <c r="K25">
        <f>_xlfn.NUMBERVALUE(Table_EH_Pre_Survey_May_20__2023_08_229[[#This Row],[Duration (in seconds) - Duration (in seconds)2]])</f>
        <v>96</v>
      </c>
      <c r="L25" t="s">
        <v>212</v>
      </c>
      <c r="M25" t="s">
        <v>114</v>
      </c>
      <c r="N25" t="s">
        <v>210</v>
      </c>
      <c r="O25" t="str">
        <f>VLOOKUP(Table_EH_Pre_Survey_May_20__2023_08_229[[#This Row],[LocationLatitude - Location Latitude]], 'Post-Survey Full Set'!Q:AU, 1, 0)</f>
        <v>40.7523</v>
      </c>
      <c r="P25" t="str">
        <f>VLOOKUP(Table_EH_Pre_Survey_May_20__2023_08_229[[#This Row],[LocationLongitude - Location Longitude]], 'Post-Survey Full Set'!S:AV, 1, 0)</f>
        <v>-74.2172</v>
      </c>
      <c r="Q25" t="s">
        <v>213</v>
      </c>
      <c r="R25" t="s">
        <v>111</v>
      </c>
      <c r="S25" t="s">
        <v>111</v>
      </c>
      <c r="T25" t="s">
        <v>111</v>
      </c>
      <c r="U25" t="s">
        <v>111</v>
      </c>
      <c r="V25" t="s">
        <v>214</v>
      </c>
      <c r="W25" t="str">
        <f>IF(COUNTIF($V$2:$V$103, Table_EH_Pre_Survey_May_20__2023_08_229[[#This Row],[LocationLatitude - Location Latitude]])=1, "Unique", "")</f>
        <v/>
      </c>
      <c r="X25" t="str">
        <f>VLOOKUP(Table_EH_Pre_Survey_May_20__2023_08_229[[#This Row],[LocationLatitude - Location Latitude]], 'Post-Survey Full Set'!Q:AU, 2, 0)</f>
        <v>Unique</v>
      </c>
      <c r="Y25" t="s">
        <v>215</v>
      </c>
      <c r="Z25" t="e">
        <f>VLOOKUP(Table_EH_Pre_Survey_May_20__2023_08_229[[#This Row],[ResponseId - Response ID]], 'Post-Survey Full Set'!L:AU, 1, 0)</f>
        <v>#N/A</v>
      </c>
      <c r="AA25" t="s">
        <v>127</v>
      </c>
      <c r="AB25" t="s">
        <v>117</v>
      </c>
      <c r="AC25" s="35" t="s">
        <v>216</v>
      </c>
      <c r="AD25" t="s">
        <v>1018</v>
      </c>
      <c r="AE25" t="str">
        <f>IF(ISTEXT(Table_EH_Pre_Survey_May_20__2023_08_229[[#This Row],[Post-Survey NetID''s]]) = TRUE, "Match", "")</f>
        <v>Match</v>
      </c>
      <c r="AF25" t="str">
        <f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f>
        <v>pb658</v>
      </c>
      <c r="AG25" t="str">
        <f>IF(Table_EH_Pre_Survey_May_20__2023_08_229[[#This Row],[NetID Match]] = "Match",  "Match", IF(ISTEXT(Table_EH_Pre_Survey_May_20__2023_08_229[[#This Row],[IP Address Match]]) = TRUE, "Match", ""))</f>
        <v>Match</v>
      </c>
      <c r="AH25" s="8">
        <v>1</v>
      </c>
      <c r="AI25" s="8">
        <f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f>
        <v>3</v>
      </c>
      <c r="AJ25" s="4">
        <v>2</v>
      </c>
      <c r="AK25" s="4">
        <f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f>
        <v>4</v>
      </c>
      <c r="AL25" s="4">
        <v>5</v>
      </c>
      <c r="AM25" s="4">
        <f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f>
        <v>4</v>
      </c>
      <c r="AN25" s="4">
        <v>2</v>
      </c>
      <c r="AO25" s="4">
        <f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f>
        <v>5</v>
      </c>
      <c r="AP25" s="4">
        <v>0</v>
      </c>
      <c r="AQ25" s="4">
        <f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f>
        <v>0</v>
      </c>
      <c r="AR25" s="4">
        <v>0</v>
      </c>
      <c r="AS25" s="4">
        <f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f>
        <v>0</v>
      </c>
      <c r="AT25" s="4">
        <v>2</v>
      </c>
      <c r="AU25" s="4">
        <f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f>
        <v>5</v>
      </c>
      <c r="AV25" s="4">
        <v>0</v>
      </c>
      <c r="AW25" s="4">
        <f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f>
        <v>0</v>
      </c>
      <c r="AX25" s="2">
        <v>4</v>
      </c>
      <c r="AY25" s="2">
        <f>IF(Table_EH_Pre_Survey_May_20__2023_08_229[[#This Row],[Q4]] = 3, 1, IF(Table_EH_Pre_Survey_May_20__2023_08_229[[#This Row],[Q4]] = 2.5, 0.5, IF(Table_EH_Pre_Survey_May_20__2023_08_229[[#This Row],[Q4]] = 3.5, 0.5, 0)))</f>
        <v>0</v>
      </c>
      <c r="AZ25" s="2">
        <f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f>
        <v>4</v>
      </c>
      <c r="BA25" s="2">
        <f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f>
        <v>0</v>
      </c>
      <c r="BB25" t="s">
        <v>130</v>
      </c>
      <c r="BC25">
        <f>IF(Table_EH_Pre_Survey_May_20__2023_08_229[[#This Row],[Q5 ]]="PM &lt; 2.5 μm", 1, 0)</f>
        <v>0</v>
      </c>
      <c r="BD25" t="str">
        <f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f>
        <v>PM &lt; 2.5 μm</v>
      </c>
      <c r="BE25">
        <f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f>
        <v>1</v>
      </c>
      <c r="BF25" t="s">
        <v>131</v>
      </c>
      <c r="BG25">
        <f>IF(Table_EH_Pre_Survey_May_20__2023_08_229[[#This Row],[Q6]]="Particles of this size are generally absorbed in the respiratory tract and safely excreted in mucus.", 1, 0)</f>
        <v>0</v>
      </c>
      <c r="BH25" t="str">
        <f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f>
        <v>Particles of this size are generally absorbed in the respiratory tract and safely excreted in mucus.</v>
      </c>
      <c r="BI25">
        <f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f>
        <v>1</v>
      </c>
      <c r="BJ25" t="s">
        <v>167</v>
      </c>
      <c r="BK25">
        <f>IF(ISNUMBER(SEARCH("Trucks", Table_EH_Pre_Survey_May_20__2023_08_229[[#This Row],[Q7]])) = TRUE, 1, 0) + IF(ISNUMBER(SEARCH("Cars", Table_EH_Pre_Survey_May_20__2023_08_229[[#This Row],[Q7]])) = TRUE, 1, 0) + IF(ISNUMBER(SEARCH("Fireplaces", Table_EH_Pre_Survey_May_20__2023_08_229[[#This Row],[Q7]])) = TRUE, 1, 0) + IF(ISNUMBER(SEARCH("Dirt Roads", Table_EH_Pre_Survey_May_20__2023_08_229[[#This Row],[Q7]])) = TRUE, 1, 0) - IF(ISNUMBER(SEARCH("Electric Vehicles", Table_EH_Pre_Survey_May_20__2023_08_229[[#This Row],[Q7]])) = TRUE, 1, 0) - IF(ISNUMBER(SEARCH("Pollen", Table_EH_Pre_Survey_May_20__2023_08_229[[#This Row],[Q7]])) = TRUE, 1, 0)</f>
        <v>3</v>
      </c>
      <c r="BL25" t="str">
        <f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f>
        <v>Cars,Dirt Roads,Pollen,Trucks</v>
      </c>
      <c r="BM25">
        <f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f>
        <v>2</v>
      </c>
      <c r="BN25">
        <v>5</v>
      </c>
      <c r="BO25">
        <f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f>
        <v>4</v>
      </c>
      <c r="BP25">
        <v>3</v>
      </c>
      <c r="BQ25">
        <f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f>
        <v>4</v>
      </c>
      <c r="BR25">
        <v>5</v>
      </c>
      <c r="BS25">
        <f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f>
        <v>4</v>
      </c>
      <c r="BT25">
        <v>5</v>
      </c>
      <c r="BU25">
        <f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f>
        <v>4</v>
      </c>
      <c r="BV25">
        <v>5</v>
      </c>
      <c r="BW25">
        <f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f>
        <v>4</v>
      </c>
      <c r="BX25">
        <v>5</v>
      </c>
      <c r="BY25">
        <f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f>
        <v>4</v>
      </c>
      <c r="BZ25">
        <v>8</v>
      </c>
      <c r="CA25">
        <f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f>
        <v>6</v>
      </c>
      <c r="CB25" t="s">
        <v>111</v>
      </c>
      <c r="CC25" t="str">
        <f>IF(ISTEXT(VLOOKUP(Table_EH_Pre_Survey_May_20__2023_08_229[[#This Row],[Unique Identifier]], 'Post-Survey Full Set'!$D$1:$AU$72, 1, 0)), VLOOKUP(Table_EH_Pre_Survey_May_20__2023_08_229[[#This Row],[Unique Identifier]], 'Post-Survey Full Set'!$D$1:$AU$72, 43, 0), VLOOKUP(Table_EH_Pre_Survey_May_20__2023_08_229[[#This Row],[Unique Identifier]], 'Post-Survey Full Set'!$V$1:$AU$72, 25, 0))</f>
        <v/>
      </c>
    </row>
    <row r="26" spans="1:81" x14ac:dyDescent="0.25">
      <c r="A26" t="s">
        <v>404</v>
      </c>
      <c r="B26" t="s">
        <v>405</v>
      </c>
      <c r="C26" t="s">
        <v>42</v>
      </c>
      <c r="D26" t="s">
        <v>406</v>
      </c>
      <c r="E26" t="str">
        <f>IF(COUNTIF($D$2:$D$103, Table_EH_Pre_Survey_May_20__2023_08_229[[#This Row],[IPAddress - IP Address]])=1, "Unique", "")</f>
        <v>Unique</v>
      </c>
      <c r="F26" t="e">
        <f>VLOOKUP(Table_EH_Pre_Survey_May_20__2023_08_229[[#This Row],[IPAddress - IP Address]], 'Post-Survey Full Set'!D:AU, 2, 0)</f>
        <v>#N/A</v>
      </c>
      <c r="G26" t="e">
        <f>VLOOKUP(Table_EH_Pre_Survey_May_20__2023_08_229[[#This Row],[IPAddress - IP Address]], 'Post-Survey Full Set'!$D$1:$AU$72, 1, 0)</f>
        <v>#N/A</v>
      </c>
      <c r="H26" s="35" t="e">
        <v>#N/A</v>
      </c>
      <c r="I26">
        <v>1</v>
      </c>
      <c r="J26" t="s">
        <v>112</v>
      </c>
      <c r="K26">
        <f>_xlfn.NUMBERVALUE(Table_EH_Pre_Survey_May_20__2023_08_229[[#This Row],[Duration (in seconds) - Duration (in seconds)2]])</f>
        <v>199</v>
      </c>
      <c r="L26" t="s">
        <v>407</v>
      </c>
      <c r="M26" t="s">
        <v>114</v>
      </c>
      <c r="N26" t="s">
        <v>408</v>
      </c>
      <c r="O26" t="str">
        <f>VLOOKUP(Table_EH_Pre_Survey_May_20__2023_08_229[[#This Row],[LocationLatitude - Location Latitude]], 'Post-Survey Full Set'!Q:AU, 1, 0)</f>
        <v>40.488</v>
      </c>
      <c r="P26" t="str">
        <f>VLOOKUP(Table_EH_Pre_Survey_May_20__2023_08_229[[#This Row],[LocationLongitude - Location Longitude]], 'Post-Survey Full Set'!S:AV, 1, 0)</f>
        <v>-74.4544</v>
      </c>
      <c r="Q26" t="s">
        <v>409</v>
      </c>
      <c r="R26" t="s">
        <v>111</v>
      </c>
      <c r="S26" t="s">
        <v>111</v>
      </c>
      <c r="T26" t="s">
        <v>111</v>
      </c>
      <c r="U26" t="s">
        <v>111</v>
      </c>
      <c r="V26" t="s">
        <v>351</v>
      </c>
      <c r="W26" t="str">
        <f>IF(COUNTIF($V$2:$V$103, Table_EH_Pre_Survey_May_20__2023_08_229[[#This Row],[LocationLatitude - Location Latitude]])=1, "Unique", "")</f>
        <v/>
      </c>
      <c r="X26" t="str">
        <f>VLOOKUP(Table_EH_Pre_Survey_May_20__2023_08_229[[#This Row],[LocationLatitude - Location Latitude]], 'Post-Survey Full Set'!Q:AU, 2, 0)</f>
        <v/>
      </c>
      <c r="Y26" t="s">
        <v>352</v>
      </c>
      <c r="Z26" t="e">
        <f>VLOOKUP(Table_EH_Pre_Survey_May_20__2023_08_229[[#This Row],[ResponseId - Response ID]], 'Post-Survey Full Set'!L:AU, 1, 0)</f>
        <v>#N/A</v>
      </c>
      <c r="AA26" t="s">
        <v>127</v>
      </c>
      <c r="AB26" t="s">
        <v>117</v>
      </c>
      <c r="AC26" s="35" t="s">
        <v>410</v>
      </c>
      <c r="AD26" t="s">
        <v>1145</v>
      </c>
      <c r="AE26" t="str">
        <f>IF(ISTEXT(Table_EH_Pre_Survey_May_20__2023_08_229[[#This Row],[Post-Survey NetID''s]]) = TRUE, "Match", "")</f>
        <v>Match</v>
      </c>
      <c r="AF26" t="str">
        <f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f>
        <v>Oam38</v>
      </c>
      <c r="AG26" t="str">
        <f>IF(Table_EH_Pre_Survey_May_20__2023_08_229[[#This Row],[NetID Match]] = "Match",  "Match", IF(ISTEXT(Table_EH_Pre_Survey_May_20__2023_08_229[[#This Row],[IP Address Match]]) = TRUE, "Match", ""))</f>
        <v>Match</v>
      </c>
      <c r="AH26" s="8">
        <v>3</v>
      </c>
      <c r="AI26" s="8">
        <f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f>
        <v>4</v>
      </c>
      <c r="AJ26" s="4">
        <v>4</v>
      </c>
      <c r="AK26" s="4">
        <f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f>
        <v>5</v>
      </c>
      <c r="AL26" s="4">
        <v>4</v>
      </c>
      <c r="AM26" s="4">
        <f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f>
        <v>4</v>
      </c>
      <c r="AN26" s="4">
        <v>4</v>
      </c>
      <c r="AO26" s="4">
        <f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f>
        <v>3</v>
      </c>
      <c r="AP26" s="4">
        <v>3</v>
      </c>
      <c r="AQ26" s="4">
        <f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f>
        <v>5</v>
      </c>
      <c r="AR26" s="4">
        <v>4</v>
      </c>
      <c r="AS26" s="4">
        <f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f>
        <v>4</v>
      </c>
      <c r="AT26" s="4">
        <v>5</v>
      </c>
      <c r="AU26" s="4">
        <f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f>
        <v>5</v>
      </c>
      <c r="AV26" s="4">
        <v>4</v>
      </c>
      <c r="AW26" s="4">
        <f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f>
        <v>3</v>
      </c>
      <c r="AX26" s="2">
        <v>4</v>
      </c>
      <c r="AY26" s="2">
        <f>IF(Table_EH_Pre_Survey_May_20__2023_08_229[[#This Row],[Q4]] = 3, 1, IF(Table_EH_Pre_Survey_May_20__2023_08_229[[#This Row],[Q4]] = 2.5, 0.5, IF(Table_EH_Pre_Survey_May_20__2023_08_229[[#This Row],[Q4]] = 3.5, 0.5, 0)))</f>
        <v>0</v>
      </c>
      <c r="AZ26" s="2">
        <f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f>
        <v>3</v>
      </c>
      <c r="BA26" s="2">
        <f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f>
        <v>1</v>
      </c>
      <c r="BB26" t="s">
        <v>130</v>
      </c>
      <c r="BC26">
        <f>IF(Table_EH_Pre_Survey_May_20__2023_08_229[[#This Row],[Q5 ]]="PM &lt; 2.5 μm", 1, 0)</f>
        <v>0</v>
      </c>
      <c r="BD26" t="str">
        <f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f>
        <v>PM &lt; 2.5 μm</v>
      </c>
      <c r="BE26">
        <f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f>
        <v>1</v>
      </c>
      <c r="BF26" t="s">
        <v>131</v>
      </c>
      <c r="BG26">
        <f>IF(Table_EH_Pre_Survey_May_20__2023_08_229[[#This Row],[Q6]]="Particles of this size are generally absorbed in the respiratory tract and safely excreted in mucus.", 1, 0)</f>
        <v>0</v>
      </c>
      <c r="BH26" t="str">
        <f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f>
        <v>Particles of this size are generally absorbed in the respiratory tract and safely excreted in mucus.</v>
      </c>
      <c r="BI26">
        <f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f>
        <v>1</v>
      </c>
      <c r="BJ26" t="s">
        <v>353</v>
      </c>
      <c r="BK26">
        <f>IF(ISNUMBER(SEARCH("Trucks", Table_EH_Pre_Survey_May_20__2023_08_229[[#This Row],[Q7]])) = TRUE, 1, 0) + IF(ISNUMBER(SEARCH("Cars", Table_EH_Pre_Survey_May_20__2023_08_229[[#This Row],[Q7]])) = TRUE, 1, 0) + IF(ISNUMBER(SEARCH("Fireplaces", Table_EH_Pre_Survey_May_20__2023_08_229[[#This Row],[Q7]])) = TRUE, 1, 0) + IF(ISNUMBER(SEARCH("Dirt Roads", Table_EH_Pre_Survey_May_20__2023_08_229[[#This Row],[Q7]])) = TRUE, 1, 0) - IF(ISNUMBER(SEARCH("Electric Vehicles", Table_EH_Pre_Survey_May_20__2023_08_229[[#This Row],[Q7]])) = TRUE, 1, 0) - IF(ISNUMBER(SEARCH("Pollen", Table_EH_Pre_Survey_May_20__2023_08_229[[#This Row],[Q7]])) = TRUE, 1, 0)</f>
        <v>3</v>
      </c>
      <c r="BL26" t="str">
        <f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f>
        <v>Cars,Fireplaces,Trucks</v>
      </c>
      <c r="BM26">
        <f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f>
        <v>3</v>
      </c>
      <c r="BN26">
        <v>3</v>
      </c>
      <c r="BO26">
        <f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f>
        <v>5</v>
      </c>
      <c r="BP26">
        <v>3</v>
      </c>
      <c r="BQ26">
        <f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f>
        <v>4</v>
      </c>
      <c r="BR26">
        <v>4</v>
      </c>
      <c r="BS26">
        <f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f>
        <v>4</v>
      </c>
      <c r="BT26">
        <v>4</v>
      </c>
      <c r="BU26">
        <f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f>
        <v>4</v>
      </c>
      <c r="BV26">
        <v>4</v>
      </c>
      <c r="BW26">
        <f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f>
        <v>4</v>
      </c>
      <c r="BX26">
        <v>4</v>
      </c>
      <c r="BY26">
        <f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f>
        <v>5</v>
      </c>
      <c r="BZ26">
        <v>6</v>
      </c>
      <c r="CA26">
        <f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f>
        <v>10</v>
      </c>
      <c r="CB26" t="s">
        <v>411</v>
      </c>
      <c r="CC26" t="str">
        <f>IF(ISTEXT(VLOOKUP(Table_EH_Pre_Survey_May_20__2023_08_229[[#This Row],[Unique Identifier]], 'Post-Survey Full Set'!$D$1:$AU$72, 1, 0)), VLOOKUP(Table_EH_Pre_Survey_May_20__2023_08_229[[#This Row],[Unique Identifier]], 'Post-Survey Full Set'!$D$1:$AU$72, 43, 0), VLOOKUP(Table_EH_Pre_Survey_May_20__2023_08_229[[#This Row],[Unique Identifier]], 'Post-Survey Full Set'!$V$1:$AU$72, 25, 0))</f>
        <v/>
      </c>
    </row>
    <row r="27" spans="1:81" x14ac:dyDescent="0.25">
      <c r="A27" t="s">
        <v>133</v>
      </c>
      <c r="B27" t="s">
        <v>134</v>
      </c>
      <c r="C27" t="s">
        <v>42</v>
      </c>
      <c r="D27" t="s">
        <v>135</v>
      </c>
      <c r="E27" t="str">
        <f>IF(COUNTIF($D$2:$D$103, Table_EH_Pre_Survey_May_20__2023_08_229[[#This Row],[IPAddress - IP Address]])=1, "Unique", "")</f>
        <v>Unique</v>
      </c>
      <c r="F27" t="e">
        <f>VLOOKUP(Table_EH_Pre_Survey_May_20__2023_08_229[[#This Row],[IPAddress - IP Address]], 'Post-Survey Full Set'!D:AU, 2, 0)</f>
        <v>#N/A</v>
      </c>
      <c r="G27" t="e">
        <f>VLOOKUP(Table_EH_Pre_Survey_May_20__2023_08_229[[#This Row],[IPAddress - IP Address]], 'Post-Survey Full Set'!$D$1:$AU$72, 1, 0)</f>
        <v>#N/A</v>
      </c>
      <c r="H27" s="35" t="e">
        <v>#N/A</v>
      </c>
      <c r="I27">
        <v>1</v>
      </c>
      <c r="J27" t="s">
        <v>112</v>
      </c>
      <c r="K27">
        <f>_xlfn.NUMBERVALUE(Table_EH_Pre_Survey_May_20__2023_08_229[[#This Row],[Duration (in seconds) - Duration (in seconds)2]])</f>
        <v>195</v>
      </c>
      <c r="L27" t="s">
        <v>136</v>
      </c>
      <c r="M27" t="s">
        <v>114</v>
      </c>
      <c r="N27" t="s">
        <v>137</v>
      </c>
      <c r="O27" t="str">
        <f>VLOOKUP(Table_EH_Pre_Survey_May_20__2023_08_229[[#This Row],[LocationLatitude - Location Latitude]], 'Post-Survey Full Set'!Q:AU, 1, 0)</f>
        <v>40.5511</v>
      </c>
      <c r="P27" t="str">
        <f>VLOOKUP(Table_EH_Pre_Survey_May_20__2023_08_229[[#This Row],[LocationLongitude - Location Longitude]], 'Post-Survey Full Set'!S:AV, 1, 0)</f>
        <v>-74.4606</v>
      </c>
      <c r="Q27" t="s">
        <v>138</v>
      </c>
      <c r="R27" t="s">
        <v>111</v>
      </c>
      <c r="S27" t="s">
        <v>111</v>
      </c>
      <c r="T27" t="s">
        <v>111</v>
      </c>
      <c r="U27" t="s">
        <v>111</v>
      </c>
      <c r="V27" t="s">
        <v>115</v>
      </c>
      <c r="W27" t="str">
        <f>IF(COUNTIF($V$2:$V$103, Table_EH_Pre_Survey_May_20__2023_08_229[[#This Row],[LocationLatitude - Location Latitude]])=1, "Unique", "")</f>
        <v/>
      </c>
      <c r="X27" t="str">
        <f>VLOOKUP(Table_EH_Pre_Survey_May_20__2023_08_229[[#This Row],[LocationLatitude - Location Latitude]], 'Post-Survey Full Set'!Q:AU, 2, 0)</f>
        <v/>
      </c>
      <c r="Y27" t="s">
        <v>116</v>
      </c>
      <c r="Z27" t="e">
        <f>VLOOKUP(Table_EH_Pre_Survey_May_20__2023_08_229[[#This Row],[ResponseId - Response ID]], 'Post-Survey Full Set'!L:AU, 1, 0)</f>
        <v>#N/A</v>
      </c>
      <c r="AA27" t="s">
        <v>127</v>
      </c>
      <c r="AB27" t="s">
        <v>117</v>
      </c>
      <c r="AC27" s="35" t="s">
        <v>139</v>
      </c>
      <c r="AD27" t="s">
        <v>139</v>
      </c>
      <c r="AE27" t="str">
        <f>IF(ISTEXT(Table_EH_Pre_Survey_May_20__2023_08_229[[#This Row],[Post-Survey NetID''s]]) = TRUE, "Match", "")</f>
        <v>Match</v>
      </c>
      <c r="AF27" t="str">
        <f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f>
        <v>Nsa86</v>
      </c>
      <c r="AG27" t="str">
        <f>IF(Table_EH_Pre_Survey_May_20__2023_08_229[[#This Row],[NetID Match]] = "Match",  "Match", IF(ISTEXT(Table_EH_Pre_Survey_May_20__2023_08_229[[#This Row],[IP Address Match]]) = TRUE, "Match", ""))</f>
        <v>Match</v>
      </c>
      <c r="AH27" s="8">
        <v>4</v>
      </c>
      <c r="AI27" s="8">
        <f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f>
        <v>5</v>
      </c>
      <c r="AJ27" s="4">
        <v>5</v>
      </c>
      <c r="AK27" s="4">
        <f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f>
        <v>5</v>
      </c>
      <c r="AL27" s="4">
        <v>5</v>
      </c>
      <c r="AM27" s="4">
        <f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f>
        <v>5</v>
      </c>
      <c r="AN27" s="4">
        <v>5</v>
      </c>
      <c r="AO27" s="4">
        <f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f>
        <v>5</v>
      </c>
      <c r="AP27" s="4">
        <v>3</v>
      </c>
      <c r="AQ27" s="4">
        <f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f>
        <v>4</v>
      </c>
      <c r="AR27" s="4">
        <v>4</v>
      </c>
      <c r="AS27" s="4">
        <f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f>
        <v>4</v>
      </c>
      <c r="AT27" s="4">
        <v>5</v>
      </c>
      <c r="AU27" s="4">
        <f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f>
        <v>5</v>
      </c>
      <c r="AV27" s="4">
        <v>3</v>
      </c>
      <c r="AW27" s="4">
        <f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f>
        <v>4</v>
      </c>
      <c r="AX27" s="2">
        <v>4</v>
      </c>
      <c r="AY27" s="2">
        <f>IF(Table_EH_Pre_Survey_May_20__2023_08_229[[#This Row],[Q4]] = 3, 1, IF(Table_EH_Pre_Survey_May_20__2023_08_229[[#This Row],[Q4]] = 2.5, 0.5, IF(Table_EH_Pre_Survey_May_20__2023_08_229[[#This Row],[Q4]] = 3.5, 0.5, 0)))</f>
        <v>0</v>
      </c>
      <c r="AZ27" s="2">
        <f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f>
        <v>3</v>
      </c>
      <c r="BA27" s="2">
        <f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f>
        <v>1</v>
      </c>
      <c r="BB27" t="s">
        <v>140</v>
      </c>
      <c r="BC27">
        <f>IF(Table_EH_Pre_Survey_May_20__2023_08_229[[#This Row],[Q5 ]]="PM &lt; 2.5 μm", 1, 0)</f>
        <v>1</v>
      </c>
      <c r="BD27" t="str">
        <f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f>
        <v>PM &lt; 2.5 μm</v>
      </c>
      <c r="BE27">
        <f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f>
        <v>1</v>
      </c>
      <c r="BF27" t="s">
        <v>141</v>
      </c>
      <c r="BG27">
        <f>IF(Table_EH_Pre_Survey_May_20__2023_08_229[[#This Row],[Q6]]="Particles of this size are generally absorbed in the respiratory tract and safely excreted in mucus.", 1, 0)</f>
        <v>0</v>
      </c>
      <c r="BH27" t="str">
        <f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f>
        <v>Particles of this size reach the bronchial tree where they corrode the alveolar parenchyma.</v>
      </c>
      <c r="BI27">
        <f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f>
        <v>0</v>
      </c>
      <c r="BJ27" t="s">
        <v>142</v>
      </c>
      <c r="BK27">
        <f>IF(ISNUMBER(SEARCH("Trucks", Table_EH_Pre_Survey_May_20__2023_08_229[[#This Row],[Q7]])) = TRUE, 1, 0) + IF(ISNUMBER(SEARCH("Cars", Table_EH_Pre_Survey_May_20__2023_08_229[[#This Row],[Q7]])) = TRUE, 1, 0) + IF(ISNUMBER(SEARCH("Fireplaces", Table_EH_Pre_Survey_May_20__2023_08_229[[#This Row],[Q7]])) = TRUE, 1, 0) + IF(ISNUMBER(SEARCH("Dirt Roads", Table_EH_Pre_Survey_May_20__2023_08_229[[#This Row],[Q7]])) = TRUE, 1, 0) - IF(ISNUMBER(SEARCH("Electric Vehicles", Table_EH_Pre_Survey_May_20__2023_08_229[[#This Row],[Q7]])) = TRUE, 1, 0) - IF(ISNUMBER(SEARCH("Pollen", Table_EH_Pre_Survey_May_20__2023_08_229[[#This Row],[Q7]])) = TRUE, 1, 0)</f>
        <v>2</v>
      </c>
      <c r="BL27" t="str">
        <f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f>
        <v>Cars,Fireplaces,Pollen,Trucks</v>
      </c>
      <c r="BM27">
        <f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f>
        <v>2</v>
      </c>
      <c r="BN27">
        <v>3</v>
      </c>
      <c r="BO27">
        <f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f>
        <v>5</v>
      </c>
      <c r="BP27">
        <v>1</v>
      </c>
      <c r="BQ27">
        <f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f>
        <v>5</v>
      </c>
      <c r="BR27">
        <v>2</v>
      </c>
      <c r="BS27">
        <f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f>
        <v>4</v>
      </c>
      <c r="BT27">
        <v>1</v>
      </c>
      <c r="BU27">
        <f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f>
        <v>4</v>
      </c>
      <c r="BV27">
        <v>3</v>
      </c>
      <c r="BW27">
        <f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f>
        <v>4</v>
      </c>
      <c r="BX27">
        <v>4</v>
      </c>
      <c r="BY27">
        <f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f>
        <v>5</v>
      </c>
      <c r="BZ27">
        <v>8</v>
      </c>
      <c r="CA27">
        <f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f>
        <v>8</v>
      </c>
      <c r="CB27" t="s">
        <v>144</v>
      </c>
      <c r="CC27" t="str">
        <f>IF(ISTEXT(VLOOKUP(Table_EH_Pre_Survey_May_20__2023_08_229[[#This Row],[Unique Identifier]], 'Post-Survey Full Set'!$D$1:$AU$72, 1, 0)), VLOOKUP(Table_EH_Pre_Survey_May_20__2023_08_229[[#This Row],[Unique Identifier]], 'Post-Survey Full Set'!$D$1:$AU$72, 43, 0), VLOOKUP(Table_EH_Pre_Survey_May_20__2023_08_229[[#This Row],[Unique Identifier]], 'Post-Survey Full Set'!$V$1:$AU$72, 25, 0))</f>
        <v>What will the future of health look like given current trends in global warming</v>
      </c>
    </row>
    <row r="28" spans="1:81" hidden="1" x14ac:dyDescent="0.25">
      <c r="A28" t="s">
        <v>887</v>
      </c>
      <c r="B28" t="s">
        <v>888</v>
      </c>
      <c r="C28" t="s">
        <v>42</v>
      </c>
      <c r="D28" t="s">
        <v>517</v>
      </c>
      <c r="E28" t="str">
        <f>IF(COUNTIF($D$2:$D$103, Table_EH_Pre_Survey_May_20__2023_08_229[[#This Row],[IPAddress - IP Address]])=1, "Unique", "")</f>
        <v/>
      </c>
      <c r="F28" t="str">
        <f>VLOOKUP(Table_EH_Pre_Survey_May_20__2023_08_229[[#This Row],[IPAddress - IP Address]], 'Post-Survey Full Set'!D:AU, 2, 0)</f>
        <v>Unique</v>
      </c>
      <c r="G28" t="str">
        <f>VLOOKUP(Table_EH_Pre_Survey_May_20__2023_08_229[[#This Row],[IPAddress - IP Address]], 'Post-Survey Full Set'!$D$1:$AU$72, 1, 0)</f>
        <v>128.6.37.194</v>
      </c>
      <c r="I28">
        <v>1</v>
      </c>
      <c r="J28" t="s">
        <v>878</v>
      </c>
      <c r="K28">
        <f>_xlfn.NUMBERVALUE(Table_EH_Pre_Survey_May_20__2023_08_229[[#This Row],[Duration (in seconds) - Duration (in seconds)2]])</f>
        <v>89</v>
      </c>
      <c r="L28" s="4" t="s">
        <v>889</v>
      </c>
      <c r="M28" s="4" t="s">
        <v>821</v>
      </c>
      <c r="N28" s="4" t="s">
        <v>890</v>
      </c>
      <c r="O28" s="4" t="str">
        <f>VLOOKUP(Table_EH_Pre_Survey_May_20__2023_08_229[[#This Row],[LocationLatitude - Location Latitude]], 'Post-Survey Full Set'!Q:AU, 1, 0)</f>
        <v/>
      </c>
      <c r="P28" s="4" t="str">
        <f>VLOOKUP(Table_EH_Pre_Survey_May_20__2023_08_229[[#This Row],[LocationLongitude - Location Longitude]], 'Post-Survey Full Set'!S:AV, 1, 0)</f>
        <v/>
      </c>
      <c r="Q28" s="4" t="s">
        <v>891</v>
      </c>
      <c r="R28" s="4" t="s">
        <v>111</v>
      </c>
      <c r="S28" s="4" t="s">
        <v>111</v>
      </c>
      <c r="T28" s="4" t="s">
        <v>111</v>
      </c>
      <c r="U28" s="4" t="s">
        <v>111</v>
      </c>
      <c r="V28" s="4" t="s">
        <v>111</v>
      </c>
      <c r="W28" s="4" t="str">
        <f>IF(COUNTIF($V$2:$V$103, Table_EH_Pre_Survey_May_20__2023_08_229[[#This Row],[LocationLatitude - Location Latitude]])=1, "Unique", "")</f>
        <v/>
      </c>
      <c r="X28" s="4" t="str">
        <f>VLOOKUP(Table_EH_Pre_Survey_May_20__2023_08_229[[#This Row],[LocationLatitude - Location Latitude]], 'Post-Survey Full Set'!Q:AU, 2, 0)</f>
        <v>Unique</v>
      </c>
      <c r="Y28" s="4" t="s">
        <v>111</v>
      </c>
      <c r="Z28" s="4" t="e">
        <f>VLOOKUP(Table_EH_Pre_Survey_May_20__2023_08_229[[#This Row],[ResponseId - Response ID]], 'Post-Survey Full Set'!L:AU, 1, 0)</f>
        <v>#N/A</v>
      </c>
      <c r="AA28" s="4" t="s">
        <v>127</v>
      </c>
      <c r="AB28" s="4" t="s">
        <v>117</v>
      </c>
      <c r="AC28" s="35" t="s">
        <v>892</v>
      </c>
      <c r="AD28" s="4" t="e">
        <v>#N/A</v>
      </c>
      <c r="AE28" s="4" t="str">
        <f>IF(ISTEXT(Table_EH_Pre_Survey_May_20__2023_08_229[[#This Row],[Post-Survey NetID''s]]) = TRUE, "Match", "")</f>
        <v/>
      </c>
      <c r="AF28" s="4" t="str">
        <f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f>
        <v/>
      </c>
      <c r="AG28" s="4" t="str">
        <f>IF(Table_EH_Pre_Survey_May_20__2023_08_229[[#This Row],[NetID Match]] = "Match",  "Match", IF(ISTEXT(Table_EH_Pre_Survey_May_20__2023_08_229[[#This Row],[IP Address Match]]) = TRUE, "Match", ""))</f>
        <v/>
      </c>
      <c r="AH28" s="4">
        <v>4</v>
      </c>
      <c r="AI28" s="8">
        <f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f>
        <v>3</v>
      </c>
      <c r="AJ28" s="4">
        <v>2</v>
      </c>
      <c r="AK28" s="4">
        <f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f>
        <v>4</v>
      </c>
      <c r="AL28" s="4">
        <v>4</v>
      </c>
      <c r="AM28" s="4">
        <f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f>
        <v>4</v>
      </c>
      <c r="AN28" s="4">
        <v>5</v>
      </c>
      <c r="AO28" s="4">
        <f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f>
        <v>4</v>
      </c>
      <c r="AP28" s="4">
        <v>2</v>
      </c>
      <c r="AQ28" s="4">
        <f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f>
        <v>4</v>
      </c>
      <c r="AR28" s="4">
        <v>4</v>
      </c>
      <c r="AS28" s="4">
        <f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f>
        <v>5</v>
      </c>
      <c r="AT28" s="4">
        <v>4</v>
      </c>
      <c r="AU28" s="4">
        <f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f>
        <v>4</v>
      </c>
      <c r="AV28" s="4">
        <v>2</v>
      </c>
      <c r="AW28" s="4">
        <f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f>
        <v>4</v>
      </c>
      <c r="AX28" s="4">
        <v>2</v>
      </c>
      <c r="AY28" t="s">
        <v>111</v>
      </c>
      <c r="AZ28" s="4">
        <f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f>
        <v>4</v>
      </c>
      <c r="BA28" s="4">
        <f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f>
        <v>0</v>
      </c>
      <c r="BB28" t="s">
        <v>130</v>
      </c>
      <c r="BC28" t="s">
        <v>111</v>
      </c>
      <c r="BD28" t="str">
        <f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f>
        <v>PM &lt; 0.25 μm</v>
      </c>
      <c r="BE28">
        <f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f>
        <v>0</v>
      </c>
      <c r="BF28" t="s">
        <v>111</v>
      </c>
      <c r="BG28" t="s">
        <v>111</v>
      </c>
      <c r="BH28" t="str">
        <f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f>
        <v>Particles of this size reach the bronchial tree where they corrode the alveolar parenchyma.</v>
      </c>
      <c r="BI28">
        <f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f>
        <v>0</v>
      </c>
      <c r="BJ28" t="s">
        <v>111</v>
      </c>
      <c r="BK28" t="s">
        <v>111</v>
      </c>
      <c r="BL28" t="str">
        <f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f>
        <v>Cars,Dirt Roads,Electric Vehicles,Fireplaces,Trucks</v>
      </c>
      <c r="BM28">
        <f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f>
        <v>3</v>
      </c>
      <c r="BN28" t="s">
        <v>111</v>
      </c>
      <c r="BO28">
        <f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f>
        <v>5</v>
      </c>
      <c r="BP28" t="s">
        <v>111</v>
      </c>
      <c r="BQ28">
        <f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f>
        <v>5</v>
      </c>
      <c r="BR28" t="s">
        <v>111</v>
      </c>
      <c r="BS28">
        <f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f>
        <v>5</v>
      </c>
      <c r="BU28">
        <f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f>
        <v>5</v>
      </c>
      <c r="BW28">
        <f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f>
        <v>5</v>
      </c>
      <c r="BY28">
        <f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f>
        <v>5</v>
      </c>
      <c r="CA28">
        <f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f>
        <v>10</v>
      </c>
      <c r="CC28" t="str">
        <f>IF(ISTEXT(VLOOKUP(Table_EH_Pre_Survey_May_20__2023_08_229[[#This Row],[Unique Identifier]], 'Post-Survey Full Set'!$D$1:$AU$72, 1, 0)), VLOOKUP(Table_EH_Pre_Survey_May_20__2023_08_229[[#This Row],[Unique Identifier]], 'Post-Survey Full Set'!$D$1:$AU$72, 43, 0), VLOOKUP(Table_EH_Pre_Survey_May_20__2023_08_229[[#This Row],[Unique Identifier]], 'Post-Survey Full Set'!$V$1:$AU$72, 25, 0))</f>
        <v/>
      </c>
    </row>
    <row r="29" spans="1:81" hidden="1" x14ac:dyDescent="0.25">
      <c r="A29" t="s">
        <v>732</v>
      </c>
      <c r="B29" t="s">
        <v>733</v>
      </c>
      <c r="C29" t="s">
        <v>42</v>
      </c>
      <c r="D29" t="s">
        <v>389</v>
      </c>
      <c r="E29" t="str">
        <f>IF(COUNTIF($D$2:$D$103, Table_EH_Pre_Survey_May_20__2023_08_229[[#This Row],[IPAddress - IP Address]])=1, "Unique", "")</f>
        <v/>
      </c>
      <c r="F29" t="str">
        <f>VLOOKUP(Table_EH_Pre_Survey_May_20__2023_08_229[[#This Row],[IPAddress - IP Address]], 'Post-Survey Full Set'!D:AU, 2, 0)</f>
        <v/>
      </c>
      <c r="G29" t="str">
        <f>VLOOKUP(Table_EH_Pre_Survey_May_20__2023_08_229[[#This Row],[IPAddress - IP Address]], 'Post-Survey Full Set'!$D$1:$AU$72, 1, 0)</f>
        <v>130.219.10.90</v>
      </c>
      <c r="I29">
        <v>1</v>
      </c>
      <c r="J29" t="s">
        <v>112</v>
      </c>
      <c r="K29">
        <f>_xlfn.NUMBERVALUE(Table_EH_Pre_Survey_May_20__2023_08_229[[#This Row],[Duration (in seconds) - Duration (in seconds)2]])</f>
        <v>408</v>
      </c>
      <c r="L29" t="s">
        <v>734</v>
      </c>
      <c r="M29" t="s">
        <v>114</v>
      </c>
      <c r="N29" t="s">
        <v>735</v>
      </c>
      <c r="O29" t="str">
        <f>VLOOKUP(Table_EH_Pre_Survey_May_20__2023_08_229[[#This Row],[LocationLatitude - Location Latitude]], 'Post-Survey Full Set'!Q:AU, 1, 0)</f>
        <v>40.7337</v>
      </c>
      <c r="P29" t="str">
        <f>VLOOKUP(Table_EH_Pre_Survey_May_20__2023_08_229[[#This Row],[LocationLongitude - Location Longitude]], 'Post-Survey Full Set'!S:AV, 1, 0)</f>
        <v>-74.1939</v>
      </c>
      <c r="Q29" t="s">
        <v>736</v>
      </c>
      <c r="R29" t="s">
        <v>111</v>
      </c>
      <c r="S29" t="s">
        <v>111</v>
      </c>
      <c r="T29" t="s">
        <v>111</v>
      </c>
      <c r="U29" t="s">
        <v>111</v>
      </c>
      <c r="V29" t="s">
        <v>392</v>
      </c>
      <c r="W29" t="str">
        <f>IF(COUNTIF($V$2:$V$103, Table_EH_Pre_Survey_May_20__2023_08_229[[#This Row],[LocationLatitude - Location Latitude]])=1, "Unique", "")</f>
        <v/>
      </c>
      <c r="X29" t="str">
        <f>VLOOKUP(Table_EH_Pre_Survey_May_20__2023_08_229[[#This Row],[LocationLatitude - Location Latitude]], 'Post-Survey Full Set'!Q:AU, 2, 0)</f>
        <v/>
      </c>
      <c r="Y29" t="s">
        <v>393</v>
      </c>
      <c r="Z29" t="e">
        <f>VLOOKUP(Table_EH_Pre_Survey_May_20__2023_08_229[[#This Row],[ResponseId - Response ID]], 'Post-Survey Full Set'!L:AU, 1, 0)</f>
        <v>#N/A</v>
      </c>
      <c r="AA29" t="s">
        <v>487</v>
      </c>
      <c r="AB29" t="s">
        <v>117</v>
      </c>
      <c r="AC29" s="35" t="s">
        <v>737</v>
      </c>
      <c r="AD29" t="e">
        <v>#N/A</v>
      </c>
      <c r="AE29" t="str">
        <f>IF(ISTEXT(Table_EH_Pre_Survey_May_20__2023_08_229[[#This Row],[Post-Survey NetID''s]]) = TRUE, "Match", "")</f>
        <v/>
      </c>
      <c r="AF29" t="str">
        <f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f>
        <v/>
      </c>
      <c r="AG29" t="str">
        <f>IF(Table_EH_Pre_Survey_May_20__2023_08_229[[#This Row],[NetID Match]] = "Match",  "Match", IF(ISTEXT(Table_EH_Pre_Survey_May_20__2023_08_229[[#This Row],[IP Address Match]]) = TRUE, "Match", ""))</f>
        <v/>
      </c>
      <c r="AH29" s="8">
        <v>4</v>
      </c>
      <c r="AI29" s="8">
        <f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f>
        <v>3</v>
      </c>
      <c r="AJ29" s="4">
        <v>3</v>
      </c>
      <c r="AK29" s="4">
        <f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f>
        <v>4</v>
      </c>
      <c r="AL29" s="4">
        <v>3</v>
      </c>
      <c r="AM29" s="4">
        <f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f>
        <v>4</v>
      </c>
      <c r="AN29" s="4">
        <v>4</v>
      </c>
      <c r="AO29" s="4">
        <f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f>
        <v>4</v>
      </c>
      <c r="AP29" s="4">
        <v>3</v>
      </c>
      <c r="AQ29" s="4">
        <f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f>
        <v>4</v>
      </c>
      <c r="AR29" s="4">
        <v>2</v>
      </c>
      <c r="AS29" s="4">
        <f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f>
        <v>5</v>
      </c>
      <c r="AT29" s="4">
        <v>4</v>
      </c>
      <c r="AU29" s="4">
        <f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f>
        <v>4</v>
      </c>
      <c r="AV29" s="4">
        <v>1</v>
      </c>
      <c r="AW29" s="4">
        <f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f>
        <v>4</v>
      </c>
      <c r="AX29" s="2">
        <v>2.5</v>
      </c>
      <c r="AY29" s="2">
        <f>IF(Table_EH_Pre_Survey_May_20__2023_08_229[[#This Row],[Q4]] = 3, 1, IF(Table_EH_Pre_Survey_May_20__2023_08_229[[#This Row],[Q4]] = 2.5, 0.5, IF(Table_EH_Pre_Survey_May_20__2023_08_229[[#This Row],[Q4]] = 3.5, 0.5, 0)))</f>
        <v>0.5</v>
      </c>
      <c r="AZ29" s="2">
        <f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f>
        <v>4</v>
      </c>
      <c r="BA29" s="2">
        <f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f>
        <v>0</v>
      </c>
      <c r="BB29" t="s">
        <v>140</v>
      </c>
      <c r="BC29">
        <f>IF(Table_EH_Pre_Survey_May_20__2023_08_229[[#This Row],[Q5 ]]="PM &lt; 2.5 μm", 1, 0)</f>
        <v>1</v>
      </c>
      <c r="BD29" t="str">
        <f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f>
        <v>PM &lt; 0.25 μm</v>
      </c>
      <c r="BE29">
        <f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f>
        <v>0</v>
      </c>
      <c r="BF29" t="s">
        <v>131</v>
      </c>
      <c r="BG29">
        <f>IF(Table_EH_Pre_Survey_May_20__2023_08_229[[#This Row],[Q6]]="Particles of this size are generally absorbed in the respiratory tract and safely excreted in mucus.", 1, 0)</f>
        <v>0</v>
      </c>
      <c r="BH29" t="str">
        <f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f>
        <v>Particles of this size reach the bronchial tree where they corrode the alveolar parenchyma.</v>
      </c>
      <c r="BI29">
        <f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f>
        <v>0</v>
      </c>
      <c r="BJ29" t="s">
        <v>167</v>
      </c>
      <c r="BK29">
        <f>IF(ISNUMBER(SEARCH("Trucks", Table_EH_Pre_Survey_May_20__2023_08_229[[#This Row],[Q7]])) = TRUE, 1, 0) + IF(ISNUMBER(SEARCH("Cars", Table_EH_Pre_Survey_May_20__2023_08_229[[#This Row],[Q7]])) = TRUE, 1, 0) + IF(ISNUMBER(SEARCH("Fireplaces", Table_EH_Pre_Survey_May_20__2023_08_229[[#This Row],[Q7]])) = TRUE, 1, 0) + IF(ISNUMBER(SEARCH("Dirt Roads", Table_EH_Pre_Survey_May_20__2023_08_229[[#This Row],[Q7]])) = TRUE, 1, 0) - IF(ISNUMBER(SEARCH("Electric Vehicles", Table_EH_Pre_Survey_May_20__2023_08_229[[#This Row],[Q7]])) = TRUE, 1, 0) - IF(ISNUMBER(SEARCH("Pollen", Table_EH_Pre_Survey_May_20__2023_08_229[[#This Row],[Q7]])) = TRUE, 1, 0)</f>
        <v>3</v>
      </c>
      <c r="BL29" t="str">
        <f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f>
        <v>Cars,Dirt Roads,Electric Vehicles,Fireplaces,Trucks</v>
      </c>
      <c r="BM29">
        <f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f>
        <v>3</v>
      </c>
      <c r="BN29">
        <v>3</v>
      </c>
      <c r="BO29">
        <f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f>
        <v>5</v>
      </c>
      <c r="BP29">
        <v>1</v>
      </c>
      <c r="BQ29">
        <f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f>
        <v>5</v>
      </c>
      <c r="BR29">
        <v>2</v>
      </c>
      <c r="BS29">
        <f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f>
        <v>5</v>
      </c>
      <c r="BT29">
        <v>1</v>
      </c>
      <c r="BU29">
        <f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f>
        <v>5</v>
      </c>
      <c r="BV29">
        <v>3</v>
      </c>
      <c r="BW29">
        <f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f>
        <v>5</v>
      </c>
      <c r="BX29">
        <v>3</v>
      </c>
      <c r="BY29">
        <f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f>
        <v>5</v>
      </c>
      <c r="BZ29">
        <v>7</v>
      </c>
      <c r="CA29">
        <f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f>
        <v>10</v>
      </c>
      <c r="CB29" t="s">
        <v>111</v>
      </c>
      <c r="CC29" t="str">
        <f>IF(ISTEXT(VLOOKUP(Table_EH_Pre_Survey_May_20__2023_08_229[[#This Row],[Unique Identifier]], 'Post-Survey Full Set'!$D$1:$AU$72, 1, 0)), VLOOKUP(Table_EH_Pre_Survey_May_20__2023_08_229[[#This Row],[Unique Identifier]], 'Post-Survey Full Set'!$D$1:$AU$72, 43, 0), VLOOKUP(Table_EH_Pre_Survey_May_20__2023_08_229[[#This Row],[Unique Identifier]], 'Post-Survey Full Set'!$V$1:$AU$72, 25, 0))</f>
        <v/>
      </c>
    </row>
    <row r="30" spans="1:81" hidden="1" x14ac:dyDescent="0.25">
      <c r="A30" t="s">
        <v>225</v>
      </c>
      <c r="B30" t="s">
        <v>226</v>
      </c>
      <c r="C30" t="s">
        <v>42</v>
      </c>
      <c r="D30" t="s">
        <v>227</v>
      </c>
      <c r="E30" t="str">
        <f>IF(COUNTIF($D$2:$D$103, Table_EH_Pre_Survey_May_20__2023_08_229[[#This Row],[IPAddress - IP Address]])=1, "Unique", "")</f>
        <v>Unique</v>
      </c>
      <c r="F30" t="e">
        <f>VLOOKUP(Table_EH_Pre_Survey_May_20__2023_08_229[[#This Row],[IPAddress - IP Address]], 'Post-Survey Full Set'!D:AU, 2, 0)</f>
        <v>#N/A</v>
      </c>
      <c r="G30" t="e">
        <f>VLOOKUP(Table_EH_Pre_Survey_May_20__2023_08_229[[#This Row],[IPAddress - IP Address]], 'Post-Survey Full Set'!$D$1:$AU$72, 1, 0)</f>
        <v>#N/A</v>
      </c>
      <c r="H30" s="35" t="e">
        <v>#N/A</v>
      </c>
      <c r="I30">
        <v>1</v>
      </c>
      <c r="J30" t="s">
        <v>112</v>
      </c>
      <c r="K30">
        <f>_xlfn.NUMBERVALUE(Table_EH_Pre_Survey_May_20__2023_08_229[[#This Row],[Duration (in seconds) - Duration (in seconds)2]])</f>
        <v>139</v>
      </c>
      <c r="L30" t="s">
        <v>220</v>
      </c>
      <c r="M30" t="s">
        <v>114</v>
      </c>
      <c r="N30" t="s">
        <v>226</v>
      </c>
      <c r="O30" t="str">
        <f>VLOOKUP(Table_EH_Pre_Survey_May_20__2023_08_229[[#This Row],[LocationLatitude - Location Latitude]], 'Post-Survey Full Set'!Q:AU, 1, 0)</f>
        <v>40.5175</v>
      </c>
      <c r="P30" t="str">
        <f>VLOOKUP(Table_EH_Pre_Survey_May_20__2023_08_229[[#This Row],[LocationLongitude - Location Longitude]], 'Post-Survey Full Set'!S:AV, 1, 0)</f>
        <v>-74.3991</v>
      </c>
      <c r="Q30" t="s">
        <v>228</v>
      </c>
      <c r="R30" t="s">
        <v>111</v>
      </c>
      <c r="S30" t="s">
        <v>111</v>
      </c>
      <c r="T30" t="s">
        <v>111</v>
      </c>
      <c r="U30" t="s">
        <v>111</v>
      </c>
      <c r="V30" t="s">
        <v>229</v>
      </c>
      <c r="W30" t="str">
        <f>IF(COUNTIF($V$2:$V$103, Table_EH_Pre_Survey_May_20__2023_08_229[[#This Row],[LocationLatitude - Location Latitude]])=1, "Unique", "")</f>
        <v/>
      </c>
      <c r="X30" t="str">
        <f>VLOOKUP(Table_EH_Pre_Survey_May_20__2023_08_229[[#This Row],[LocationLatitude - Location Latitude]], 'Post-Survey Full Set'!Q:AU, 2, 0)</f>
        <v>Unique</v>
      </c>
      <c r="Y30" t="s">
        <v>230</v>
      </c>
      <c r="Z30" t="e">
        <f>VLOOKUP(Table_EH_Pre_Survey_May_20__2023_08_229[[#This Row],[ResponseId - Response ID]], 'Post-Survey Full Set'!L:AU, 1, 0)</f>
        <v>#N/A</v>
      </c>
      <c r="AA30" t="s">
        <v>127</v>
      </c>
      <c r="AB30" t="s">
        <v>117</v>
      </c>
      <c r="AC30" s="35" t="s">
        <v>231</v>
      </c>
      <c r="AD30" t="e">
        <v>#N/A</v>
      </c>
      <c r="AE30" t="str">
        <f>IF(ISTEXT(Table_EH_Pre_Survey_May_20__2023_08_229[[#This Row],[Post-Survey NetID''s]]) = TRUE, "Match", "")</f>
        <v/>
      </c>
      <c r="AF30" t="str">
        <f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f>
        <v/>
      </c>
      <c r="AG30" t="str">
        <f>IF(Table_EH_Pre_Survey_May_20__2023_08_229[[#This Row],[NetID Match]] = "Match",  "Match", IF(ISTEXT(Table_EH_Pre_Survey_May_20__2023_08_229[[#This Row],[IP Address Match]]) = TRUE, "Match", ""))</f>
        <v/>
      </c>
      <c r="AH30" s="8">
        <v>5</v>
      </c>
      <c r="AI30" s="8">
        <f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f>
        <v>3</v>
      </c>
      <c r="AJ30" s="4">
        <v>5</v>
      </c>
      <c r="AK30" s="4">
        <f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f>
        <v>4</v>
      </c>
      <c r="AL30" s="4">
        <v>5</v>
      </c>
      <c r="AM30" s="4">
        <f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f>
        <v>4</v>
      </c>
      <c r="AN30" s="4">
        <v>5</v>
      </c>
      <c r="AO30" s="4">
        <f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f>
        <v>4</v>
      </c>
      <c r="AP30" s="4">
        <v>3</v>
      </c>
      <c r="AQ30" s="4">
        <f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f>
        <v>4</v>
      </c>
      <c r="AR30" s="4">
        <v>4</v>
      </c>
      <c r="AS30" s="4">
        <f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f>
        <v>5</v>
      </c>
      <c r="AT30" s="4">
        <v>5</v>
      </c>
      <c r="AU30" s="4">
        <f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f>
        <v>4</v>
      </c>
      <c r="AV30" s="4">
        <v>4</v>
      </c>
      <c r="AW30" s="4">
        <f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f>
        <v>4</v>
      </c>
      <c r="AX30" s="2">
        <v>4</v>
      </c>
      <c r="AY30" s="2">
        <f>IF(Table_EH_Pre_Survey_May_20__2023_08_229[[#This Row],[Q4]] = 3, 1, IF(Table_EH_Pre_Survey_May_20__2023_08_229[[#This Row],[Q4]] = 2.5, 0.5, IF(Table_EH_Pre_Survey_May_20__2023_08_229[[#This Row],[Q4]] = 3.5, 0.5, 0)))</f>
        <v>0</v>
      </c>
      <c r="AZ30" s="2">
        <f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f>
        <v>4</v>
      </c>
      <c r="BA30" s="2">
        <f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f>
        <v>0</v>
      </c>
      <c r="BB30" t="s">
        <v>166</v>
      </c>
      <c r="BC30">
        <f>IF(Table_EH_Pre_Survey_May_20__2023_08_229[[#This Row],[Q5 ]]="PM &lt; 2.5 μm", 1, 0)</f>
        <v>0</v>
      </c>
      <c r="BD30" t="str">
        <f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f>
        <v>PM &lt; 0.25 μm</v>
      </c>
      <c r="BE30">
        <f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f>
        <v>0</v>
      </c>
      <c r="BF30" t="s">
        <v>155</v>
      </c>
      <c r="BG30">
        <f>IF(Table_EH_Pre_Survey_May_20__2023_08_229[[#This Row],[Q6]]="Particles of this size are generally absorbed in the respiratory tract and safely excreted in mucus.", 1, 0)</f>
        <v>0</v>
      </c>
      <c r="BH30" t="str">
        <f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f>
        <v>Particles of this size reach the bronchial tree where they corrode the alveolar parenchyma.</v>
      </c>
      <c r="BI30">
        <f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f>
        <v>0</v>
      </c>
      <c r="BJ30" t="s">
        <v>232</v>
      </c>
      <c r="BK30">
        <f>IF(ISNUMBER(SEARCH("Trucks", Table_EH_Pre_Survey_May_20__2023_08_229[[#This Row],[Q7]])) = TRUE, 1, 0) + IF(ISNUMBER(SEARCH("Cars", Table_EH_Pre_Survey_May_20__2023_08_229[[#This Row],[Q7]])) = TRUE, 1, 0) + IF(ISNUMBER(SEARCH("Fireplaces", Table_EH_Pre_Survey_May_20__2023_08_229[[#This Row],[Q7]])) = TRUE, 1, 0) + IF(ISNUMBER(SEARCH("Dirt Roads", Table_EH_Pre_Survey_May_20__2023_08_229[[#This Row],[Q7]])) = TRUE, 1, 0) - IF(ISNUMBER(SEARCH("Electric Vehicles", Table_EH_Pre_Survey_May_20__2023_08_229[[#This Row],[Q7]])) = TRUE, 1, 0) - IF(ISNUMBER(SEARCH("Pollen", Table_EH_Pre_Survey_May_20__2023_08_229[[#This Row],[Q7]])) = TRUE, 1, 0)</f>
        <v>1</v>
      </c>
      <c r="BL30" t="str">
        <f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f>
        <v>Cars,Dirt Roads,Electric Vehicles,Fireplaces,Trucks</v>
      </c>
      <c r="BM30">
        <f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f>
        <v>3</v>
      </c>
      <c r="BN30">
        <v>5</v>
      </c>
      <c r="BO30">
        <f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f>
        <v>5</v>
      </c>
      <c r="BP30">
        <v>5</v>
      </c>
      <c r="BQ30">
        <f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f>
        <v>5</v>
      </c>
      <c r="BR30">
        <v>4</v>
      </c>
      <c r="BS30">
        <f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f>
        <v>5</v>
      </c>
      <c r="BT30">
        <v>4</v>
      </c>
      <c r="BU30">
        <f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f>
        <v>5</v>
      </c>
      <c r="BV30">
        <v>5</v>
      </c>
      <c r="BW30">
        <f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f>
        <v>5</v>
      </c>
      <c r="BX30">
        <v>3</v>
      </c>
      <c r="BY30">
        <f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f>
        <v>5</v>
      </c>
      <c r="BZ30">
        <v>9</v>
      </c>
      <c r="CA30">
        <f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f>
        <v>10</v>
      </c>
      <c r="CB30" t="s">
        <v>111</v>
      </c>
      <c r="CC30" t="str">
        <f>IF(ISTEXT(VLOOKUP(Table_EH_Pre_Survey_May_20__2023_08_229[[#This Row],[Unique Identifier]], 'Post-Survey Full Set'!$D$1:$AU$72, 1, 0)), VLOOKUP(Table_EH_Pre_Survey_May_20__2023_08_229[[#This Row],[Unique Identifier]], 'Post-Survey Full Set'!$D$1:$AU$72, 43, 0), VLOOKUP(Table_EH_Pre_Survey_May_20__2023_08_229[[#This Row],[Unique Identifier]], 'Post-Survey Full Set'!$V$1:$AU$72, 25, 0))</f>
        <v/>
      </c>
    </row>
    <row r="31" spans="1:81" x14ac:dyDescent="0.25">
      <c r="A31" t="s">
        <v>292</v>
      </c>
      <c r="B31" t="s">
        <v>293</v>
      </c>
      <c r="C31" t="s">
        <v>42</v>
      </c>
      <c r="D31" t="s">
        <v>190</v>
      </c>
      <c r="E31" t="str">
        <f>IF(COUNTIF($D$2:$D$103, Table_EH_Pre_Survey_May_20__2023_08_229[[#This Row],[IPAddress - IP Address]])=1, "Unique", "")</f>
        <v/>
      </c>
      <c r="F31" t="str">
        <f>VLOOKUP(Table_EH_Pre_Survey_May_20__2023_08_229[[#This Row],[IPAddress - IP Address]], 'Post-Survey Full Set'!D:AU, 2, 0)</f>
        <v/>
      </c>
      <c r="G31" t="str">
        <f>VLOOKUP(Table_EH_Pre_Survey_May_20__2023_08_229[[#This Row],[IPAddress - IP Address]], 'Post-Survey Full Set'!$D$1:$AU$72, 1, 0)</f>
        <v>72.88.214.37</v>
      </c>
      <c r="I31">
        <v>1</v>
      </c>
      <c r="J31" t="s">
        <v>112</v>
      </c>
      <c r="K31">
        <f>_xlfn.NUMBERVALUE(Table_EH_Pre_Survey_May_20__2023_08_229[[#This Row],[Duration (in seconds) - Duration (in seconds)2]])</f>
        <v>263</v>
      </c>
      <c r="L31" t="s">
        <v>294</v>
      </c>
      <c r="M31" t="s">
        <v>114</v>
      </c>
      <c r="N31" t="s">
        <v>295</v>
      </c>
      <c r="O31" t="str">
        <f>VLOOKUP(Table_EH_Pre_Survey_May_20__2023_08_229[[#This Row],[LocationLatitude - Location Latitude]], 'Post-Survey Full Set'!Q:AU, 1, 0)</f>
        <v>40.4999</v>
      </c>
      <c r="P31" t="str">
        <f>VLOOKUP(Table_EH_Pre_Survey_May_20__2023_08_229[[#This Row],[LocationLongitude - Location Longitude]], 'Post-Survey Full Set'!S:AV, 1, 0)</f>
        <v>-74.4247</v>
      </c>
      <c r="Q31" t="s">
        <v>296</v>
      </c>
      <c r="R31" t="s">
        <v>111</v>
      </c>
      <c r="S31" t="s">
        <v>111</v>
      </c>
      <c r="T31" t="s">
        <v>111</v>
      </c>
      <c r="U31" t="s">
        <v>111</v>
      </c>
      <c r="V31" t="s">
        <v>193</v>
      </c>
      <c r="W31" t="str">
        <f>IF(COUNTIF($V$2:$V$103, Table_EH_Pre_Survey_May_20__2023_08_229[[#This Row],[LocationLatitude - Location Latitude]])=1, "Unique", "")</f>
        <v/>
      </c>
      <c r="X31" t="str">
        <f>VLOOKUP(Table_EH_Pre_Survey_May_20__2023_08_229[[#This Row],[LocationLatitude - Location Latitude]], 'Post-Survey Full Set'!Q:AU, 2, 0)</f>
        <v/>
      </c>
      <c r="Y31" t="s">
        <v>194</v>
      </c>
      <c r="Z31" t="e">
        <f>VLOOKUP(Table_EH_Pre_Survey_May_20__2023_08_229[[#This Row],[ResponseId - Response ID]], 'Post-Survey Full Set'!L:AU, 1, 0)</f>
        <v>#N/A</v>
      </c>
      <c r="AA31" t="s">
        <v>127</v>
      </c>
      <c r="AB31" t="s">
        <v>117</v>
      </c>
      <c r="AC31" s="35" t="s">
        <v>297</v>
      </c>
      <c r="AD31" t="s">
        <v>297</v>
      </c>
      <c r="AE31" t="str">
        <f>IF(ISTEXT(Table_EH_Pre_Survey_May_20__2023_08_229[[#This Row],[Post-Survey NetID''s]]) = TRUE, "Match", "")</f>
        <v>Match</v>
      </c>
      <c r="AF31" t="str">
        <f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f>
        <v>mmm564</v>
      </c>
      <c r="AG31" t="str">
        <f>IF(Table_EH_Pre_Survey_May_20__2023_08_229[[#This Row],[NetID Match]] = "Match",  "Match", IF(ISTEXT(Table_EH_Pre_Survey_May_20__2023_08_229[[#This Row],[IP Address Match]]) = TRUE, "Match", ""))</f>
        <v>Match</v>
      </c>
      <c r="AH31" s="8">
        <v>4</v>
      </c>
      <c r="AI31" s="8">
        <f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f>
        <v>4</v>
      </c>
      <c r="AJ31" s="4">
        <v>4</v>
      </c>
      <c r="AK31" s="4">
        <f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f>
        <v>4</v>
      </c>
      <c r="AL31" s="4">
        <v>4</v>
      </c>
      <c r="AM31" s="4">
        <f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f>
        <v>3</v>
      </c>
      <c r="AN31" s="4">
        <v>4</v>
      </c>
      <c r="AO31" s="4">
        <f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f>
        <v>3</v>
      </c>
      <c r="AP31" s="4">
        <v>2</v>
      </c>
      <c r="AQ31" s="4">
        <f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f>
        <v>2</v>
      </c>
      <c r="AR31" s="4">
        <v>3</v>
      </c>
      <c r="AS31" s="4">
        <f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f>
        <v>3</v>
      </c>
      <c r="AT31" s="4">
        <v>4</v>
      </c>
      <c r="AU31" s="4">
        <f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f>
        <v>4</v>
      </c>
      <c r="AV31" s="4">
        <v>2</v>
      </c>
      <c r="AW31" s="4">
        <f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f>
        <v>2</v>
      </c>
      <c r="AX31" s="2">
        <v>4</v>
      </c>
      <c r="AY31" s="2">
        <f>IF(Table_EH_Pre_Survey_May_20__2023_08_229[[#This Row],[Q4]] = 3, 1, IF(Table_EH_Pre_Survey_May_20__2023_08_229[[#This Row],[Q4]] = 2.5, 0.5, IF(Table_EH_Pre_Survey_May_20__2023_08_229[[#This Row],[Q4]] = 3.5, 0.5, 0)))</f>
        <v>0</v>
      </c>
      <c r="AZ31" s="2">
        <f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f>
        <v>4</v>
      </c>
      <c r="BA31" s="2">
        <f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f>
        <v>0</v>
      </c>
      <c r="BB31" t="s">
        <v>130</v>
      </c>
      <c r="BC31">
        <f>IF(Table_EH_Pre_Survey_May_20__2023_08_229[[#This Row],[Q5 ]]="PM &lt; 2.5 μm", 1, 0)</f>
        <v>0</v>
      </c>
      <c r="BD31" t="str">
        <f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f>
        <v>PM &lt; 25 μm</v>
      </c>
      <c r="BE31">
        <f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f>
        <v>0</v>
      </c>
      <c r="BF31" t="s">
        <v>131</v>
      </c>
      <c r="BG31">
        <f>IF(Table_EH_Pre_Survey_May_20__2023_08_229[[#This Row],[Q6]]="Particles of this size are generally absorbed in the respiratory tract and safely excreted in mucus.", 1, 0)</f>
        <v>0</v>
      </c>
      <c r="BH31" t="str">
        <f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f>
        <v>Particles of this size reach the bronchial tree where they corrode the alveolar parenchyma.</v>
      </c>
      <c r="BI31">
        <f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f>
        <v>0</v>
      </c>
      <c r="BJ31" t="s">
        <v>186</v>
      </c>
      <c r="BK31">
        <f>IF(ISNUMBER(SEARCH("Trucks", Table_EH_Pre_Survey_May_20__2023_08_229[[#This Row],[Q7]])) = TRUE, 1, 0) + IF(ISNUMBER(SEARCH("Cars", Table_EH_Pre_Survey_May_20__2023_08_229[[#This Row],[Q7]])) = TRUE, 1, 0) + IF(ISNUMBER(SEARCH("Fireplaces", Table_EH_Pre_Survey_May_20__2023_08_229[[#This Row],[Q7]])) = TRUE, 1, 0) + IF(ISNUMBER(SEARCH("Dirt Roads", Table_EH_Pre_Survey_May_20__2023_08_229[[#This Row],[Q7]])) = TRUE, 1, 0) - IF(ISNUMBER(SEARCH("Electric Vehicles", Table_EH_Pre_Survey_May_20__2023_08_229[[#This Row],[Q7]])) = TRUE, 1, 0) - IF(ISNUMBER(SEARCH("Pollen", Table_EH_Pre_Survey_May_20__2023_08_229[[#This Row],[Q7]])) = TRUE, 1, 0)</f>
        <v>3</v>
      </c>
      <c r="BL31" t="str">
        <f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f>
        <v>Cars,Fireplaces,Pollen,Trucks</v>
      </c>
      <c r="BM31">
        <f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f>
        <v>2</v>
      </c>
      <c r="BN31">
        <v>2</v>
      </c>
      <c r="BO31">
        <f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f>
        <v>4</v>
      </c>
      <c r="BP31">
        <v>2</v>
      </c>
      <c r="BQ31">
        <f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f>
        <v>2</v>
      </c>
      <c r="BR31">
        <v>2</v>
      </c>
      <c r="BS31">
        <f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f>
        <v>2</v>
      </c>
      <c r="BT31">
        <v>2</v>
      </c>
      <c r="BU31">
        <f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f>
        <v>2</v>
      </c>
      <c r="BV31">
        <v>2</v>
      </c>
      <c r="BW31">
        <f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f>
        <v>3</v>
      </c>
      <c r="BX31">
        <v>4</v>
      </c>
      <c r="BY31">
        <f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f>
        <v>4</v>
      </c>
      <c r="BZ31">
        <v>7</v>
      </c>
      <c r="CA31">
        <f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f>
        <v>7</v>
      </c>
      <c r="CB31" t="s">
        <v>111</v>
      </c>
      <c r="CC31" t="str">
        <f>IF(ISTEXT(VLOOKUP(Table_EH_Pre_Survey_May_20__2023_08_229[[#This Row],[Unique Identifier]], 'Post-Survey Full Set'!$D$1:$AU$72, 1, 0)), VLOOKUP(Table_EH_Pre_Survey_May_20__2023_08_229[[#This Row],[Unique Identifier]], 'Post-Survey Full Set'!$D$1:$AU$72, 43, 0), VLOOKUP(Table_EH_Pre_Survey_May_20__2023_08_229[[#This Row],[Unique Identifier]], 'Post-Survey Full Set'!$V$1:$AU$72, 25, 0))</f>
        <v/>
      </c>
    </row>
    <row r="32" spans="1:81" hidden="1" x14ac:dyDescent="0.25">
      <c r="A32" t="s">
        <v>651</v>
      </c>
      <c r="B32" t="s">
        <v>652</v>
      </c>
      <c r="C32" t="s">
        <v>42</v>
      </c>
      <c r="D32" t="s">
        <v>653</v>
      </c>
      <c r="E32" t="str">
        <f>IF(COUNTIF($D$2:$D$103, Table_EH_Pre_Survey_May_20__2023_08_229[[#This Row],[IPAddress - IP Address]])=1, "Unique", "")</f>
        <v>Unique</v>
      </c>
      <c r="F32" t="e">
        <f>VLOOKUP(Table_EH_Pre_Survey_May_20__2023_08_229[[#This Row],[IPAddress - IP Address]], 'Post-Survey Full Set'!D:AU, 2, 0)</f>
        <v>#N/A</v>
      </c>
      <c r="G32" t="e">
        <f>VLOOKUP(Table_EH_Pre_Survey_May_20__2023_08_229[[#This Row],[IPAddress - IP Address]], 'Post-Survey Full Set'!$D$1:$AU$72, 1, 0)</f>
        <v>#N/A</v>
      </c>
      <c r="H32" s="35" t="e">
        <v>#N/A</v>
      </c>
      <c r="I32">
        <v>1</v>
      </c>
      <c r="J32" t="s">
        <v>112</v>
      </c>
      <c r="K32">
        <f>_xlfn.NUMBERVALUE(Table_EH_Pre_Survey_May_20__2023_08_229[[#This Row],[Duration (in seconds) - Duration (in seconds)2]])</f>
        <v>270</v>
      </c>
      <c r="L32" t="s">
        <v>654</v>
      </c>
      <c r="M32" t="s">
        <v>114</v>
      </c>
      <c r="N32" t="s">
        <v>652</v>
      </c>
      <c r="O32" t="str">
        <f>VLOOKUP(Table_EH_Pre_Survey_May_20__2023_08_229[[#This Row],[LocationLatitude - Location Latitude]], 'Post-Survey Full Set'!Q:AU, 1, 0)</f>
        <v>40.7265</v>
      </c>
      <c r="P32" t="str">
        <f>VLOOKUP(Table_EH_Pre_Survey_May_20__2023_08_229[[#This Row],[LocationLongitude - Location Longitude]], 'Post-Survey Full Set'!S:AV, 1, 0)</f>
        <v>-74.1782</v>
      </c>
      <c r="Q32" t="s">
        <v>655</v>
      </c>
      <c r="R32" t="s">
        <v>111</v>
      </c>
      <c r="S32" t="s">
        <v>111</v>
      </c>
      <c r="T32" t="s">
        <v>111</v>
      </c>
      <c r="U32" t="s">
        <v>111</v>
      </c>
      <c r="V32" t="s">
        <v>656</v>
      </c>
      <c r="W32" t="str">
        <f>IF(COUNTIF($V$2:$V$103, Table_EH_Pre_Survey_May_20__2023_08_229[[#This Row],[LocationLatitude - Location Latitude]])=1, "Unique", "")</f>
        <v/>
      </c>
      <c r="X32" t="str">
        <f>VLOOKUP(Table_EH_Pre_Survey_May_20__2023_08_229[[#This Row],[LocationLatitude - Location Latitude]], 'Post-Survey Full Set'!Q:AU, 2, 0)</f>
        <v/>
      </c>
      <c r="Y32" t="s">
        <v>657</v>
      </c>
      <c r="Z32" t="e">
        <f>VLOOKUP(Table_EH_Pre_Survey_May_20__2023_08_229[[#This Row],[ResponseId - Response ID]], 'Post-Survey Full Set'!L:AU, 1, 0)</f>
        <v>#N/A</v>
      </c>
      <c r="AA32" t="s">
        <v>127</v>
      </c>
      <c r="AB32" t="s">
        <v>117</v>
      </c>
      <c r="AC32" s="35" t="s">
        <v>658</v>
      </c>
      <c r="AD32" t="e">
        <v>#N/A</v>
      </c>
      <c r="AE32" t="str">
        <f>IF(ISTEXT(Table_EH_Pre_Survey_May_20__2023_08_229[[#This Row],[Post-Survey NetID''s]]) = TRUE, "Match", "")</f>
        <v/>
      </c>
      <c r="AF32" t="str">
        <f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f>
        <v/>
      </c>
      <c r="AG32" t="str">
        <f>IF(Table_EH_Pre_Survey_May_20__2023_08_229[[#This Row],[NetID Match]] = "Match",  "Match", IF(ISTEXT(Table_EH_Pre_Survey_May_20__2023_08_229[[#This Row],[IP Address Match]]) = TRUE, "Match", ""))</f>
        <v/>
      </c>
      <c r="AH32" s="8">
        <v>3</v>
      </c>
      <c r="AI32" s="8">
        <f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f>
        <v>3</v>
      </c>
      <c r="AJ32" s="4">
        <v>2</v>
      </c>
      <c r="AK32" s="4">
        <f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f>
        <v>4</v>
      </c>
      <c r="AL32" s="4">
        <v>3</v>
      </c>
      <c r="AM32" s="4">
        <f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f>
        <v>4</v>
      </c>
      <c r="AN32" s="4">
        <v>3</v>
      </c>
      <c r="AO32" s="4">
        <f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f>
        <v>4</v>
      </c>
      <c r="AP32" s="4">
        <v>2</v>
      </c>
      <c r="AQ32" s="4">
        <f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f>
        <v>4</v>
      </c>
      <c r="AR32" s="4">
        <v>0</v>
      </c>
      <c r="AS32" s="4">
        <f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f>
        <v>5</v>
      </c>
      <c r="AT32" s="4">
        <v>2</v>
      </c>
      <c r="AU32" s="4">
        <f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f>
        <v>4</v>
      </c>
      <c r="AV32" s="4"/>
      <c r="AW32" s="4">
        <f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f>
        <v>4</v>
      </c>
      <c r="AX32" s="2">
        <v>3</v>
      </c>
      <c r="AY32" s="2">
        <f>IF(Table_EH_Pre_Survey_May_20__2023_08_229[[#This Row],[Q4]] = 3, 1, IF(Table_EH_Pre_Survey_May_20__2023_08_229[[#This Row],[Q4]] = 2.5, 0.5, IF(Table_EH_Pre_Survey_May_20__2023_08_229[[#This Row],[Q4]] = 3.5, 0.5, 0)))</f>
        <v>1</v>
      </c>
      <c r="AZ32" s="2">
        <f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f>
        <v>4</v>
      </c>
      <c r="BA32" s="2">
        <f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f>
        <v>0</v>
      </c>
      <c r="BB32" t="s">
        <v>185</v>
      </c>
      <c r="BC32">
        <f>IF(Table_EH_Pre_Survey_May_20__2023_08_229[[#This Row],[Q5 ]]="PM &lt; 2.5 μm", 1, 0)</f>
        <v>0</v>
      </c>
      <c r="BD32" t="str">
        <f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f>
        <v>PM &lt; 0.25 μm</v>
      </c>
      <c r="BE32">
        <f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f>
        <v>0</v>
      </c>
      <c r="BF32" t="s">
        <v>141</v>
      </c>
      <c r="BG32">
        <f>IF(Table_EH_Pre_Survey_May_20__2023_08_229[[#This Row],[Q6]]="Particles of this size are generally absorbed in the respiratory tract and safely excreted in mucus.", 1, 0)</f>
        <v>0</v>
      </c>
      <c r="BH32" t="str">
        <f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f>
        <v>Particles of this size reach the bronchial tree where they corrode the alveolar parenchyma.</v>
      </c>
      <c r="BI32">
        <f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f>
        <v>0</v>
      </c>
      <c r="BJ32" t="s">
        <v>650</v>
      </c>
      <c r="BK32">
        <f>IF(ISNUMBER(SEARCH("Trucks", Table_EH_Pre_Survey_May_20__2023_08_229[[#This Row],[Q7]])) = TRUE, 1, 0) + IF(ISNUMBER(SEARCH("Cars", Table_EH_Pre_Survey_May_20__2023_08_229[[#This Row],[Q7]])) = TRUE, 1, 0) + IF(ISNUMBER(SEARCH("Fireplaces", Table_EH_Pre_Survey_May_20__2023_08_229[[#This Row],[Q7]])) = TRUE, 1, 0) + IF(ISNUMBER(SEARCH("Dirt Roads", Table_EH_Pre_Survey_May_20__2023_08_229[[#This Row],[Q7]])) = TRUE, 1, 0) - IF(ISNUMBER(SEARCH("Electric Vehicles", Table_EH_Pre_Survey_May_20__2023_08_229[[#This Row],[Q7]])) = TRUE, 1, 0) - IF(ISNUMBER(SEARCH("Pollen", Table_EH_Pre_Survey_May_20__2023_08_229[[#This Row],[Q7]])) = TRUE, 1, 0)</f>
        <v>3</v>
      </c>
      <c r="BL32" t="str">
        <f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f>
        <v>Cars,Dirt Roads,Electric Vehicles,Fireplaces,Trucks</v>
      </c>
      <c r="BM32">
        <f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f>
        <v>3</v>
      </c>
      <c r="BN32">
        <v>2</v>
      </c>
      <c r="BO32">
        <f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f>
        <v>5</v>
      </c>
      <c r="BQ32">
        <f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f>
        <v>5</v>
      </c>
      <c r="BR32">
        <v>2</v>
      </c>
      <c r="BS32">
        <f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f>
        <v>5</v>
      </c>
      <c r="BU32">
        <f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f>
        <v>5</v>
      </c>
      <c r="BV32">
        <v>2</v>
      </c>
      <c r="BW32">
        <f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f>
        <v>5</v>
      </c>
      <c r="BY32">
        <f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f>
        <v>5</v>
      </c>
      <c r="BZ32">
        <v>3</v>
      </c>
      <c r="CA32">
        <f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f>
        <v>10</v>
      </c>
      <c r="CB32" t="s">
        <v>111</v>
      </c>
      <c r="CC32" t="str">
        <f>IF(ISTEXT(VLOOKUP(Table_EH_Pre_Survey_May_20__2023_08_229[[#This Row],[Unique Identifier]], 'Post-Survey Full Set'!$D$1:$AU$72, 1, 0)), VLOOKUP(Table_EH_Pre_Survey_May_20__2023_08_229[[#This Row],[Unique Identifier]], 'Post-Survey Full Set'!$D$1:$AU$72, 43, 0), VLOOKUP(Table_EH_Pre_Survey_May_20__2023_08_229[[#This Row],[Unique Identifier]], 'Post-Survey Full Set'!$V$1:$AU$72, 25, 0))</f>
        <v/>
      </c>
    </row>
    <row r="33" spans="1:81" hidden="1" x14ac:dyDescent="0.25">
      <c r="A33" t="s">
        <v>585</v>
      </c>
      <c r="B33" t="s">
        <v>586</v>
      </c>
      <c r="C33" t="s">
        <v>42</v>
      </c>
      <c r="D33" t="s">
        <v>587</v>
      </c>
      <c r="E33" t="str">
        <f>IF(COUNTIF($D$2:$D$103, Table_EH_Pre_Survey_May_20__2023_08_229[[#This Row],[IPAddress - IP Address]])=1, "Unique", "")</f>
        <v>Unique</v>
      </c>
      <c r="F33" t="e">
        <f>VLOOKUP(Table_EH_Pre_Survey_May_20__2023_08_229[[#This Row],[IPAddress - IP Address]], 'Post-Survey Full Set'!D:AU, 2, 0)</f>
        <v>#N/A</v>
      </c>
      <c r="G33" t="e">
        <f>VLOOKUP(Table_EH_Pre_Survey_May_20__2023_08_229[[#This Row],[IPAddress - IP Address]], 'Post-Survey Full Set'!$D$1:$AU$72, 1, 0)</f>
        <v>#N/A</v>
      </c>
      <c r="H33" s="35" t="e">
        <v>#N/A</v>
      </c>
      <c r="I33">
        <v>1</v>
      </c>
      <c r="J33" t="s">
        <v>112</v>
      </c>
      <c r="K33">
        <f>_xlfn.NUMBERVALUE(Table_EH_Pre_Survey_May_20__2023_08_229[[#This Row],[Duration (in seconds) - Duration (in seconds)2]])</f>
        <v>191</v>
      </c>
      <c r="L33" t="s">
        <v>588</v>
      </c>
      <c r="M33" t="s">
        <v>114</v>
      </c>
      <c r="N33" t="s">
        <v>586</v>
      </c>
      <c r="O33" t="str">
        <f>VLOOKUP(Table_EH_Pre_Survey_May_20__2023_08_229[[#This Row],[LocationLatitude - Location Latitude]], 'Post-Survey Full Set'!Q:AU, 1, 0)</f>
        <v>40.5511</v>
      </c>
      <c r="P33" t="str">
        <f>VLOOKUP(Table_EH_Pre_Survey_May_20__2023_08_229[[#This Row],[LocationLongitude - Location Longitude]], 'Post-Survey Full Set'!S:AV, 1, 0)</f>
        <v>-74.4606</v>
      </c>
      <c r="Q33" t="s">
        <v>589</v>
      </c>
      <c r="R33" t="s">
        <v>111</v>
      </c>
      <c r="S33" t="s">
        <v>111</v>
      </c>
      <c r="T33" t="s">
        <v>111</v>
      </c>
      <c r="U33" t="s">
        <v>111</v>
      </c>
      <c r="V33" t="s">
        <v>115</v>
      </c>
      <c r="W33" t="str">
        <f>IF(COUNTIF($V$2:$V$103, Table_EH_Pre_Survey_May_20__2023_08_229[[#This Row],[LocationLatitude - Location Latitude]])=1, "Unique", "")</f>
        <v/>
      </c>
      <c r="X33" t="str">
        <f>VLOOKUP(Table_EH_Pre_Survey_May_20__2023_08_229[[#This Row],[LocationLatitude - Location Latitude]], 'Post-Survey Full Set'!Q:AU, 2, 0)</f>
        <v/>
      </c>
      <c r="Y33" t="s">
        <v>116</v>
      </c>
      <c r="Z33" t="e">
        <f>VLOOKUP(Table_EH_Pre_Survey_May_20__2023_08_229[[#This Row],[ResponseId - Response ID]], 'Post-Survey Full Set'!L:AU, 1, 0)</f>
        <v>#N/A</v>
      </c>
      <c r="AA33" t="s">
        <v>487</v>
      </c>
      <c r="AB33" t="s">
        <v>117</v>
      </c>
      <c r="AC33" s="35" t="s">
        <v>590</v>
      </c>
      <c r="AD33" t="e">
        <v>#N/A</v>
      </c>
      <c r="AE33" t="str">
        <f>IF(ISTEXT(Table_EH_Pre_Survey_May_20__2023_08_229[[#This Row],[Post-Survey NetID''s]]) = TRUE, "Match", "")</f>
        <v/>
      </c>
      <c r="AF33" t="str">
        <f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f>
        <v/>
      </c>
      <c r="AG33" t="str">
        <f>IF(Table_EH_Pre_Survey_May_20__2023_08_229[[#This Row],[NetID Match]] = "Match",  "Match", IF(ISTEXT(Table_EH_Pre_Survey_May_20__2023_08_229[[#This Row],[IP Address Match]]) = TRUE, "Match", ""))</f>
        <v/>
      </c>
      <c r="AH33" s="8">
        <v>5</v>
      </c>
      <c r="AI33" s="8">
        <f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f>
        <v>3</v>
      </c>
      <c r="AJ33" s="4">
        <v>5</v>
      </c>
      <c r="AK33" s="4">
        <f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f>
        <v>4</v>
      </c>
      <c r="AL33" s="4">
        <v>5</v>
      </c>
      <c r="AM33" s="4">
        <f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f>
        <v>4</v>
      </c>
      <c r="AN33" s="4">
        <v>5</v>
      </c>
      <c r="AO33" s="4">
        <f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f>
        <v>4</v>
      </c>
      <c r="AP33" s="4">
        <v>3</v>
      </c>
      <c r="AQ33" s="4">
        <f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f>
        <v>4</v>
      </c>
      <c r="AR33" s="4">
        <v>5</v>
      </c>
      <c r="AS33" s="4">
        <f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f>
        <v>5</v>
      </c>
      <c r="AT33" s="4">
        <v>5</v>
      </c>
      <c r="AU33" s="4">
        <f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f>
        <v>4</v>
      </c>
      <c r="AV33" s="4">
        <v>5</v>
      </c>
      <c r="AW33" s="4">
        <f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f>
        <v>4</v>
      </c>
      <c r="AX33" s="2">
        <v>5</v>
      </c>
      <c r="AY33" s="2">
        <f>IF(Table_EH_Pre_Survey_May_20__2023_08_229[[#This Row],[Q4]] = 3, 1, IF(Table_EH_Pre_Survey_May_20__2023_08_229[[#This Row],[Q4]] = 2.5, 0.5, IF(Table_EH_Pre_Survey_May_20__2023_08_229[[#This Row],[Q4]] = 3.5, 0.5, 0)))</f>
        <v>0</v>
      </c>
      <c r="AZ33" s="2">
        <f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f>
        <v>4</v>
      </c>
      <c r="BA33" s="2">
        <f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f>
        <v>0</v>
      </c>
      <c r="BB33" t="s">
        <v>140</v>
      </c>
      <c r="BC33">
        <f>IF(Table_EH_Pre_Survey_May_20__2023_08_229[[#This Row],[Q5 ]]="PM &lt; 2.5 μm", 1, 0)</f>
        <v>1</v>
      </c>
      <c r="BD33" t="str">
        <f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f>
        <v>PM &lt; 0.25 μm</v>
      </c>
      <c r="BE33">
        <f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f>
        <v>0</v>
      </c>
      <c r="BF33" t="s">
        <v>175</v>
      </c>
      <c r="BG33">
        <f>IF(Table_EH_Pre_Survey_May_20__2023_08_229[[#This Row],[Q6]]="Particles of this size are generally absorbed in the respiratory tract and safely excreted in mucus.", 1, 0)</f>
        <v>1</v>
      </c>
      <c r="BH33" t="str">
        <f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f>
        <v>Particles of this size reach the bronchial tree where they corrode the alveolar parenchyma.</v>
      </c>
      <c r="BI33">
        <f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f>
        <v>0</v>
      </c>
      <c r="BJ33" t="s">
        <v>206</v>
      </c>
      <c r="BK33">
        <f>IF(ISNUMBER(SEARCH("Trucks", Table_EH_Pre_Survey_May_20__2023_08_229[[#This Row],[Q7]])) = TRUE, 1, 0) + IF(ISNUMBER(SEARCH("Cars", Table_EH_Pre_Survey_May_20__2023_08_229[[#This Row],[Q7]])) = TRUE, 1, 0) + IF(ISNUMBER(SEARCH("Fireplaces", Table_EH_Pre_Survey_May_20__2023_08_229[[#This Row],[Q7]])) = TRUE, 1, 0) + IF(ISNUMBER(SEARCH("Dirt Roads", Table_EH_Pre_Survey_May_20__2023_08_229[[#This Row],[Q7]])) = TRUE, 1, 0) - IF(ISNUMBER(SEARCH("Electric Vehicles", Table_EH_Pre_Survey_May_20__2023_08_229[[#This Row],[Q7]])) = TRUE, 1, 0) - IF(ISNUMBER(SEARCH("Pollen", Table_EH_Pre_Survey_May_20__2023_08_229[[#This Row],[Q7]])) = TRUE, 1, 0)</f>
        <v>2</v>
      </c>
      <c r="BL33" t="str">
        <f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f>
        <v>Cars,Dirt Roads,Electric Vehicles,Fireplaces,Trucks</v>
      </c>
      <c r="BM33">
        <f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f>
        <v>3</v>
      </c>
      <c r="BN33">
        <v>2</v>
      </c>
      <c r="BO33">
        <f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f>
        <v>5</v>
      </c>
      <c r="BP33">
        <v>2</v>
      </c>
      <c r="BQ33">
        <f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f>
        <v>5</v>
      </c>
      <c r="BR33">
        <v>4</v>
      </c>
      <c r="BS33">
        <f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f>
        <v>5</v>
      </c>
      <c r="BT33">
        <v>4</v>
      </c>
      <c r="BU33">
        <f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f>
        <v>5</v>
      </c>
      <c r="BV33">
        <v>4</v>
      </c>
      <c r="BW33">
        <f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f>
        <v>5</v>
      </c>
      <c r="BX33">
        <v>4</v>
      </c>
      <c r="BY33">
        <f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f>
        <v>5</v>
      </c>
      <c r="BZ33">
        <v>8</v>
      </c>
      <c r="CA33">
        <f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f>
        <v>10</v>
      </c>
      <c r="CB33" t="s">
        <v>111</v>
      </c>
      <c r="CC33" t="str">
        <f>IF(ISTEXT(VLOOKUP(Table_EH_Pre_Survey_May_20__2023_08_229[[#This Row],[Unique Identifier]], 'Post-Survey Full Set'!$D$1:$AU$72, 1, 0)), VLOOKUP(Table_EH_Pre_Survey_May_20__2023_08_229[[#This Row],[Unique Identifier]], 'Post-Survey Full Set'!$D$1:$AU$72, 43, 0), VLOOKUP(Table_EH_Pre_Survey_May_20__2023_08_229[[#This Row],[Unique Identifier]], 'Post-Survey Full Set'!$V$1:$AU$72, 25, 0))</f>
        <v/>
      </c>
    </row>
    <row r="34" spans="1:81" hidden="1" x14ac:dyDescent="0.25">
      <c r="A34" t="s">
        <v>813</v>
      </c>
      <c r="B34" t="s">
        <v>814</v>
      </c>
      <c r="C34" t="s">
        <v>42</v>
      </c>
      <c r="D34" t="s">
        <v>815</v>
      </c>
      <c r="E34" t="str">
        <f>IF(COUNTIF($D$2:$D$103, Table_EH_Pre_Survey_May_20__2023_08_229[[#This Row],[IPAddress - IP Address]])=1, "Unique", "")</f>
        <v>Unique</v>
      </c>
      <c r="F34" t="e">
        <f>VLOOKUP(Table_EH_Pre_Survey_May_20__2023_08_229[[#This Row],[IPAddress - IP Address]], 'Post-Survey Full Set'!D:AU, 2, 0)</f>
        <v>#N/A</v>
      </c>
      <c r="G34" t="e">
        <f>VLOOKUP(Table_EH_Pre_Survey_May_20__2023_08_229[[#This Row],[IPAddress - IP Address]], 'Post-Survey Full Set'!$D$1:$AU$72, 1, 0)</f>
        <v>#N/A</v>
      </c>
      <c r="H34" s="35" t="e">
        <v>#N/A</v>
      </c>
      <c r="I34">
        <v>1</v>
      </c>
      <c r="J34" t="s">
        <v>112</v>
      </c>
      <c r="K34">
        <f>_xlfn.NUMBERVALUE(Table_EH_Pre_Survey_May_20__2023_08_229[[#This Row],[Duration (in seconds) - Duration (in seconds)2]])</f>
        <v>158</v>
      </c>
      <c r="L34" t="s">
        <v>816</v>
      </c>
      <c r="M34" t="s">
        <v>114</v>
      </c>
      <c r="N34" t="s">
        <v>814</v>
      </c>
      <c r="O34" t="str">
        <f>VLOOKUP(Table_EH_Pre_Survey_May_20__2023_08_229[[#This Row],[LocationLatitude - Location Latitude]], 'Post-Survey Full Set'!Q:AU, 1, 0)</f>
        <v>40.488</v>
      </c>
      <c r="P34" t="str">
        <f>VLOOKUP(Table_EH_Pre_Survey_May_20__2023_08_229[[#This Row],[LocationLongitude - Location Longitude]], 'Post-Survey Full Set'!S:AV, 1, 0)</f>
        <v>-74.4544</v>
      </c>
      <c r="Q34" t="s">
        <v>817</v>
      </c>
      <c r="R34" t="s">
        <v>111</v>
      </c>
      <c r="S34" t="s">
        <v>111</v>
      </c>
      <c r="T34" t="s">
        <v>111</v>
      </c>
      <c r="U34" t="s">
        <v>111</v>
      </c>
      <c r="V34" t="s">
        <v>351</v>
      </c>
      <c r="W34" t="str">
        <f>IF(COUNTIF($V$2:$V$103, Table_EH_Pre_Survey_May_20__2023_08_229[[#This Row],[LocationLatitude - Location Latitude]])=1, "Unique", "")</f>
        <v/>
      </c>
      <c r="X34" t="str">
        <f>VLOOKUP(Table_EH_Pre_Survey_May_20__2023_08_229[[#This Row],[LocationLatitude - Location Latitude]], 'Post-Survey Full Set'!Q:AU, 2, 0)</f>
        <v/>
      </c>
      <c r="Y34" t="s">
        <v>352</v>
      </c>
      <c r="Z34" t="e">
        <f>VLOOKUP(Table_EH_Pre_Survey_May_20__2023_08_229[[#This Row],[ResponseId - Response ID]], 'Post-Survey Full Set'!L:AU, 1, 0)</f>
        <v>#N/A</v>
      </c>
      <c r="AA34" t="s">
        <v>127</v>
      </c>
      <c r="AB34" t="s">
        <v>117</v>
      </c>
      <c r="AC34" s="35" t="s">
        <v>590</v>
      </c>
      <c r="AD34" t="e">
        <v>#N/A</v>
      </c>
      <c r="AE34" t="str">
        <f>IF(ISTEXT(Table_EH_Pre_Survey_May_20__2023_08_229[[#This Row],[Post-Survey NetID''s]]) = TRUE, "Match", "")</f>
        <v/>
      </c>
      <c r="AF34" t="str">
        <f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f>
        <v/>
      </c>
      <c r="AG34" t="str">
        <f>IF(Table_EH_Pre_Survey_May_20__2023_08_229[[#This Row],[NetID Match]] = "Match",  "Match", IF(ISTEXT(Table_EH_Pre_Survey_May_20__2023_08_229[[#This Row],[IP Address Match]]) = TRUE, "Match", ""))</f>
        <v/>
      </c>
      <c r="AH34" s="8">
        <v>5</v>
      </c>
      <c r="AI34" s="8">
        <f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f>
        <v>3</v>
      </c>
      <c r="AJ34" s="4">
        <v>4</v>
      </c>
      <c r="AK34" s="4">
        <f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f>
        <v>4</v>
      </c>
      <c r="AL34" s="4">
        <v>5</v>
      </c>
      <c r="AM34" s="4">
        <f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f>
        <v>4</v>
      </c>
      <c r="AN34" s="4">
        <v>5</v>
      </c>
      <c r="AO34" s="4">
        <f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f>
        <v>4</v>
      </c>
      <c r="AP34" s="4">
        <v>4</v>
      </c>
      <c r="AQ34" s="4">
        <f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f>
        <v>4</v>
      </c>
      <c r="AR34" s="4">
        <v>4</v>
      </c>
      <c r="AS34" s="4">
        <f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f>
        <v>5</v>
      </c>
      <c r="AT34" s="4">
        <v>5</v>
      </c>
      <c r="AU34" s="4">
        <f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f>
        <v>4</v>
      </c>
      <c r="AV34" s="4">
        <v>4</v>
      </c>
      <c r="AW34" s="4">
        <f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f>
        <v>4</v>
      </c>
      <c r="AX34" s="2">
        <v>3</v>
      </c>
      <c r="AY34" s="2">
        <f>IF(Table_EH_Pre_Survey_May_20__2023_08_229[[#This Row],[Q4]] = 3, 1, IF(Table_EH_Pre_Survey_May_20__2023_08_229[[#This Row],[Q4]] = 2.5, 0.5, IF(Table_EH_Pre_Survey_May_20__2023_08_229[[#This Row],[Q4]] = 3.5, 0.5, 0)))</f>
        <v>1</v>
      </c>
      <c r="AZ34" s="2">
        <f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f>
        <v>4</v>
      </c>
      <c r="BA34" s="2">
        <f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f>
        <v>0</v>
      </c>
      <c r="BB34" t="s">
        <v>140</v>
      </c>
      <c r="BC34">
        <f>IF(Table_EH_Pre_Survey_May_20__2023_08_229[[#This Row],[Q5 ]]="PM &lt; 2.5 μm", 1, 0)</f>
        <v>1</v>
      </c>
      <c r="BD34" t="str">
        <f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f>
        <v>PM &lt; 0.25 μm</v>
      </c>
      <c r="BE34">
        <f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f>
        <v>0</v>
      </c>
      <c r="BF34" t="s">
        <v>175</v>
      </c>
      <c r="BG34">
        <f>IF(Table_EH_Pre_Survey_May_20__2023_08_229[[#This Row],[Q6]]="Particles of this size are generally absorbed in the respiratory tract and safely excreted in mucus.", 1, 0)</f>
        <v>1</v>
      </c>
      <c r="BH34" t="str">
        <f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f>
        <v>Particles of this size reach the bronchial tree where they corrode the alveolar parenchyma.</v>
      </c>
      <c r="BI34">
        <f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f>
        <v>0</v>
      </c>
      <c r="BJ34" t="s">
        <v>186</v>
      </c>
      <c r="BK34">
        <f>IF(ISNUMBER(SEARCH("Trucks", Table_EH_Pre_Survey_May_20__2023_08_229[[#This Row],[Q7]])) = TRUE, 1, 0) + IF(ISNUMBER(SEARCH("Cars", Table_EH_Pre_Survey_May_20__2023_08_229[[#This Row],[Q7]])) = TRUE, 1, 0) + IF(ISNUMBER(SEARCH("Fireplaces", Table_EH_Pre_Survey_May_20__2023_08_229[[#This Row],[Q7]])) = TRUE, 1, 0) + IF(ISNUMBER(SEARCH("Dirt Roads", Table_EH_Pre_Survey_May_20__2023_08_229[[#This Row],[Q7]])) = TRUE, 1, 0) - IF(ISNUMBER(SEARCH("Electric Vehicles", Table_EH_Pre_Survey_May_20__2023_08_229[[#This Row],[Q7]])) = TRUE, 1, 0) - IF(ISNUMBER(SEARCH("Pollen", Table_EH_Pre_Survey_May_20__2023_08_229[[#This Row],[Q7]])) = TRUE, 1, 0)</f>
        <v>3</v>
      </c>
      <c r="BL34" t="str">
        <f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f>
        <v>Cars,Dirt Roads,Electric Vehicles,Fireplaces,Trucks</v>
      </c>
      <c r="BM34">
        <f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f>
        <v>3</v>
      </c>
      <c r="BN34">
        <v>4</v>
      </c>
      <c r="BO34">
        <f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f>
        <v>5</v>
      </c>
      <c r="BP34">
        <v>5</v>
      </c>
      <c r="BQ34">
        <f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f>
        <v>5</v>
      </c>
      <c r="BR34">
        <v>4</v>
      </c>
      <c r="BS34">
        <f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f>
        <v>5</v>
      </c>
      <c r="BT34">
        <v>4</v>
      </c>
      <c r="BU34">
        <f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f>
        <v>5</v>
      </c>
      <c r="BV34">
        <v>4</v>
      </c>
      <c r="BW34">
        <f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f>
        <v>5</v>
      </c>
      <c r="BX34">
        <v>4</v>
      </c>
      <c r="BY34">
        <f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f>
        <v>5</v>
      </c>
      <c r="BZ34">
        <v>9</v>
      </c>
      <c r="CA34">
        <f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f>
        <v>10</v>
      </c>
      <c r="CB34" t="s">
        <v>111</v>
      </c>
      <c r="CC34" t="str">
        <f>IF(ISTEXT(VLOOKUP(Table_EH_Pre_Survey_May_20__2023_08_229[[#This Row],[Unique Identifier]], 'Post-Survey Full Set'!$D$1:$AU$72, 1, 0)), VLOOKUP(Table_EH_Pre_Survey_May_20__2023_08_229[[#This Row],[Unique Identifier]], 'Post-Survey Full Set'!$D$1:$AU$72, 43, 0), VLOOKUP(Table_EH_Pre_Survey_May_20__2023_08_229[[#This Row],[Unique Identifier]], 'Post-Survey Full Set'!$V$1:$AU$72, 25, 0))</f>
        <v/>
      </c>
    </row>
    <row r="35" spans="1:81" x14ac:dyDescent="0.25">
      <c r="A35" t="s">
        <v>743</v>
      </c>
      <c r="B35" t="s">
        <v>744</v>
      </c>
      <c r="C35" t="s">
        <v>42</v>
      </c>
      <c r="D35" t="s">
        <v>389</v>
      </c>
      <c r="E35" t="str">
        <f>IF(COUNTIF($D$2:$D$103, Table_EH_Pre_Survey_May_20__2023_08_229[[#This Row],[IPAddress - IP Address]])=1, "Unique", "")</f>
        <v/>
      </c>
      <c r="F35" t="str">
        <f>VLOOKUP(Table_EH_Pre_Survey_May_20__2023_08_229[[#This Row],[IPAddress - IP Address]], 'Post-Survey Full Set'!D:AU, 2, 0)</f>
        <v/>
      </c>
      <c r="G35" t="str">
        <f>VLOOKUP(Table_EH_Pre_Survey_May_20__2023_08_229[[#This Row],[IPAddress - IP Address]], 'Post-Survey Full Set'!$D$1:$AU$72, 1, 0)</f>
        <v>130.219.10.90</v>
      </c>
      <c r="I35">
        <v>1</v>
      </c>
      <c r="J35" t="s">
        <v>112</v>
      </c>
      <c r="K35">
        <f>_xlfn.NUMBERVALUE(Table_EH_Pre_Survey_May_20__2023_08_229[[#This Row],[Duration (in seconds) - Duration (in seconds)2]])</f>
        <v>383</v>
      </c>
      <c r="L35" t="s">
        <v>745</v>
      </c>
      <c r="M35" t="s">
        <v>114</v>
      </c>
      <c r="N35" t="s">
        <v>746</v>
      </c>
      <c r="O35" t="str">
        <f>VLOOKUP(Table_EH_Pre_Survey_May_20__2023_08_229[[#This Row],[LocationLatitude - Location Latitude]], 'Post-Survey Full Set'!Q:AU, 1, 0)</f>
        <v>40.7337</v>
      </c>
      <c r="P35" t="str">
        <f>VLOOKUP(Table_EH_Pre_Survey_May_20__2023_08_229[[#This Row],[LocationLongitude - Location Longitude]], 'Post-Survey Full Set'!S:AV, 1, 0)</f>
        <v>-74.1939</v>
      </c>
      <c r="Q35" t="s">
        <v>747</v>
      </c>
      <c r="R35" t="s">
        <v>111</v>
      </c>
      <c r="S35" t="s">
        <v>111</v>
      </c>
      <c r="T35" t="s">
        <v>111</v>
      </c>
      <c r="U35" t="s">
        <v>111</v>
      </c>
      <c r="V35" t="s">
        <v>392</v>
      </c>
      <c r="W35" t="str">
        <f>IF(COUNTIF($V$2:$V$103, Table_EH_Pre_Survey_May_20__2023_08_229[[#This Row],[LocationLatitude - Location Latitude]])=1, "Unique", "")</f>
        <v/>
      </c>
      <c r="X35" t="str">
        <f>VLOOKUP(Table_EH_Pre_Survey_May_20__2023_08_229[[#This Row],[LocationLatitude - Location Latitude]], 'Post-Survey Full Set'!Q:AU, 2, 0)</f>
        <v/>
      </c>
      <c r="Y35" t="s">
        <v>393</v>
      </c>
      <c r="Z35" t="e">
        <f>VLOOKUP(Table_EH_Pre_Survey_May_20__2023_08_229[[#This Row],[ResponseId - Response ID]], 'Post-Survey Full Set'!L:AU, 1, 0)</f>
        <v>#N/A</v>
      </c>
      <c r="AA35" t="s">
        <v>127</v>
      </c>
      <c r="AB35" t="s">
        <v>117</v>
      </c>
      <c r="AC35" s="35" t="s">
        <v>748</v>
      </c>
      <c r="AD35" t="s">
        <v>748</v>
      </c>
      <c r="AE35" t="str">
        <f>IF(ISTEXT(Table_EH_Pre_Survey_May_20__2023_08_229[[#This Row],[Post-Survey NetID''s]]) = TRUE, "Match", "")</f>
        <v>Match</v>
      </c>
      <c r="AF35" t="str">
        <f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f>
        <v>Lma216</v>
      </c>
      <c r="AG35" t="str">
        <f>IF(Table_EH_Pre_Survey_May_20__2023_08_229[[#This Row],[NetID Match]] = "Match",  "Match", IF(ISTEXT(Table_EH_Pre_Survey_May_20__2023_08_229[[#This Row],[IP Address Match]]) = TRUE, "Match", ""))</f>
        <v>Match</v>
      </c>
      <c r="AH35" s="8">
        <v>5</v>
      </c>
      <c r="AI35" s="8">
        <f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f>
        <v>5</v>
      </c>
      <c r="AJ35" s="4">
        <v>4</v>
      </c>
      <c r="AK35" s="4">
        <f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f>
        <v>5</v>
      </c>
      <c r="AL35" s="4">
        <v>4</v>
      </c>
      <c r="AM35" s="4">
        <f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f>
        <v>5</v>
      </c>
      <c r="AN35" s="4">
        <v>5</v>
      </c>
      <c r="AO35" s="4">
        <f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f>
        <v>5</v>
      </c>
      <c r="AP35" s="4">
        <v>4</v>
      </c>
      <c r="AQ35" s="4">
        <f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f>
        <v>4</v>
      </c>
      <c r="AR35" s="4">
        <v>3</v>
      </c>
      <c r="AS35" s="4">
        <f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f>
        <v>3</v>
      </c>
      <c r="AT35" s="4">
        <v>5</v>
      </c>
      <c r="AU35" s="4">
        <f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f>
        <v>5</v>
      </c>
      <c r="AV35" s="4">
        <v>4</v>
      </c>
      <c r="AW35" s="4">
        <f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f>
        <v>2</v>
      </c>
      <c r="AX35" s="2">
        <v>4</v>
      </c>
      <c r="AY35" s="2">
        <f>IF(Table_EH_Pre_Survey_May_20__2023_08_229[[#This Row],[Q4]] = 3, 1, IF(Table_EH_Pre_Survey_May_20__2023_08_229[[#This Row],[Q4]] = 2.5, 0.5, IF(Table_EH_Pre_Survey_May_20__2023_08_229[[#This Row],[Q4]] = 3.5, 0.5, 0)))</f>
        <v>0</v>
      </c>
      <c r="AZ35" s="2">
        <f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f>
        <v>3</v>
      </c>
      <c r="BA35" s="2">
        <f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f>
        <v>1</v>
      </c>
      <c r="BB35" t="s">
        <v>140</v>
      </c>
      <c r="BC35">
        <f>IF(Table_EH_Pre_Survey_May_20__2023_08_229[[#This Row],[Q5 ]]="PM &lt; 2.5 μm", 1, 0)</f>
        <v>1</v>
      </c>
      <c r="BD35" t="str">
        <f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f>
        <v>PM &lt; 2.5 μm</v>
      </c>
      <c r="BE35">
        <f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f>
        <v>1</v>
      </c>
      <c r="BF35" t="s">
        <v>141</v>
      </c>
      <c r="BG35">
        <f>IF(Table_EH_Pre_Survey_May_20__2023_08_229[[#This Row],[Q6]]="Particles of this size are generally absorbed in the respiratory tract and safely excreted in mucus.", 1, 0)</f>
        <v>0</v>
      </c>
      <c r="BH35" t="str">
        <f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f>
        <v>Particles of this size include dust and pollen and are the main source of seasonal rhinitis</v>
      </c>
      <c r="BI35">
        <f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f>
        <v>0</v>
      </c>
      <c r="BJ35" t="s">
        <v>167</v>
      </c>
      <c r="BK35">
        <f>IF(ISNUMBER(SEARCH("Trucks", Table_EH_Pre_Survey_May_20__2023_08_229[[#This Row],[Q7]])) = TRUE, 1, 0) + IF(ISNUMBER(SEARCH("Cars", Table_EH_Pre_Survey_May_20__2023_08_229[[#This Row],[Q7]])) = TRUE, 1, 0) + IF(ISNUMBER(SEARCH("Fireplaces", Table_EH_Pre_Survey_May_20__2023_08_229[[#This Row],[Q7]])) = TRUE, 1, 0) + IF(ISNUMBER(SEARCH("Dirt Roads", Table_EH_Pre_Survey_May_20__2023_08_229[[#This Row],[Q7]])) = TRUE, 1, 0) - IF(ISNUMBER(SEARCH("Electric Vehicles", Table_EH_Pre_Survey_May_20__2023_08_229[[#This Row],[Q7]])) = TRUE, 1, 0) - IF(ISNUMBER(SEARCH("Pollen", Table_EH_Pre_Survey_May_20__2023_08_229[[#This Row],[Q7]])) = TRUE, 1, 0)</f>
        <v>3</v>
      </c>
      <c r="BL35" t="str">
        <f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f>
        <v>Cars,Fireplaces,Pollen,Trucks</v>
      </c>
      <c r="BM35">
        <f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f>
        <v>2</v>
      </c>
      <c r="BN35">
        <v>4</v>
      </c>
      <c r="BO35">
        <f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f>
        <v>4</v>
      </c>
      <c r="BP35">
        <v>5</v>
      </c>
      <c r="BQ35">
        <f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f>
        <v>4</v>
      </c>
      <c r="BR35">
        <v>4</v>
      </c>
      <c r="BS35">
        <f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f>
        <v>2</v>
      </c>
      <c r="BT35">
        <v>4</v>
      </c>
      <c r="BU35">
        <f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f>
        <v>3</v>
      </c>
      <c r="BV35">
        <v>2</v>
      </c>
      <c r="BW35">
        <f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f>
        <v>5</v>
      </c>
      <c r="BX35">
        <v>3</v>
      </c>
      <c r="BY35">
        <f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f>
        <v>4</v>
      </c>
      <c r="BZ35">
        <v>10</v>
      </c>
      <c r="CA35">
        <f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f>
        <v>10</v>
      </c>
      <c r="CB35" t="s">
        <v>749</v>
      </c>
      <c r="CC35" t="str">
        <f>IF(ISTEXT(VLOOKUP(Table_EH_Pre_Survey_May_20__2023_08_229[[#This Row],[Unique Identifier]], 'Post-Survey Full Set'!$D$1:$AU$72, 1, 0)), VLOOKUP(Table_EH_Pre_Survey_May_20__2023_08_229[[#This Row],[Unique Identifier]], 'Post-Survey Full Set'!$D$1:$AU$72, 43, 0), VLOOKUP(Table_EH_Pre_Survey_May_20__2023_08_229[[#This Row],[Unique Identifier]], 'Post-Survey Full Set'!$V$1:$AU$72, 25, 0))</f>
        <v xml:space="preserve">Projected climate change effect on health. </v>
      </c>
    </row>
    <row r="36" spans="1:81" hidden="1" x14ac:dyDescent="0.25">
      <c r="A36" t="s">
        <v>785</v>
      </c>
      <c r="B36" t="s">
        <v>786</v>
      </c>
      <c r="C36" t="s">
        <v>42</v>
      </c>
      <c r="D36" t="s">
        <v>787</v>
      </c>
      <c r="E36" t="str">
        <f>IF(COUNTIF($D$2:$D$103, Table_EH_Pre_Survey_May_20__2023_08_229[[#This Row],[IPAddress - IP Address]])=1, "Unique", "")</f>
        <v>Unique</v>
      </c>
      <c r="F36" t="e">
        <f>VLOOKUP(Table_EH_Pre_Survey_May_20__2023_08_229[[#This Row],[IPAddress - IP Address]], 'Post-Survey Full Set'!D:AU, 2, 0)</f>
        <v>#N/A</v>
      </c>
      <c r="G36" t="e">
        <f>VLOOKUP(Table_EH_Pre_Survey_May_20__2023_08_229[[#This Row],[IPAddress - IP Address]], 'Post-Survey Full Set'!$D$1:$AU$72, 1, 0)</f>
        <v>#N/A</v>
      </c>
      <c r="H36" s="35" t="e">
        <v>#N/A</v>
      </c>
      <c r="I36">
        <v>1</v>
      </c>
      <c r="J36" t="s">
        <v>112</v>
      </c>
      <c r="K36">
        <f>_xlfn.NUMBERVALUE(Table_EH_Pre_Survey_May_20__2023_08_229[[#This Row],[Duration (in seconds) - Duration (in seconds)2]])</f>
        <v>136</v>
      </c>
      <c r="L36" t="s">
        <v>740</v>
      </c>
      <c r="M36" t="s">
        <v>114</v>
      </c>
      <c r="N36" t="s">
        <v>788</v>
      </c>
      <c r="O36" t="e">
        <f>VLOOKUP(Table_EH_Pre_Survey_May_20__2023_08_229[[#This Row],[LocationLatitude - Location Latitude]], 'Post-Survey Full Set'!Q:AU, 1, 0)</f>
        <v>#N/A</v>
      </c>
      <c r="P36" t="e">
        <f>VLOOKUP(Table_EH_Pre_Survey_May_20__2023_08_229[[#This Row],[LocationLongitude - Location Longitude]], 'Post-Survey Full Set'!S:AV, 1, 0)</f>
        <v>#N/A</v>
      </c>
      <c r="Q36" t="s">
        <v>789</v>
      </c>
      <c r="R36" t="s">
        <v>111</v>
      </c>
      <c r="S36" t="s">
        <v>111</v>
      </c>
      <c r="T36" t="s">
        <v>111</v>
      </c>
      <c r="U36" t="s">
        <v>111</v>
      </c>
      <c r="V36" t="s">
        <v>790</v>
      </c>
      <c r="W36" t="str">
        <f>IF(COUNTIF($V$2:$V$103, Table_EH_Pre_Survey_May_20__2023_08_229[[#This Row],[LocationLatitude - Location Latitude]])=1, "Unique", "")</f>
        <v>Unique</v>
      </c>
      <c r="X36" t="e">
        <f>VLOOKUP(Table_EH_Pre_Survey_May_20__2023_08_229[[#This Row],[LocationLatitude - Location Latitude]], 'Post-Survey Full Set'!Q:AU, 2, 0)</f>
        <v>#N/A</v>
      </c>
      <c r="Y36" t="s">
        <v>791</v>
      </c>
      <c r="Z36" t="e">
        <f>VLOOKUP(Table_EH_Pre_Survey_May_20__2023_08_229[[#This Row],[ResponseId - Response ID]], 'Post-Survey Full Set'!L:AU, 1, 0)</f>
        <v>#N/A</v>
      </c>
      <c r="AA36" t="s">
        <v>487</v>
      </c>
      <c r="AB36" t="s">
        <v>117</v>
      </c>
      <c r="AC36" s="35" t="s">
        <v>792</v>
      </c>
      <c r="AD36" t="e">
        <v>#N/A</v>
      </c>
      <c r="AE36" t="str">
        <f>IF(ISTEXT(Table_EH_Pre_Survey_May_20__2023_08_229[[#This Row],[Post-Survey NetID''s]]) = TRUE, "Match", "")</f>
        <v/>
      </c>
      <c r="AF36" t="str">
        <f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f>
        <v/>
      </c>
      <c r="AG36" t="str">
        <f>IF(Table_EH_Pre_Survey_May_20__2023_08_229[[#This Row],[NetID Match]] = "Match",  "Match", IF(ISTEXT(Table_EH_Pre_Survey_May_20__2023_08_229[[#This Row],[IP Address Match]]) = TRUE, "Match", ""))</f>
        <v/>
      </c>
      <c r="AH36" s="8">
        <v>4</v>
      </c>
      <c r="AI36" s="8">
        <f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f>
        <v>3</v>
      </c>
      <c r="AJ36" s="4">
        <v>4</v>
      </c>
      <c r="AK36" s="4">
        <f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f>
        <v>4</v>
      </c>
      <c r="AL36" s="4">
        <v>4</v>
      </c>
      <c r="AM36" s="4">
        <f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f>
        <v>4</v>
      </c>
      <c r="AN36" s="4">
        <v>4</v>
      </c>
      <c r="AO36" s="4">
        <f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f>
        <v>4</v>
      </c>
      <c r="AP36" s="4">
        <v>2</v>
      </c>
      <c r="AQ36" s="4">
        <f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f>
        <v>4</v>
      </c>
      <c r="AR36" s="4">
        <v>3</v>
      </c>
      <c r="AS36" s="4">
        <f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f>
        <v>5</v>
      </c>
      <c r="AT36" s="4">
        <v>5</v>
      </c>
      <c r="AU36" s="4">
        <f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f>
        <v>4</v>
      </c>
      <c r="AV36" s="4">
        <v>2</v>
      </c>
      <c r="AW36" s="4">
        <f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f>
        <v>4</v>
      </c>
      <c r="AX36" s="2">
        <v>2</v>
      </c>
      <c r="AY36" s="2">
        <f>IF(Table_EH_Pre_Survey_May_20__2023_08_229[[#This Row],[Q4]] = 3, 1, IF(Table_EH_Pre_Survey_May_20__2023_08_229[[#This Row],[Q4]] = 2.5, 0.5, IF(Table_EH_Pre_Survey_May_20__2023_08_229[[#This Row],[Q4]] = 3.5, 0.5, 0)))</f>
        <v>0</v>
      </c>
      <c r="AZ36" s="2">
        <f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f>
        <v>4</v>
      </c>
      <c r="BA36" s="2">
        <f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f>
        <v>0</v>
      </c>
      <c r="BB36" t="s">
        <v>140</v>
      </c>
      <c r="BC36">
        <f>IF(Table_EH_Pre_Survey_May_20__2023_08_229[[#This Row],[Q5 ]]="PM &lt; 2.5 μm", 1, 0)</f>
        <v>1</v>
      </c>
      <c r="BD36" t="str">
        <f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f>
        <v>PM &lt; 0.25 μm</v>
      </c>
      <c r="BE36">
        <f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f>
        <v>0</v>
      </c>
      <c r="BF36" t="s">
        <v>155</v>
      </c>
      <c r="BG36">
        <f>IF(Table_EH_Pre_Survey_May_20__2023_08_229[[#This Row],[Q6]]="Particles of this size are generally absorbed in the respiratory tract and safely excreted in mucus.", 1, 0)</f>
        <v>0</v>
      </c>
      <c r="BH36" t="str">
        <f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f>
        <v>Particles of this size reach the bronchial tree where they corrode the alveolar parenchyma.</v>
      </c>
      <c r="BI36">
        <f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f>
        <v>0</v>
      </c>
      <c r="BJ36" t="s">
        <v>327</v>
      </c>
      <c r="BK36">
        <f>IF(ISNUMBER(SEARCH("Trucks", Table_EH_Pre_Survey_May_20__2023_08_229[[#This Row],[Q7]])) = TRUE, 1, 0) + IF(ISNUMBER(SEARCH("Cars", Table_EH_Pre_Survey_May_20__2023_08_229[[#This Row],[Q7]])) = TRUE, 1, 0) + IF(ISNUMBER(SEARCH("Fireplaces", Table_EH_Pre_Survey_May_20__2023_08_229[[#This Row],[Q7]])) = TRUE, 1, 0) + IF(ISNUMBER(SEARCH("Dirt Roads", Table_EH_Pre_Survey_May_20__2023_08_229[[#This Row],[Q7]])) = TRUE, 1, 0) - IF(ISNUMBER(SEARCH("Electric Vehicles", Table_EH_Pre_Survey_May_20__2023_08_229[[#This Row],[Q7]])) = TRUE, 1, 0) - IF(ISNUMBER(SEARCH("Pollen", Table_EH_Pre_Survey_May_20__2023_08_229[[#This Row],[Q7]])) = TRUE, 1, 0)</f>
        <v>1</v>
      </c>
      <c r="BL36" t="str">
        <f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f>
        <v>Cars,Dirt Roads,Electric Vehicles,Fireplaces,Trucks</v>
      </c>
      <c r="BM36">
        <f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f>
        <v>3</v>
      </c>
      <c r="BN36">
        <v>1</v>
      </c>
      <c r="BO36">
        <f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f>
        <v>5</v>
      </c>
      <c r="BP36">
        <v>1</v>
      </c>
      <c r="BQ36">
        <f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f>
        <v>5</v>
      </c>
      <c r="BR36">
        <v>3</v>
      </c>
      <c r="BS36">
        <f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f>
        <v>5</v>
      </c>
      <c r="BT36">
        <v>1</v>
      </c>
      <c r="BU36">
        <f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f>
        <v>5</v>
      </c>
      <c r="BV36">
        <v>3</v>
      </c>
      <c r="BW36">
        <f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f>
        <v>5</v>
      </c>
      <c r="BX36">
        <v>4</v>
      </c>
      <c r="BY36">
        <f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f>
        <v>5</v>
      </c>
      <c r="BZ36">
        <v>6</v>
      </c>
      <c r="CA36">
        <f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f>
        <v>10</v>
      </c>
      <c r="CB36" t="s">
        <v>793</v>
      </c>
      <c r="CC36" t="str">
        <f>IF(ISTEXT(VLOOKUP(Table_EH_Pre_Survey_May_20__2023_08_229[[#This Row],[Unique Identifier]], 'Post-Survey Full Set'!$D$1:$AU$72, 1, 0)), VLOOKUP(Table_EH_Pre_Survey_May_20__2023_08_229[[#This Row],[Unique Identifier]], 'Post-Survey Full Set'!$D$1:$AU$72, 43, 0), VLOOKUP(Table_EH_Pre_Survey_May_20__2023_08_229[[#This Row],[Unique Identifier]], 'Post-Survey Full Set'!$V$1:$AU$72, 25, 0))</f>
        <v/>
      </c>
    </row>
    <row r="37" spans="1:81" x14ac:dyDescent="0.25">
      <c r="A37" t="s">
        <v>315</v>
      </c>
      <c r="B37" t="s">
        <v>316</v>
      </c>
      <c r="C37" t="s">
        <v>42</v>
      </c>
      <c r="D37" t="s">
        <v>317</v>
      </c>
      <c r="E37" t="str">
        <f>IF(COUNTIF($D$2:$D$103, Table_EH_Pre_Survey_May_20__2023_08_229[[#This Row],[IPAddress - IP Address]])=1, "Unique", "")</f>
        <v>Unique</v>
      </c>
      <c r="F37" t="e">
        <f>VLOOKUP(Table_EH_Pre_Survey_May_20__2023_08_229[[#This Row],[IPAddress - IP Address]], 'Post-Survey Full Set'!D:AU, 2, 0)</f>
        <v>#N/A</v>
      </c>
      <c r="G37" t="e">
        <f>VLOOKUP(Table_EH_Pre_Survey_May_20__2023_08_229[[#This Row],[IPAddress - IP Address]], 'Post-Survey Full Set'!$D$1:$AU$72, 1, 0)</f>
        <v>#N/A</v>
      </c>
      <c r="H37" s="35" t="e">
        <v>#N/A</v>
      </c>
      <c r="I37">
        <v>1</v>
      </c>
      <c r="J37" t="s">
        <v>112</v>
      </c>
      <c r="K37">
        <f>_xlfn.NUMBERVALUE(Table_EH_Pre_Survey_May_20__2023_08_229[[#This Row],[Duration (in seconds) - Duration (in seconds)2]])</f>
        <v>117</v>
      </c>
      <c r="L37" t="s">
        <v>301</v>
      </c>
      <c r="M37" t="s">
        <v>114</v>
      </c>
      <c r="N37" t="s">
        <v>316</v>
      </c>
      <c r="O37" t="str">
        <f>VLOOKUP(Table_EH_Pre_Survey_May_20__2023_08_229[[#This Row],[LocationLatitude - Location Latitude]], 'Post-Survey Full Set'!Q:AU, 1, 0)</f>
        <v>40.5175</v>
      </c>
      <c r="P37" t="str">
        <f>VLOOKUP(Table_EH_Pre_Survey_May_20__2023_08_229[[#This Row],[LocationLongitude - Location Longitude]], 'Post-Survey Full Set'!S:AV, 1, 0)</f>
        <v>-74.3991</v>
      </c>
      <c r="Q37" t="s">
        <v>318</v>
      </c>
      <c r="R37" t="s">
        <v>111</v>
      </c>
      <c r="S37" t="s">
        <v>111</v>
      </c>
      <c r="T37" t="s">
        <v>111</v>
      </c>
      <c r="U37" t="s">
        <v>111</v>
      </c>
      <c r="V37" t="s">
        <v>229</v>
      </c>
      <c r="W37" t="str">
        <f>IF(COUNTIF($V$2:$V$103, Table_EH_Pre_Survey_May_20__2023_08_229[[#This Row],[LocationLatitude - Location Latitude]])=1, "Unique", "")</f>
        <v/>
      </c>
      <c r="X37" t="str">
        <f>VLOOKUP(Table_EH_Pre_Survey_May_20__2023_08_229[[#This Row],[LocationLatitude - Location Latitude]], 'Post-Survey Full Set'!Q:AU, 2, 0)</f>
        <v>Unique</v>
      </c>
      <c r="Y37" t="s">
        <v>230</v>
      </c>
      <c r="Z37" t="e">
        <f>VLOOKUP(Table_EH_Pre_Survey_May_20__2023_08_229[[#This Row],[ResponseId - Response ID]], 'Post-Survey Full Set'!L:AU, 1, 0)</f>
        <v>#N/A</v>
      </c>
      <c r="AA37" t="s">
        <v>127</v>
      </c>
      <c r="AB37" t="s">
        <v>117</v>
      </c>
      <c r="AC37" s="35" t="s">
        <v>319</v>
      </c>
      <c r="AD37" t="s">
        <v>319</v>
      </c>
      <c r="AE37" t="str">
        <f>IF(ISTEXT(Table_EH_Pre_Survey_May_20__2023_08_229[[#This Row],[Post-Survey NetID''s]]) = TRUE, "Match", "")</f>
        <v>Match</v>
      </c>
      <c r="AF37" t="str">
        <f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f>
        <v>ks1403</v>
      </c>
      <c r="AG37" t="str">
        <f>IF(Table_EH_Pre_Survey_May_20__2023_08_229[[#This Row],[NetID Match]] = "Match",  "Match", IF(ISTEXT(Table_EH_Pre_Survey_May_20__2023_08_229[[#This Row],[IP Address Match]]) = TRUE, "Match", ""))</f>
        <v>Match</v>
      </c>
      <c r="AH37" s="8">
        <v>4</v>
      </c>
      <c r="AI37" s="8">
        <f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f>
        <v>5</v>
      </c>
      <c r="AJ37" s="4">
        <v>5</v>
      </c>
      <c r="AK37" s="4">
        <f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f>
        <v>5</v>
      </c>
      <c r="AL37" s="4">
        <v>3</v>
      </c>
      <c r="AM37" s="4">
        <f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f>
        <v>4</v>
      </c>
      <c r="AN37" s="4">
        <v>4</v>
      </c>
      <c r="AO37" s="4">
        <f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f>
        <v>4</v>
      </c>
      <c r="AP37" s="4">
        <v>5</v>
      </c>
      <c r="AQ37" s="4">
        <f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f>
        <v>5</v>
      </c>
      <c r="AR37" s="4">
        <v>4</v>
      </c>
      <c r="AS37" s="4">
        <f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f>
        <v>5</v>
      </c>
      <c r="AT37" s="4">
        <v>5</v>
      </c>
      <c r="AU37" s="4">
        <f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f>
        <v>5</v>
      </c>
      <c r="AV37" s="4">
        <v>3</v>
      </c>
      <c r="AW37" s="4">
        <f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f>
        <v>4</v>
      </c>
      <c r="AX37" s="2">
        <v>3</v>
      </c>
      <c r="AY37" s="2">
        <f>IF(Table_EH_Pre_Survey_May_20__2023_08_229[[#This Row],[Q4]] = 3, 1, IF(Table_EH_Pre_Survey_May_20__2023_08_229[[#This Row],[Q4]] = 2.5, 0.5, IF(Table_EH_Pre_Survey_May_20__2023_08_229[[#This Row],[Q4]] = 3.5, 0.5, 0)))</f>
        <v>1</v>
      </c>
      <c r="AZ37" s="2">
        <f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f>
        <v>3</v>
      </c>
      <c r="BA37" s="2">
        <f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f>
        <v>1</v>
      </c>
      <c r="BB37" t="s">
        <v>130</v>
      </c>
      <c r="BC37">
        <f>IF(Table_EH_Pre_Survey_May_20__2023_08_229[[#This Row],[Q5 ]]="PM &lt; 2.5 μm", 1, 0)</f>
        <v>0</v>
      </c>
      <c r="BD37" t="str">
        <f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f>
        <v>PM &lt; 2.5 μm</v>
      </c>
      <c r="BE37">
        <f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f>
        <v>1</v>
      </c>
      <c r="BF37" t="s">
        <v>175</v>
      </c>
      <c r="BG37">
        <f>IF(Table_EH_Pre_Survey_May_20__2023_08_229[[#This Row],[Q6]]="Particles of this size are generally absorbed in the respiratory tract and safely excreted in mucus.", 1, 0)</f>
        <v>1</v>
      </c>
      <c r="BH37" t="str">
        <f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f>
        <v>Particles of this size are generally absorbed in the respiratory tract and safely excreted in mucus.</v>
      </c>
      <c r="BI37">
        <f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f>
        <v>1</v>
      </c>
      <c r="BJ37" t="s">
        <v>167</v>
      </c>
      <c r="BK37">
        <f>IF(ISNUMBER(SEARCH("Trucks", Table_EH_Pre_Survey_May_20__2023_08_229[[#This Row],[Q7]])) = TRUE, 1, 0) + IF(ISNUMBER(SEARCH("Cars", Table_EH_Pre_Survey_May_20__2023_08_229[[#This Row],[Q7]])) = TRUE, 1, 0) + IF(ISNUMBER(SEARCH("Fireplaces", Table_EH_Pre_Survey_May_20__2023_08_229[[#This Row],[Q7]])) = TRUE, 1, 0) + IF(ISNUMBER(SEARCH("Dirt Roads", Table_EH_Pre_Survey_May_20__2023_08_229[[#This Row],[Q7]])) = TRUE, 1, 0) - IF(ISNUMBER(SEARCH("Electric Vehicles", Table_EH_Pre_Survey_May_20__2023_08_229[[#This Row],[Q7]])) = TRUE, 1, 0) - IF(ISNUMBER(SEARCH("Pollen", Table_EH_Pre_Survey_May_20__2023_08_229[[#This Row],[Q7]])) = TRUE, 1, 0)</f>
        <v>3</v>
      </c>
      <c r="BL37" t="str">
        <f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f>
        <v>Cars,Dirt Roads,Electric Vehicles,Fireplaces,Pollen,Trucks</v>
      </c>
      <c r="BM37">
        <f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f>
        <v>2</v>
      </c>
      <c r="BN37">
        <v>1</v>
      </c>
      <c r="BO37">
        <f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f>
        <v>2</v>
      </c>
      <c r="BP37">
        <v>2</v>
      </c>
      <c r="BQ37">
        <f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f>
        <v>3</v>
      </c>
      <c r="BR37">
        <v>1</v>
      </c>
      <c r="BS37">
        <f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f>
        <v>2</v>
      </c>
      <c r="BT37">
        <v>1</v>
      </c>
      <c r="BU37">
        <f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f>
        <v>1</v>
      </c>
      <c r="BV37">
        <v>2</v>
      </c>
      <c r="BW37">
        <f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f>
        <v>2</v>
      </c>
      <c r="BX37">
        <v>3</v>
      </c>
      <c r="BY37">
        <f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f>
        <v>3</v>
      </c>
      <c r="BZ37">
        <v>7</v>
      </c>
      <c r="CA37">
        <f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f>
        <v>8</v>
      </c>
      <c r="CB37" t="s">
        <v>320</v>
      </c>
      <c r="CC37" t="str">
        <f>IF(ISTEXT(VLOOKUP(Table_EH_Pre_Survey_May_20__2023_08_229[[#This Row],[Unique Identifier]], 'Post-Survey Full Set'!$D$1:$AU$72, 1, 0)), VLOOKUP(Table_EH_Pre_Survey_May_20__2023_08_229[[#This Row],[Unique Identifier]], 'Post-Survey Full Set'!$D$1:$AU$72, 43, 0), VLOOKUP(Table_EH_Pre_Survey_May_20__2023_08_229[[#This Row],[Unique Identifier]], 'Post-Survey Full Set'!$V$1:$AU$72, 25, 0))</f>
        <v>How to integrate these into our histories</v>
      </c>
    </row>
    <row r="38" spans="1:81" x14ac:dyDescent="0.25">
      <c r="A38" t="s">
        <v>599</v>
      </c>
      <c r="B38" t="s">
        <v>600</v>
      </c>
      <c r="C38" t="s">
        <v>42</v>
      </c>
      <c r="D38" t="s">
        <v>601</v>
      </c>
      <c r="E38" t="str">
        <f>IF(COUNTIF($D$2:$D$103, Table_EH_Pre_Survey_May_20__2023_08_229[[#This Row],[IPAddress - IP Address]])=1, "Unique", "")</f>
        <v>Unique</v>
      </c>
      <c r="F38" t="str">
        <f>VLOOKUP(Table_EH_Pre_Survey_May_20__2023_08_229[[#This Row],[IPAddress - IP Address]], 'Post-Survey Full Set'!D:AU, 2, 0)</f>
        <v>Unique</v>
      </c>
      <c r="G38" t="str">
        <f>VLOOKUP(Table_EH_Pre_Survey_May_20__2023_08_229[[#This Row],[IPAddress - IP Address]], 'Post-Survey Full Set'!$D$1:$AU$72, 1, 0)</f>
        <v>128.6.36.76</v>
      </c>
      <c r="H38" s="35" t="s">
        <v>601</v>
      </c>
      <c r="I38">
        <v>1</v>
      </c>
      <c r="J38" t="s">
        <v>112</v>
      </c>
      <c r="K38">
        <f>_xlfn.NUMBERVALUE(Table_EH_Pre_Survey_May_20__2023_08_229[[#This Row],[Duration (in seconds) - Duration (in seconds)2]])</f>
        <v>176</v>
      </c>
      <c r="L38" t="s">
        <v>602</v>
      </c>
      <c r="M38" t="s">
        <v>114</v>
      </c>
      <c r="N38" t="s">
        <v>600</v>
      </c>
      <c r="O38" t="str">
        <f>VLOOKUP(Table_EH_Pre_Survey_May_20__2023_08_229[[#This Row],[LocationLatitude - Location Latitude]], 'Post-Survey Full Set'!Q:AU, 1, 0)</f>
        <v>40.488</v>
      </c>
      <c r="P38" t="str">
        <f>VLOOKUP(Table_EH_Pre_Survey_May_20__2023_08_229[[#This Row],[LocationLongitude - Location Longitude]], 'Post-Survey Full Set'!S:AV, 1, 0)</f>
        <v>-74.4544</v>
      </c>
      <c r="Q38" t="s">
        <v>603</v>
      </c>
      <c r="R38" t="s">
        <v>111</v>
      </c>
      <c r="S38" t="s">
        <v>111</v>
      </c>
      <c r="T38" t="s">
        <v>111</v>
      </c>
      <c r="U38" t="s">
        <v>111</v>
      </c>
      <c r="V38" t="s">
        <v>351</v>
      </c>
      <c r="W38" t="str">
        <f>IF(COUNTIF($V$2:$V$103, Table_EH_Pre_Survey_May_20__2023_08_229[[#This Row],[LocationLatitude - Location Latitude]])=1, "Unique", "")</f>
        <v/>
      </c>
      <c r="X38" t="str">
        <f>VLOOKUP(Table_EH_Pre_Survey_May_20__2023_08_229[[#This Row],[LocationLatitude - Location Latitude]], 'Post-Survey Full Set'!Q:AU, 2, 0)</f>
        <v/>
      </c>
      <c r="Y38" t="s">
        <v>352</v>
      </c>
      <c r="Z38" t="e">
        <f>VLOOKUP(Table_EH_Pre_Survey_May_20__2023_08_229[[#This Row],[ResponseId - Response ID]], 'Post-Survey Full Set'!L:AU, 1, 0)</f>
        <v>#N/A</v>
      </c>
      <c r="AA38" t="s">
        <v>487</v>
      </c>
      <c r="AB38" t="s">
        <v>117</v>
      </c>
      <c r="AC38" s="35" t="s">
        <v>604</v>
      </c>
      <c r="AD38" t="s">
        <v>604</v>
      </c>
      <c r="AE38" t="str">
        <f>IF(ISTEXT(Table_EH_Pre_Survey_May_20__2023_08_229[[#This Row],[Post-Survey NetID''s]]) = TRUE, "Match", "")</f>
        <v>Match</v>
      </c>
      <c r="AF38" t="str">
        <f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f>
        <v>Krb195</v>
      </c>
      <c r="AG38" t="str">
        <f>IF(Table_EH_Pre_Survey_May_20__2023_08_229[[#This Row],[NetID Match]] = "Match",  "Match", IF(ISTEXT(Table_EH_Pre_Survey_May_20__2023_08_229[[#This Row],[IP Address Match]]) = TRUE, "Match", ""))</f>
        <v>Match</v>
      </c>
      <c r="AH38" s="8">
        <v>5</v>
      </c>
      <c r="AI38" s="8">
        <f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f>
        <v>5</v>
      </c>
      <c r="AJ38" s="4">
        <v>4</v>
      </c>
      <c r="AK38" s="4">
        <f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f>
        <v>5</v>
      </c>
      <c r="AL38" s="4">
        <v>5</v>
      </c>
      <c r="AM38" s="4">
        <f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f>
        <v>5</v>
      </c>
      <c r="AN38" s="4">
        <v>4</v>
      </c>
      <c r="AO38" s="4">
        <f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f>
        <v>5</v>
      </c>
      <c r="AP38" s="4">
        <v>1</v>
      </c>
      <c r="AQ38" s="4">
        <f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f>
        <v>5</v>
      </c>
      <c r="AR38" s="4">
        <v>2</v>
      </c>
      <c r="AS38" s="4">
        <f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f>
        <v>5</v>
      </c>
      <c r="AT38" s="4">
        <v>5</v>
      </c>
      <c r="AU38" s="4">
        <f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f>
        <v>5</v>
      </c>
      <c r="AV38" s="4">
        <v>1</v>
      </c>
      <c r="AW38" s="4">
        <f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f>
        <v>2</v>
      </c>
      <c r="AX38" s="2">
        <v>5</v>
      </c>
      <c r="AY38" s="2">
        <f>IF(Table_EH_Pre_Survey_May_20__2023_08_229[[#This Row],[Q4]] = 3, 1, IF(Table_EH_Pre_Survey_May_20__2023_08_229[[#This Row],[Q4]] = 2.5, 0.5, IF(Table_EH_Pre_Survey_May_20__2023_08_229[[#This Row],[Q4]] = 3.5, 0.5, 0)))</f>
        <v>0</v>
      </c>
      <c r="AZ38" s="2">
        <f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f>
        <v>5</v>
      </c>
      <c r="BA38" s="2">
        <f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f>
        <v>0</v>
      </c>
      <c r="BB38" t="s">
        <v>130</v>
      </c>
      <c r="BC38">
        <f>IF(Table_EH_Pre_Survey_May_20__2023_08_229[[#This Row],[Q5 ]]="PM &lt; 2.5 μm", 1, 0)</f>
        <v>0</v>
      </c>
      <c r="BD38" t="str">
        <f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f>
        <v>PM &lt; 2.5 μm</v>
      </c>
      <c r="BE38">
        <f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f>
        <v>1</v>
      </c>
      <c r="BF38" t="s">
        <v>131</v>
      </c>
      <c r="BG38">
        <f>IF(Table_EH_Pre_Survey_May_20__2023_08_229[[#This Row],[Q6]]="Particles of this size are generally absorbed in the respiratory tract and safely excreted in mucus.", 1, 0)</f>
        <v>0</v>
      </c>
      <c r="BH38" t="str">
        <f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f>
        <v>Particles of this diameter are unable to be suspended in air.</v>
      </c>
      <c r="BI38">
        <f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f>
        <v>0</v>
      </c>
      <c r="BJ38" t="s">
        <v>167</v>
      </c>
      <c r="BK38">
        <f>IF(ISNUMBER(SEARCH("Trucks", Table_EH_Pre_Survey_May_20__2023_08_229[[#This Row],[Q7]])) = TRUE, 1, 0) + IF(ISNUMBER(SEARCH("Cars", Table_EH_Pre_Survey_May_20__2023_08_229[[#This Row],[Q7]])) = TRUE, 1, 0) + IF(ISNUMBER(SEARCH("Fireplaces", Table_EH_Pre_Survey_May_20__2023_08_229[[#This Row],[Q7]])) = TRUE, 1, 0) + IF(ISNUMBER(SEARCH("Dirt Roads", Table_EH_Pre_Survey_May_20__2023_08_229[[#This Row],[Q7]])) = TRUE, 1, 0) - IF(ISNUMBER(SEARCH("Electric Vehicles", Table_EH_Pre_Survey_May_20__2023_08_229[[#This Row],[Q7]])) = TRUE, 1, 0) - IF(ISNUMBER(SEARCH("Pollen", Table_EH_Pre_Survey_May_20__2023_08_229[[#This Row],[Q7]])) = TRUE, 1, 0)</f>
        <v>3</v>
      </c>
      <c r="BL38" t="str">
        <f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f>
        <v>Cars,Dirt Roads,Fireplaces,Pollen,Trucks</v>
      </c>
      <c r="BM38">
        <f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f>
        <v>3</v>
      </c>
      <c r="BN38">
        <v>4</v>
      </c>
      <c r="BO38">
        <f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f>
        <v>5</v>
      </c>
      <c r="BP38">
        <v>5</v>
      </c>
      <c r="BQ38">
        <f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f>
        <v>5</v>
      </c>
      <c r="BR38">
        <v>2</v>
      </c>
      <c r="BS38">
        <f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f>
        <v>5</v>
      </c>
      <c r="BT38">
        <v>2</v>
      </c>
      <c r="BU38">
        <f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f>
        <v>5</v>
      </c>
      <c r="BV38">
        <v>3</v>
      </c>
      <c r="BW38">
        <f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f>
        <v>5</v>
      </c>
      <c r="BX38">
        <v>5</v>
      </c>
      <c r="BY38">
        <f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f>
        <v>5</v>
      </c>
      <c r="BZ38">
        <v>8</v>
      </c>
      <c r="CA38">
        <f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f>
        <v>10</v>
      </c>
      <c r="CB38" t="s">
        <v>111</v>
      </c>
      <c r="CC38" t="str">
        <f>IF(ISTEXT(VLOOKUP(Table_EH_Pre_Survey_May_20__2023_08_229[[#This Row],[Unique Identifier]], 'Post-Survey Full Set'!$D$1:$AU$72, 1, 0)), VLOOKUP(Table_EH_Pre_Survey_May_20__2023_08_229[[#This Row],[Unique Identifier]], 'Post-Survey Full Set'!$D$1:$AU$72, 43, 0), VLOOKUP(Table_EH_Pre_Survey_May_20__2023_08_229[[#This Row],[Unique Identifier]], 'Post-Survey Full Set'!$V$1:$AU$72, 25, 0))</f>
        <v xml:space="preserve">City vs suburb living </v>
      </c>
    </row>
    <row r="39" spans="1:81" x14ac:dyDescent="0.25">
      <c r="A39" t="s">
        <v>605</v>
      </c>
      <c r="B39" t="s">
        <v>612</v>
      </c>
      <c r="C39" t="s">
        <v>42</v>
      </c>
      <c r="D39" t="s">
        <v>389</v>
      </c>
      <c r="E39" t="str">
        <f>IF(COUNTIF($D$2:$D$103, Table_EH_Pre_Survey_May_20__2023_08_229[[#This Row],[IPAddress - IP Address]])=1, "Unique", "")</f>
        <v/>
      </c>
      <c r="F39" t="str">
        <f>VLOOKUP(Table_EH_Pre_Survey_May_20__2023_08_229[[#This Row],[IPAddress - IP Address]], 'Post-Survey Full Set'!D:AU, 2, 0)</f>
        <v/>
      </c>
      <c r="G39" t="str">
        <f>VLOOKUP(Table_EH_Pre_Survey_May_20__2023_08_229[[#This Row],[IPAddress - IP Address]], 'Post-Survey Full Set'!$D$1:$AU$72, 1, 0)</f>
        <v>130.219.10.90</v>
      </c>
      <c r="I39">
        <v>1</v>
      </c>
      <c r="J39" t="s">
        <v>112</v>
      </c>
      <c r="K39">
        <f>_xlfn.NUMBERVALUE(Table_EH_Pre_Survey_May_20__2023_08_229[[#This Row],[Duration (in seconds) - Duration (in seconds)2]])</f>
        <v>220</v>
      </c>
      <c r="L39" t="s">
        <v>613</v>
      </c>
      <c r="M39" t="s">
        <v>114</v>
      </c>
      <c r="N39" t="s">
        <v>614</v>
      </c>
      <c r="O39" t="str">
        <f>VLOOKUP(Table_EH_Pre_Survey_May_20__2023_08_229[[#This Row],[LocationLatitude - Location Latitude]], 'Post-Survey Full Set'!Q:AU, 1, 0)</f>
        <v>40.7337</v>
      </c>
      <c r="P39" t="str">
        <f>VLOOKUP(Table_EH_Pre_Survey_May_20__2023_08_229[[#This Row],[LocationLongitude - Location Longitude]], 'Post-Survey Full Set'!S:AV, 1, 0)</f>
        <v>-74.1939</v>
      </c>
      <c r="Q39" t="s">
        <v>615</v>
      </c>
      <c r="R39" t="s">
        <v>111</v>
      </c>
      <c r="S39" t="s">
        <v>111</v>
      </c>
      <c r="T39" t="s">
        <v>111</v>
      </c>
      <c r="U39" t="s">
        <v>111</v>
      </c>
      <c r="V39" t="s">
        <v>392</v>
      </c>
      <c r="W39" t="str">
        <f>IF(COUNTIF($V$2:$V$103, Table_EH_Pre_Survey_May_20__2023_08_229[[#This Row],[LocationLatitude - Location Latitude]])=1, "Unique", "")</f>
        <v/>
      </c>
      <c r="X39" t="str">
        <f>VLOOKUP(Table_EH_Pre_Survey_May_20__2023_08_229[[#This Row],[LocationLatitude - Location Latitude]], 'Post-Survey Full Set'!Q:AU, 2, 0)</f>
        <v/>
      </c>
      <c r="Y39" t="s">
        <v>393</v>
      </c>
      <c r="Z39" t="e">
        <f>VLOOKUP(Table_EH_Pre_Survey_May_20__2023_08_229[[#This Row],[ResponseId - Response ID]], 'Post-Survey Full Set'!L:AU, 1, 0)</f>
        <v>#N/A</v>
      </c>
      <c r="AA39" t="s">
        <v>487</v>
      </c>
      <c r="AB39" t="s">
        <v>117</v>
      </c>
      <c r="AC39" s="35" t="s">
        <v>616</v>
      </c>
      <c r="AD39" t="s">
        <v>616</v>
      </c>
      <c r="AE39" t="str">
        <f>IF(ISTEXT(Table_EH_Pre_Survey_May_20__2023_08_229[[#This Row],[Post-Survey NetID''s]]) = TRUE, "Match", "")</f>
        <v>Match</v>
      </c>
      <c r="AF39" t="str">
        <f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f>
        <v>kf511</v>
      </c>
      <c r="AG39" t="str">
        <f>IF(Table_EH_Pre_Survey_May_20__2023_08_229[[#This Row],[NetID Match]] = "Match",  "Match", IF(ISTEXT(Table_EH_Pre_Survey_May_20__2023_08_229[[#This Row],[IP Address Match]]) = TRUE, "Match", ""))</f>
        <v>Match</v>
      </c>
      <c r="AH39" s="8">
        <v>3</v>
      </c>
      <c r="AI39" s="8">
        <f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f>
        <v>3</v>
      </c>
      <c r="AJ39" s="4">
        <v>2</v>
      </c>
      <c r="AK39" s="4">
        <f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f>
        <v>2</v>
      </c>
      <c r="AL39" s="4">
        <v>4</v>
      </c>
      <c r="AM39" s="4">
        <f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f>
        <v>2</v>
      </c>
      <c r="AN39" s="4">
        <v>4</v>
      </c>
      <c r="AO39" s="4">
        <f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f>
        <v>4</v>
      </c>
      <c r="AP39" s="4">
        <v>2</v>
      </c>
      <c r="AQ39" s="4">
        <f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f>
        <v>1</v>
      </c>
      <c r="AR39" s="4">
        <v>4</v>
      </c>
      <c r="AS39" s="4">
        <f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f>
        <v>4</v>
      </c>
      <c r="AT39" s="4">
        <v>5</v>
      </c>
      <c r="AU39" s="4">
        <f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f>
        <v>5</v>
      </c>
      <c r="AV39" s="4">
        <v>3</v>
      </c>
      <c r="AW39" s="4">
        <f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f>
        <v>1</v>
      </c>
      <c r="AX39" s="2">
        <v>3.5</v>
      </c>
      <c r="AY39" s="2">
        <f>IF(Table_EH_Pre_Survey_May_20__2023_08_229[[#This Row],[Q4]] = 3, 1, IF(Table_EH_Pre_Survey_May_20__2023_08_229[[#This Row],[Q4]] = 2.5, 0.5, IF(Table_EH_Pre_Survey_May_20__2023_08_229[[#This Row],[Q4]] = 3.5, 0.5, 0)))</f>
        <v>0.5</v>
      </c>
      <c r="AZ39" s="2">
        <f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f>
        <v>3</v>
      </c>
      <c r="BA39" s="2">
        <f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f>
        <v>1</v>
      </c>
      <c r="BB39" t="s">
        <v>130</v>
      </c>
      <c r="BC39">
        <f>IF(Table_EH_Pre_Survey_May_20__2023_08_229[[#This Row],[Q5 ]]="PM &lt; 2.5 μm", 1, 0)</f>
        <v>0</v>
      </c>
      <c r="BD39" t="str">
        <f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f>
        <v>PM &lt; 2.5 μm</v>
      </c>
      <c r="BE39">
        <f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f>
        <v>1</v>
      </c>
      <c r="BF39" t="s">
        <v>175</v>
      </c>
      <c r="BG39">
        <f>IF(Table_EH_Pre_Survey_May_20__2023_08_229[[#This Row],[Q6]]="Particles of this size are generally absorbed in the respiratory tract and safely excreted in mucus.", 1, 0)</f>
        <v>1</v>
      </c>
      <c r="BH39" t="str">
        <f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f>
        <v>Particles of this diameter are unable to be suspended in air.</v>
      </c>
      <c r="BI39">
        <f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f>
        <v>0</v>
      </c>
      <c r="BJ39" t="s">
        <v>167</v>
      </c>
      <c r="BK39">
        <f>IF(ISNUMBER(SEARCH("Trucks", Table_EH_Pre_Survey_May_20__2023_08_229[[#This Row],[Q7]])) = TRUE, 1, 0) + IF(ISNUMBER(SEARCH("Cars", Table_EH_Pre_Survey_May_20__2023_08_229[[#This Row],[Q7]])) = TRUE, 1, 0) + IF(ISNUMBER(SEARCH("Fireplaces", Table_EH_Pre_Survey_May_20__2023_08_229[[#This Row],[Q7]])) = TRUE, 1, 0) + IF(ISNUMBER(SEARCH("Dirt Roads", Table_EH_Pre_Survey_May_20__2023_08_229[[#This Row],[Q7]])) = TRUE, 1, 0) - IF(ISNUMBER(SEARCH("Electric Vehicles", Table_EH_Pre_Survey_May_20__2023_08_229[[#This Row],[Q7]])) = TRUE, 1, 0) - IF(ISNUMBER(SEARCH("Pollen", Table_EH_Pre_Survey_May_20__2023_08_229[[#This Row],[Q7]])) = TRUE, 1, 0)</f>
        <v>3</v>
      </c>
      <c r="BL39" t="str">
        <f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f>
        <v>Cars,Dirt Roads,Fireplaces,Pollen,Trucks</v>
      </c>
      <c r="BM39">
        <f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f>
        <v>3</v>
      </c>
      <c r="BN39">
        <v>4</v>
      </c>
      <c r="BO39">
        <f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f>
        <v>4</v>
      </c>
      <c r="BQ39">
        <f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f>
        <v>3</v>
      </c>
      <c r="BR39">
        <v>1</v>
      </c>
      <c r="BS39">
        <f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f>
        <v>4</v>
      </c>
      <c r="BT39">
        <v>1</v>
      </c>
      <c r="BU39">
        <f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f>
        <v>1</v>
      </c>
      <c r="BV39">
        <v>3</v>
      </c>
      <c r="BW39">
        <f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f>
        <v>4</v>
      </c>
      <c r="BX39">
        <v>5</v>
      </c>
      <c r="BY39">
        <f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f>
        <v>5</v>
      </c>
      <c r="BZ39">
        <v>6</v>
      </c>
      <c r="CA39">
        <f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f>
        <v>8</v>
      </c>
      <c r="CB39" t="s">
        <v>617</v>
      </c>
      <c r="CC39" t="str">
        <f>IF(ISTEXT(VLOOKUP(Table_EH_Pre_Survey_May_20__2023_08_229[[#This Row],[Unique Identifier]], 'Post-Survey Full Set'!$D$1:$AU$72, 1, 0)), VLOOKUP(Table_EH_Pre_Survey_May_20__2023_08_229[[#This Row],[Unique Identifier]], 'Post-Survey Full Set'!$D$1:$AU$72, 43, 0), VLOOKUP(Table_EH_Pre_Survey_May_20__2023_08_229[[#This Row],[Unique Identifier]], 'Post-Survey Full Set'!$V$1:$AU$72, 25, 0))</f>
        <v>Impact of different interventions on individual health</v>
      </c>
    </row>
    <row r="40" spans="1:81" hidden="1" x14ac:dyDescent="0.25">
      <c r="A40" t="s">
        <v>372</v>
      </c>
      <c r="B40" t="s">
        <v>373</v>
      </c>
      <c r="C40" t="s">
        <v>42</v>
      </c>
      <c r="D40" t="s">
        <v>374</v>
      </c>
      <c r="E40" t="str">
        <f>IF(COUNTIF($D$2:$D$103, Table_EH_Pre_Survey_May_20__2023_08_229[[#This Row],[IPAddress - IP Address]])=1, "Unique", "")</f>
        <v>Unique</v>
      </c>
      <c r="F40" t="e">
        <f>VLOOKUP(Table_EH_Pre_Survey_May_20__2023_08_229[[#This Row],[IPAddress - IP Address]], 'Post-Survey Full Set'!D:AU, 2, 0)</f>
        <v>#N/A</v>
      </c>
      <c r="G40" t="e">
        <f>VLOOKUP(Table_EH_Pre_Survey_May_20__2023_08_229[[#This Row],[IPAddress - IP Address]], 'Post-Survey Full Set'!$D$1:$AU$72, 1, 0)</f>
        <v>#N/A</v>
      </c>
      <c r="H40" s="35" t="e">
        <v>#N/A</v>
      </c>
      <c r="I40">
        <v>1</v>
      </c>
      <c r="J40" t="s">
        <v>112</v>
      </c>
      <c r="K40">
        <f>_xlfn.NUMBERVALUE(Table_EH_Pre_Survey_May_20__2023_08_229[[#This Row],[Duration (in seconds) - Duration (in seconds)2]])</f>
        <v>2492</v>
      </c>
      <c r="L40" t="s">
        <v>375</v>
      </c>
      <c r="M40" t="s">
        <v>114</v>
      </c>
      <c r="N40" t="s">
        <v>376</v>
      </c>
      <c r="O40" t="str">
        <f>VLOOKUP(Table_EH_Pre_Survey_May_20__2023_08_229[[#This Row],[LocationLatitude - Location Latitude]], 'Post-Survey Full Set'!Q:AU, 1, 0)</f>
        <v>40.5511</v>
      </c>
      <c r="P40" t="str">
        <f>VLOOKUP(Table_EH_Pre_Survey_May_20__2023_08_229[[#This Row],[LocationLongitude - Location Longitude]], 'Post-Survey Full Set'!S:AV, 1, 0)</f>
        <v>-74.4606</v>
      </c>
      <c r="Q40" t="s">
        <v>377</v>
      </c>
      <c r="R40" t="s">
        <v>111</v>
      </c>
      <c r="S40" t="s">
        <v>111</v>
      </c>
      <c r="T40" t="s">
        <v>111</v>
      </c>
      <c r="U40" t="s">
        <v>111</v>
      </c>
      <c r="V40" t="s">
        <v>115</v>
      </c>
      <c r="W40" t="str">
        <f>IF(COUNTIF($V$2:$V$103, Table_EH_Pre_Survey_May_20__2023_08_229[[#This Row],[LocationLatitude - Location Latitude]])=1, "Unique", "")</f>
        <v/>
      </c>
      <c r="X40" t="str">
        <f>VLOOKUP(Table_EH_Pre_Survey_May_20__2023_08_229[[#This Row],[LocationLatitude - Location Latitude]], 'Post-Survey Full Set'!Q:AU, 2, 0)</f>
        <v/>
      </c>
      <c r="Y40" t="s">
        <v>116</v>
      </c>
      <c r="Z40" t="e">
        <f>VLOOKUP(Table_EH_Pre_Survey_May_20__2023_08_229[[#This Row],[ResponseId - Response ID]], 'Post-Survey Full Set'!L:AU, 1, 0)</f>
        <v>#N/A</v>
      </c>
      <c r="AA40" t="s">
        <v>127</v>
      </c>
      <c r="AB40" t="s">
        <v>117</v>
      </c>
      <c r="AC40" s="35" t="s">
        <v>378</v>
      </c>
      <c r="AD40" t="e">
        <v>#N/A</v>
      </c>
      <c r="AE40" t="str">
        <f>IF(ISTEXT(Table_EH_Pre_Survey_May_20__2023_08_229[[#This Row],[Post-Survey NetID''s]]) = TRUE, "Match", "")</f>
        <v/>
      </c>
      <c r="AF40" t="str">
        <f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f>
        <v/>
      </c>
      <c r="AG40" t="str">
        <f>IF(Table_EH_Pre_Survey_May_20__2023_08_229[[#This Row],[NetID Match]] = "Match",  "Match", IF(ISTEXT(Table_EH_Pre_Survey_May_20__2023_08_229[[#This Row],[IP Address Match]]) = TRUE, "Match", ""))</f>
        <v/>
      </c>
      <c r="AH40" s="8">
        <v>3</v>
      </c>
      <c r="AI40" s="8">
        <f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f>
        <v>3</v>
      </c>
      <c r="AJ40" s="4">
        <v>2</v>
      </c>
      <c r="AK40" s="4">
        <f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f>
        <v>4</v>
      </c>
      <c r="AL40" s="4">
        <v>5</v>
      </c>
      <c r="AM40" s="4">
        <f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f>
        <v>4</v>
      </c>
      <c r="AN40" s="4">
        <v>5</v>
      </c>
      <c r="AO40" s="4">
        <f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f>
        <v>4</v>
      </c>
      <c r="AP40" s="4">
        <v>3</v>
      </c>
      <c r="AQ40" s="4">
        <f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f>
        <v>4</v>
      </c>
      <c r="AR40" s="4">
        <v>5</v>
      </c>
      <c r="AS40" s="4">
        <f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f>
        <v>5</v>
      </c>
      <c r="AT40" s="4">
        <v>5</v>
      </c>
      <c r="AU40" s="4">
        <f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f>
        <v>4</v>
      </c>
      <c r="AV40" s="4">
        <v>3</v>
      </c>
      <c r="AW40" s="4">
        <f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f>
        <v>4</v>
      </c>
      <c r="AX40" s="2">
        <v>2.5</v>
      </c>
      <c r="AY40" s="2">
        <f>IF(Table_EH_Pre_Survey_May_20__2023_08_229[[#This Row],[Q4]] = 3, 1, IF(Table_EH_Pre_Survey_May_20__2023_08_229[[#This Row],[Q4]] = 2.5, 0.5, IF(Table_EH_Pre_Survey_May_20__2023_08_229[[#This Row],[Q4]] = 3.5, 0.5, 0)))</f>
        <v>0.5</v>
      </c>
      <c r="AZ40" s="2">
        <f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f>
        <v>4</v>
      </c>
      <c r="BA40" s="2">
        <f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f>
        <v>0</v>
      </c>
      <c r="BB40" t="s">
        <v>140</v>
      </c>
      <c r="BC40">
        <f>IF(Table_EH_Pre_Survey_May_20__2023_08_229[[#This Row],[Q5 ]]="PM &lt; 2.5 μm", 1, 0)</f>
        <v>1</v>
      </c>
      <c r="BD40" t="str">
        <f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f>
        <v>PM &lt; 0.25 μm</v>
      </c>
      <c r="BE40">
        <f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f>
        <v>0</v>
      </c>
      <c r="BF40" t="s">
        <v>175</v>
      </c>
      <c r="BG40">
        <f>IF(Table_EH_Pre_Survey_May_20__2023_08_229[[#This Row],[Q6]]="Particles of this size are generally absorbed in the respiratory tract and safely excreted in mucus.", 1, 0)</f>
        <v>1</v>
      </c>
      <c r="BH40" t="str">
        <f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f>
        <v>Particles of this size reach the bronchial tree where they corrode the alveolar parenchyma.</v>
      </c>
      <c r="BI40">
        <f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f>
        <v>0</v>
      </c>
      <c r="BJ40" t="s">
        <v>156</v>
      </c>
      <c r="BK40">
        <f>IF(ISNUMBER(SEARCH("Trucks", Table_EH_Pre_Survey_May_20__2023_08_229[[#This Row],[Q7]])) = TRUE, 1, 0) + IF(ISNUMBER(SEARCH("Cars", Table_EH_Pre_Survey_May_20__2023_08_229[[#This Row],[Q7]])) = TRUE, 1, 0) + IF(ISNUMBER(SEARCH("Fireplaces", Table_EH_Pre_Survey_May_20__2023_08_229[[#This Row],[Q7]])) = TRUE, 1, 0) + IF(ISNUMBER(SEARCH("Dirt Roads", Table_EH_Pre_Survey_May_20__2023_08_229[[#This Row],[Q7]])) = TRUE, 1, 0) - IF(ISNUMBER(SEARCH("Electric Vehicles", Table_EH_Pre_Survey_May_20__2023_08_229[[#This Row],[Q7]])) = TRUE, 1, 0) - IF(ISNUMBER(SEARCH("Pollen", Table_EH_Pre_Survey_May_20__2023_08_229[[#This Row],[Q7]])) = TRUE, 1, 0)</f>
        <v>4</v>
      </c>
      <c r="BL40" t="str">
        <f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f>
        <v>Cars,Dirt Roads,Electric Vehicles,Fireplaces,Trucks</v>
      </c>
      <c r="BM40">
        <f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f>
        <v>3</v>
      </c>
      <c r="BN40">
        <v>3</v>
      </c>
      <c r="BO40">
        <f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f>
        <v>5</v>
      </c>
      <c r="BP40">
        <v>2</v>
      </c>
      <c r="BQ40">
        <f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f>
        <v>5</v>
      </c>
      <c r="BR40">
        <v>3</v>
      </c>
      <c r="BS40">
        <f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f>
        <v>5</v>
      </c>
      <c r="BT40">
        <v>2</v>
      </c>
      <c r="BU40">
        <f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f>
        <v>5</v>
      </c>
      <c r="BV40">
        <v>5</v>
      </c>
      <c r="BW40">
        <f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f>
        <v>5</v>
      </c>
      <c r="BX40">
        <v>3</v>
      </c>
      <c r="BY40">
        <f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f>
        <v>5</v>
      </c>
      <c r="BZ40">
        <v>6</v>
      </c>
      <c r="CA40">
        <f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f>
        <v>10</v>
      </c>
      <c r="CB40" t="s">
        <v>379</v>
      </c>
      <c r="CC40" t="str">
        <f>IF(ISTEXT(VLOOKUP(Table_EH_Pre_Survey_May_20__2023_08_229[[#This Row],[Unique Identifier]], 'Post-Survey Full Set'!$D$1:$AU$72, 1, 0)), VLOOKUP(Table_EH_Pre_Survey_May_20__2023_08_229[[#This Row],[Unique Identifier]], 'Post-Survey Full Set'!$D$1:$AU$72, 43, 0), VLOOKUP(Table_EH_Pre_Survey_May_20__2023_08_229[[#This Row],[Unique Identifier]], 'Post-Survey Full Set'!$V$1:$AU$72, 25, 0))</f>
        <v/>
      </c>
    </row>
    <row r="41" spans="1:81" hidden="1" x14ac:dyDescent="0.25">
      <c r="A41" t="s">
        <v>571</v>
      </c>
      <c r="B41" t="s">
        <v>572</v>
      </c>
      <c r="C41" t="s">
        <v>42</v>
      </c>
      <c r="D41" t="s">
        <v>389</v>
      </c>
      <c r="E41" t="str">
        <f>IF(COUNTIF($D$2:$D$103, Table_EH_Pre_Survey_May_20__2023_08_229[[#This Row],[IPAddress - IP Address]])=1, "Unique", "")</f>
        <v/>
      </c>
      <c r="F41" t="str">
        <f>VLOOKUP(Table_EH_Pre_Survey_May_20__2023_08_229[[#This Row],[IPAddress - IP Address]], 'Post-Survey Full Set'!D:AU, 2, 0)</f>
        <v/>
      </c>
      <c r="G41" t="str">
        <f>VLOOKUP(Table_EH_Pre_Survey_May_20__2023_08_229[[#This Row],[IPAddress - IP Address]], 'Post-Survey Full Set'!$D$1:$AU$72, 1, 0)</f>
        <v>130.219.10.90</v>
      </c>
      <c r="I41">
        <v>1</v>
      </c>
      <c r="J41" t="s">
        <v>112</v>
      </c>
      <c r="K41">
        <f>_xlfn.NUMBERVALUE(Table_EH_Pre_Survey_May_20__2023_08_229[[#This Row],[Duration (in seconds) - Duration (in seconds)2]])</f>
        <v>146</v>
      </c>
      <c r="L41" t="s">
        <v>573</v>
      </c>
      <c r="M41" t="s">
        <v>114</v>
      </c>
      <c r="N41" t="s">
        <v>572</v>
      </c>
      <c r="O41" t="str">
        <f>VLOOKUP(Table_EH_Pre_Survey_May_20__2023_08_229[[#This Row],[LocationLatitude - Location Latitude]], 'Post-Survey Full Set'!Q:AU, 1, 0)</f>
        <v>40.7337</v>
      </c>
      <c r="P41" t="str">
        <f>VLOOKUP(Table_EH_Pre_Survey_May_20__2023_08_229[[#This Row],[LocationLongitude - Location Longitude]], 'Post-Survey Full Set'!S:AV, 1, 0)</f>
        <v>-74.1939</v>
      </c>
      <c r="Q41" t="s">
        <v>574</v>
      </c>
      <c r="R41" t="s">
        <v>111</v>
      </c>
      <c r="S41" t="s">
        <v>111</v>
      </c>
      <c r="T41" t="s">
        <v>111</v>
      </c>
      <c r="U41" t="s">
        <v>111</v>
      </c>
      <c r="V41" t="s">
        <v>392</v>
      </c>
      <c r="W41" t="str">
        <f>IF(COUNTIF($V$2:$V$103, Table_EH_Pre_Survey_May_20__2023_08_229[[#This Row],[LocationLatitude - Location Latitude]])=1, "Unique", "")</f>
        <v/>
      </c>
      <c r="X41" t="str">
        <f>VLOOKUP(Table_EH_Pre_Survey_May_20__2023_08_229[[#This Row],[LocationLatitude - Location Latitude]], 'Post-Survey Full Set'!Q:AU, 2, 0)</f>
        <v/>
      </c>
      <c r="Y41" t="s">
        <v>393</v>
      </c>
      <c r="Z41" t="e">
        <f>VLOOKUP(Table_EH_Pre_Survey_May_20__2023_08_229[[#This Row],[ResponseId - Response ID]], 'Post-Survey Full Set'!L:AU, 1, 0)</f>
        <v>#N/A</v>
      </c>
      <c r="AA41" t="s">
        <v>487</v>
      </c>
      <c r="AB41" t="s">
        <v>117</v>
      </c>
      <c r="AC41" s="35" t="s">
        <v>575</v>
      </c>
      <c r="AD41" t="e">
        <v>#N/A</v>
      </c>
      <c r="AE41" t="str">
        <f>IF(ISTEXT(Table_EH_Pre_Survey_May_20__2023_08_229[[#This Row],[Post-Survey NetID''s]]) = TRUE, "Match", "")</f>
        <v/>
      </c>
      <c r="AF41" t="str">
        <f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f>
        <v/>
      </c>
      <c r="AG41" t="str">
        <f>IF(Table_EH_Pre_Survey_May_20__2023_08_229[[#This Row],[NetID Match]] = "Match",  "Match", IF(ISTEXT(Table_EH_Pre_Survey_May_20__2023_08_229[[#This Row],[IP Address Match]]) = TRUE, "Match", ""))</f>
        <v/>
      </c>
      <c r="AH41" s="8">
        <v>5</v>
      </c>
      <c r="AI41" s="8">
        <f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f>
        <v>3</v>
      </c>
      <c r="AJ41" s="4">
        <v>5</v>
      </c>
      <c r="AK41" s="4">
        <f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f>
        <v>4</v>
      </c>
      <c r="AL41" s="4">
        <v>5</v>
      </c>
      <c r="AM41" s="4">
        <f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f>
        <v>4</v>
      </c>
      <c r="AN41" s="4">
        <v>5</v>
      </c>
      <c r="AO41" s="4">
        <f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f>
        <v>4</v>
      </c>
      <c r="AP41" s="4">
        <v>5</v>
      </c>
      <c r="AQ41" s="4">
        <f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f>
        <v>4</v>
      </c>
      <c r="AR41" s="4">
        <v>5</v>
      </c>
      <c r="AS41" s="4">
        <f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f>
        <v>5</v>
      </c>
      <c r="AT41" s="4">
        <v>5</v>
      </c>
      <c r="AU41" s="4">
        <f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f>
        <v>4</v>
      </c>
      <c r="AV41" s="4">
        <v>5</v>
      </c>
      <c r="AW41" s="4">
        <f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f>
        <v>4</v>
      </c>
      <c r="AX41" s="2">
        <v>4.5</v>
      </c>
      <c r="AY41" s="2">
        <f>IF(Table_EH_Pre_Survey_May_20__2023_08_229[[#This Row],[Q4]] = 3, 1, IF(Table_EH_Pre_Survey_May_20__2023_08_229[[#This Row],[Q4]] = 2.5, 0.5, IF(Table_EH_Pre_Survey_May_20__2023_08_229[[#This Row],[Q4]] = 3.5, 0.5, 0)))</f>
        <v>0</v>
      </c>
      <c r="AZ41" s="2">
        <f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f>
        <v>4</v>
      </c>
      <c r="BA41" s="2">
        <f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f>
        <v>0</v>
      </c>
      <c r="BB41" t="s">
        <v>130</v>
      </c>
      <c r="BC41">
        <f>IF(Table_EH_Pre_Survey_May_20__2023_08_229[[#This Row],[Q5 ]]="PM &lt; 2.5 μm", 1, 0)</f>
        <v>0</v>
      </c>
      <c r="BD41" t="str">
        <f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f>
        <v>PM &lt; 0.25 μm</v>
      </c>
      <c r="BE41">
        <f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f>
        <v>0</v>
      </c>
      <c r="BF41" t="s">
        <v>175</v>
      </c>
      <c r="BG41">
        <f>IF(Table_EH_Pre_Survey_May_20__2023_08_229[[#This Row],[Q6]]="Particles of this size are generally absorbed in the respiratory tract and safely excreted in mucus.", 1, 0)</f>
        <v>1</v>
      </c>
      <c r="BH41" t="str">
        <f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f>
        <v>Particles of this size reach the bronchial tree where they corrode the alveolar parenchyma.</v>
      </c>
      <c r="BI41">
        <f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f>
        <v>0</v>
      </c>
      <c r="BJ41" t="s">
        <v>206</v>
      </c>
      <c r="BK41">
        <f>IF(ISNUMBER(SEARCH("Trucks", Table_EH_Pre_Survey_May_20__2023_08_229[[#This Row],[Q7]])) = TRUE, 1, 0) + IF(ISNUMBER(SEARCH("Cars", Table_EH_Pre_Survey_May_20__2023_08_229[[#This Row],[Q7]])) = TRUE, 1, 0) + IF(ISNUMBER(SEARCH("Fireplaces", Table_EH_Pre_Survey_May_20__2023_08_229[[#This Row],[Q7]])) = TRUE, 1, 0) + IF(ISNUMBER(SEARCH("Dirt Roads", Table_EH_Pre_Survey_May_20__2023_08_229[[#This Row],[Q7]])) = TRUE, 1, 0) - IF(ISNUMBER(SEARCH("Electric Vehicles", Table_EH_Pre_Survey_May_20__2023_08_229[[#This Row],[Q7]])) = TRUE, 1, 0) - IF(ISNUMBER(SEARCH("Pollen", Table_EH_Pre_Survey_May_20__2023_08_229[[#This Row],[Q7]])) = TRUE, 1, 0)</f>
        <v>2</v>
      </c>
      <c r="BL41" t="str">
        <f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f>
        <v>Cars,Dirt Roads,Electric Vehicles,Fireplaces,Trucks</v>
      </c>
      <c r="BM41">
        <f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f>
        <v>3</v>
      </c>
      <c r="BN41">
        <v>5</v>
      </c>
      <c r="BO41">
        <f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f>
        <v>5</v>
      </c>
      <c r="BP41">
        <v>5</v>
      </c>
      <c r="BQ41">
        <f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f>
        <v>5</v>
      </c>
      <c r="BR41">
        <v>5</v>
      </c>
      <c r="BS41">
        <f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f>
        <v>5</v>
      </c>
      <c r="BT41">
        <v>5</v>
      </c>
      <c r="BU41">
        <f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f>
        <v>5</v>
      </c>
      <c r="BV41">
        <v>5</v>
      </c>
      <c r="BW41">
        <f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f>
        <v>5</v>
      </c>
      <c r="BX41">
        <v>5</v>
      </c>
      <c r="BY41">
        <f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f>
        <v>5</v>
      </c>
      <c r="BZ41">
        <v>8</v>
      </c>
      <c r="CA41">
        <f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f>
        <v>10</v>
      </c>
      <c r="CB41" t="s">
        <v>576</v>
      </c>
      <c r="CC41" t="str">
        <f>IF(ISTEXT(VLOOKUP(Table_EH_Pre_Survey_May_20__2023_08_229[[#This Row],[Unique Identifier]], 'Post-Survey Full Set'!$D$1:$AU$72, 1, 0)), VLOOKUP(Table_EH_Pre_Survey_May_20__2023_08_229[[#This Row],[Unique Identifier]], 'Post-Survey Full Set'!$D$1:$AU$72, 43, 0), VLOOKUP(Table_EH_Pre_Survey_May_20__2023_08_229[[#This Row],[Unique Identifier]], 'Post-Survey Full Set'!$V$1:$AU$72, 25, 0))</f>
        <v/>
      </c>
    </row>
    <row r="42" spans="1:81" hidden="1" x14ac:dyDescent="0.25">
      <c r="A42" t="s">
        <v>145</v>
      </c>
      <c r="B42" t="s">
        <v>146</v>
      </c>
      <c r="C42" t="s">
        <v>42</v>
      </c>
      <c r="D42" t="s">
        <v>147</v>
      </c>
      <c r="E42" t="str">
        <f>IF(COUNTIF($D$2:$D$103, Table_EH_Pre_Survey_May_20__2023_08_229[[#This Row],[IPAddress - IP Address]])=1, "Unique", "")</f>
        <v>Unique</v>
      </c>
      <c r="F42" t="e">
        <f>VLOOKUP(Table_EH_Pre_Survey_May_20__2023_08_229[[#This Row],[IPAddress - IP Address]], 'Post-Survey Full Set'!D:AU, 2, 0)</f>
        <v>#N/A</v>
      </c>
      <c r="G42" t="e">
        <f>VLOOKUP(Table_EH_Pre_Survey_May_20__2023_08_229[[#This Row],[IPAddress - IP Address]], 'Post-Survey Full Set'!$D$1:$AU$72, 1, 0)</f>
        <v>#N/A</v>
      </c>
      <c r="H42" s="35" t="e">
        <v>#N/A</v>
      </c>
      <c r="I42">
        <v>1</v>
      </c>
      <c r="J42" t="s">
        <v>112</v>
      </c>
      <c r="K42">
        <f>_xlfn.NUMBERVALUE(Table_EH_Pre_Survey_May_20__2023_08_229[[#This Row],[Duration (in seconds) - Duration (in seconds)2]])</f>
        <v>84</v>
      </c>
      <c r="L42" t="s">
        <v>148</v>
      </c>
      <c r="M42" t="s">
        <v>114</v>
      </c>
      <c r="N42" t="s">
        <v>149</v>
      </c>
      <c r="O42" t="e">
        <f>VLOOKUP(Table_EH_Pre_Survey_May_20__2023_08_229[[#This Row],[LocationLatitude - Location Latitude]], 'Post-Survey Full Set'!Q:AU, 1, 0)</f>
        <v>#N/A</v>
      </c>
      <c r="P42" t="e">
        <f>VLOOKUP(Table_EH_Pre_Survey_May_20__2023_08_229[[#This Row],[LocationLongitude - Location Longitude]], 'Post-Survey Full Set'!S:AV, 1, 0)</f>
        <v>#N/A</v>
      </c>
      <c r="Q42" t="s">
        <v>150</v>
      </c>
      <c r="R42" t="s">
        <v>111</v>
      </c>
      <c r="S42" t="s">
        <v>111</v>
      </c>
      <c r="T42" t="s">
        <v>111</v>
      </c>
      <c r="U42" t="s">
        <v>111</v>
      </c>
      <c r="V42" t="s">
        <v>151</v>
      </c>
      <c r="W42" t="str">
        <f>IF(COUNTIF($V$2:$V$103, Table_EH_Pre_Survey_May_20__2023_08_229[[#This Row],[LocationLatitude - Location Latitude]])=1, "Unique", "")</f>
        <v/>
      </c>
      <c r="X42" t="e">
        <f>VLOOKUP(Table_EH_Pre_Survey_May_20__2023_08_229[[#This Row],[LocationLatitude - Location Latitude]], 'Post-Survey Full Set'!Q:AU, 2, 0)</f>
        <v>#N/A</v>
      </c>
      <c r="Y42" t="s">
        <v>152</v>
      </c>
      <c r="Z42" t="e">
        <f>VLOOKUP(Table_EH_Pre_Survey_May_20__2023_08_229[[#This Row],[ResponseId - Response ID]], 'Post-Survey Full Set'!L:AU, 1, 0)</f>
        <v>#N/A</v>
      </c>
      <c r="AA42" t="s">
        <v>127</v>
      </c>
      <c r="AB42" t="s">
        <v>117</v>
      </c>
      <c r="AC42" s="35" t="s">
        <v>153</v>
      </c>
      <c r="AD42" t="e">
        <v>#N/A</v>
      </c>
      <c r="AE42" t="str">
        <f>IF(ISTEXT(Table_EH_Pre_Survey_May_20__2023_08_229[[#This Row],[Post-Survey NetID''s]]) = TRUE, "Match", "")</f>
        <v/>
      </c>
      <c r="AF42" t="str">
        <f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f>
        <v/>
      </c>
      <c r="AG42" t="str">
        <f>IF(Table_EH_Pre_Survey_May_20__2023_08_229[[#This Row],[NetID Match]] = "Match",  "Match", IF(ISTEXT(Table_EH_Pre_Survey_May_20__2023_08_229[[#This Row],[IP Address Match]]) = TRUE, "Match", ""))</f>
        <v/>
      </c>
      <c r="AH42" s="8">
        <v>2</v>
      </c>
      <c r="AI42" s="8">
        <f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f>
        <v>3</v>
      </c>
      <c r="AJ42" s="4">
        <v>2</v>
      </c>
      <c r="AK42" s="4">
        <f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f>
        <v>4</v>
      </c>
      <c r="AL42" s="4">
        <v>4</v>
      </c>
      <c r="AM42" s="4">
        <f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f>
        <v>4</v>
      </c>
      <c r="AN42" s="4">
        <v>2</v>
      </c>
      <c r="AO42" s="4">
        <f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f>
        <v>4</v>
      </c>
      <c r="AP42" s="4">
        <v>2</v>
      </c>
      <c r="AQ42" s="4">
        <f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f>
        <v>4</v>
      </c>
      <c r="AR42" s="4">
        <v>3</v>
      </c>
      <c r="AS42" s="4">
        <f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f>
        <v>5</v>
      </c>
      <c r="AT42" s="4">
        <v>2</v>
      </c>
      <c r="AU42" s="4">
        <f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f>
        <v>4</v>
      </c>
      <c r="AV42" s="4">
        <v>2</v>
      </c>
      <c r="AW42" s="4">
        <f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f>
        <v>4</v>
      </c>
      <c r="AX42" s="2">
        <v>2</v>
      </c>
      <c r="AY42" s="2">
        <f>IF(Table_EH_Pre_Survey_May_20__2023_08_229[[#This Row],[Q4]] = 3, 1, IF(Table_EH_Pre_Survey_May_20__2023_08_229[[#This Row],[Q4]] = 2.5, 0.5, IF(Table_EH_Pre_Survey_May_20__2023_08_229[[#This Row],[Q4]] = 3.5, 0.5, 0)))</f>
        <v>0</v>
      </c>
      <c r="AZ42" s="2">
        <f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f>
        <v>4</v>
      </c>
      <c r="BA42" s="2">
        <f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f>
        <v>0</v>
      </c>
      <c r="BB42" t="s">
        <v>154</v>
      </c>
      <c r="BC42">
        <f>IF(Table_EH_Pre_Survey_May_20__2023_08_229[[#This Row],[Q5 ]]="PM &lt; 2.5 μm", 1, 0)</f>
        <v>0</v>
      </c>
      <c r="BD42" t="str">
        <f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f>
        <v>PM &lt; 0.25 μm</v>
      </c>
      <c r="BE42">
        <f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f>
        <v>0</v>
      </c>
      <c r="BF42" t="s">
        <v>155</v>
      </c>
      <c r="BG42">
        <f>IF(Table_EH_Pre_Survey_May_20__2023_08_229[[#This Row],[Q6]]="Particles of this size are generally absorbed in the respiratory tract and safely excreted in mucus.", 1, 0)</f>
        <v>0</v>
      </c>
      <c r="BH42" t="str">
        <f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f>
        <v>Particles of this size reach the bronchial tree where they corrode the alveolar parenchyma.</v>
      </c>
      <c r="BI42">
        <f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f>
        <v>0</v>
      </c>
      <c r="BJ42" t="s">
        <v>156</v>
      </c>
      <c r="BK42">
        <f>IF(ISNUMBER(SEARCH("Trucks", Table_EH_Pre_Survey_May_20__2023_08_229[[#This Row],[Q7]])) = TRUE, 1, 0) + IF(ISNUMBER(SEARCH("Cars", Table_EH_Pre_Survey_May_20__2023_08_229[[#This Row],[Q7]])) = TRUE, 1, 0) + IF(ISNUMBER(SEARCH("Fireplaces", Table_EH_Pre_Survey_May_20__2023_08_229[[#This Row],[Q7]])) = TRUE, 1, 0) + IF(ISNUMBER(SEARCH("Dirt Roads", Table_EH_Pre_Survey_May_20__2023_08_229[[#This Row],[Q7]])) = TRUE, 1, 0) - IF(ISNUMBER(SEARCH("Electric Vehicles", Table_EH_Pre_Survey_May_20__2023_08_229[[#This Row],[Q7]])) = TRUE, 1, 0) - IF(ISNUMBER(SEARCH("Pollen", Table_EH_Pre_Survey_May_20__2023_08_229[[#This Row],[Q7]])) = TRUE, 1, 0)</f>
        <v>4</v>
      </c>
      <c r="BL42" t="str">
        <f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f>
        <v>Cars,Dirt Roads,Electric Vehicles,Fireplaces,Trucks</v>
      </c>
      <c r="BM42">
        <f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f>
        <v>3</v>
      </c>
      <c r="BN42">
        <v>2</v>
      </c>
      <c r="BO42">
        <f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f>
        <v>5</v>
      </c>
      <c r="BP42">
        <v>3</v>
      </c>
      <c r="BQ42">
        <f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f>
        <v>5</v>
      </c>
      <c r="BR42">
        <v>1</v>
      </c>
      <c r="BS42">
        <f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f>
        <v>5</v>
      </c>
      <c r="BT42">
        <v>2</v>
      </c>
      <c r="BU42">
        <f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f>
        <v>5</v>
      </c>
      <c r="BV42">
        <v>2</v>
      </c>
      <c r="BW42">
        <f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f>
        <v>5</v>
      </c>
      <c r="BX42">
        <v>2</v>
      </c>
      <c r="BY42">
        <f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f>
        <v>5</v>
      </c>
      <c r="BZ42">
        <v>5</v>
      </c>
      <c r="CA42">
        <f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f>
        <v>10</v>
      </c>
      <c r="CB42" t="s">
        <v>157</v>
      </c>
      <c r="CC42" t="str">
        <f>IF(ISTEXT(VLOOKUP(Table_EH_Pre_Survey_May_20__2023_08_229[[#This Row],[Unique Identifier]], 'Post-Survey Full Set'!$D$1:$AU$72, 1, 0)), VLOOKUP(Table_EH_Pre_Survey_May_20__2023_08_229[[#This Row],[Unique Identifier]], 'Post-Survey Full Set'!$D$1:$AU$72, 43, 0), VLOOKUP(Table_EH_Pre_Survey_May_20__2023_08_229[[#This Row],[Unique Identifier]], 'Post-Survey Full Set'!$V$1:$AU$72, 25, 0))</f>
        <v/>
      </c>
    </row>
    <row r="43" spans="1:81" x14ac:dyDescent="0.25">
      <c r="A43" t="s">
        <v>119</v>
      </c>
      <c r="B43" t="s">
        <v>120</v>
      </c>
      <c r="C43" t="s">
        <v>42</v>
      </c>
      <c r="D43" t="s">
        <v>121</v>
      </c>
      <c r="E43" t="str">
        <f>IF(COUNTIF($D$2:$D$103, Table_EH_Pre_Survey_May_20__2023_08_229[[#This Row],[IPAddress - IP Address]])=1, "Unique", "")</f>
        <v>Unique</v>
      </c>
      <c r="F43" t="e">
        <f>VLOOKUP(Table_EH_Pre_Survey_May_20__2023_08_229[[#This Row],[IPAddress - IP Address]], 'Post-Survey Full Set'!D:AU, 2, 0)</f>
        <v>#N/A</v>
      </c>
      <c r="G43" t="e">
        <f>VLOOKUP(Table_EH_Pre_Survey_May_20__2023_08_229[[#This Row],[IPAddress - IP Address]], 'Post-Survey Full Set'!$D$1:$AU$72, 1, 0)</f>
        <v>#N/A</v>
      </c>
      <c r="H43" s="35" t="e">
        <v>#N/A</v>
      </c>
      <c r="I43">
        <v>1</v>
      </c>
      <c r="J43" t="s">
        <v>112</v>
      </c>
      <c r="K43">
        <f>_xlfn.NUMBERVALUE(Table_EH_Pre_Survey_May_20__2023_08_229[[#This Row],[Duration (in seconds) - Duration (in seconds)2]])</f>
        <v>140</v>
      </c>
      <c r="L43" t="s">
        <v>122</v>
      </c>
      <c r="M43" t="s">
        <v>114</v>
      </c>
      <c r="N43" t="s">
        <v>123</v>
      </c>
      <c r="O43" t="e">
        <f>VLOOKUP(Table_EH_Pre_Survey_May_20__2023_08_229[[#This Row],[LocationLatitude - Location Latitude]], 'Post-Survey Full Set'!Q:AU, 1, 0)</f>
        <v>#N/A</v>
      </c>
      <c r="P43" t="e">
        <f>VLOOKUP(Table_EH_Pre_Survey_May_20__2023_08_229[[#This Row],[LocationLongitude - Location Longitude]], 'Post-Survey Full Set'!S:AV, 1, 0)</f>
        <v>#N/A</v>
      </c>
      <c r="Q43" t="s">
        <v>124</v>
      </c>
      <c r="R43" t="s">
        <v>111</v>
      </c>
      <c r="S43" t="s">
        <v>111</v>
      </c>
      <c r="T43" t="s">
        <v>111</v>
      </c>
      <c r="U43" t="s">
        <v>111</v>
      </c>
      <c r="V43" t="s">
        <v>125</v>
      </c>
      <c r="W43" t="str">
        <f>IF(COUNTIF($V$2:$V$103, Table_EH_Pre_Survey_May_20__2023_08_229[[#This Row],[LocationLatitude - Location Latitude]])=1, "Unique", "")</f>
        <v>Unique</v>
      </c>
      <c r="X43" t="e">
        <f>VLOOKUP(Table_EH_Pre_Survey_May_20__2023_08_229[[#This Row],[LocationLatitude - Location Latitude]], 'Post-Survey Full Set'!Q:AU, 2, 0)</f>
        <v>#N/A</v>
      </c>
      <c r="Y43" t="s">
        <v>126</v>
      </c>
      <c r="Z43" t="e">
        <f>VLOOKUP(Table_EH_Pre_Survey_May_20__2023_08_229[[#This Row],[ResponseId - Response ID]], 'Post-Survey Full Set'!L:AU, 1, 0)</f>
        <v>#N/A</v>
      </c>
      <c r="AA43" t="s">
        <v>127</v>
      </c>
      <c r="AB43" t="s">
        <v>117</v>
      </c>
      <c r="AC43" s="35" t="s">
        <v>128</v>
      </c>
      <c r="AD43" t="s">
        <v>128</v>
      </c>
      <c r="AE43" t="str">
        <f>IF(ISTEXT(Table_EH_Pre_Survey_May_20__2023_08_229[[#This Row],[Post-Survey NetID''s]]) = TRUE, "Match", "")</f>
        <v>Match</v>
      </c>
      <c r="AF43" t="str">
        <f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f>
        <v>Jm2722</v>
      </c>
      <c r="AG43" t="str">
        <f>IF(Table_EH_Pre_Survey_May_20__2023_08_229[[#This Row],[NetID Match]] = "Match",  "Match", IF(ISTEXT(Table_EH_Pre_Survey_May_20__2023_08_229[[#This Row],[IP Address Match]]) = TRUE, "Match", ""))</f>
        <v>Match</v>
      </c>
      <c r="AH43" s="8">
        <v>3</v>
      </c>
      <c r="AI43" s="8">
        <f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f>
        <v>4</v>
      </c>
      <c r="AJ43" s="4">
        <v>3</v>
      </c>
      <c r="AK43" s="4">
        <f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f>
        <v>5</v>
      </c>
      <c r="AL43" s="4">
        <v>2</v>
      </c>
      <c r="AM43" s="4">
        <f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f>
        <v>4</v>
      </c>
      <c r="AN43" s="4">
        <v>4</v>
      </c>
      <c r="AO43" s="4">
        <f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f>
        <v>5</v>
      </c>
      <c r="AP43" s="4">
        <v>3</v>
      </c>
      <c r="AQ43" s="4">
        <f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f>
        <v>3</v>
      </c>
      <c r="AR43" s="4">
        <v>3</v>
      </c>
      <c r="AS43" s="4">
        <f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f>
        <v>3</v>
      </c>
      <c r="AT43" s="4">
        <v>5</v>
      </c>
      <c r="AU43" s="4">
        <f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f>
        <v>5</v>
      </c>
      <c r="AV43" s="4">
        <v>1</v>
      </c>
      <c r="AW43" s="4">
        <f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f>
        <v>2</v>
      </c>
      <c r="AX43" s="2">
        <v>4</v>
      </c>
      <c r="AY43" s="2">
        <f>IF(Table_EH_Pre_Survey_May_20__2023_08_229[[#This Row],[Q4]] = 3, 1, IF(Table_EH_Pre_Survey_May_20__2023_08_229[[#This Row],[Q4]] = 2.5, 0.5, IF(Table_EH_Pre_Survey_May_20__2023_08_229[[#This Row],[Q4]] = 3.5, 0.5, 0)))</f>
        <v>0</v>
      </c>
      <c r="AZ43" s="2">
        <f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f>
        <v>3</v>
      </c>
      <c r="BA43" s="2">
        <f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f>
        <v>1</v>
      </c>
      <c r="BB43" t="s">
        <v>130</v>
      </c>
      <c r="BC43">
        <f>IF(Table_EH_Pre_Survey_May_20__2023_08_229[[#This Row],[Q5 ]]="PM &lt; 2.5 μm", 1, 0)</f>
        <v>0</v>
      </c>
      <c r="BD43" t="str">
        <f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f>
        <v>PM &lt; 2.5 μm</v>
      </c>
      <c r="BE43">
        <f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f>
        <v>1</v>
      </c>
      <c r="BF43" t="s">
        <v>131</v>
      </c>
      <c r="BG43">
        <f>IF(Table_EH_Pre_Survey_May_20__2023_08_229[[#This Row],[Q6]]="Particles of this size are generally absorbed in the respiratory tract and safely excreted in mucus.", 1, 0)</f>
        <v>0</v>
      </c>
      <c r="BH43" t="str">
        <f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f>
        <v>Particles of this size are generally absorbed in the respiratory tract and safely excreted in mucus.</v>
      </c>
      <c r="BI43">
        <f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f>
        <v>1</v>
      </c>
      <c r="BJ43" t="s">
        <v>132</v>
      </c>
      <c r="BK43">
        <f>IF(ISNUMBER(SEARCH("Trucks", Table_EH_Pre_Survey_May_20__2023_08_229[[#This Row],[Q7]])) = TRUE, 1, 0) + IF(ISNUMBER(SEARCH("Cars", Table_EH_Pre_Survey_May_20__2023_08_229[[#This Row],[Q7]])) = TRUE, 1, 0) + IF(ISNUMBER(SEARCH("Fireplaces", Table_EH_Pre_Survey_May_20__2023_08_229[[#This Row],[Q7]])) = TRUE, 1, 0) + IF(ISNUMBER(SEARCH("Dirt Roads", Table_EH_Pre_Survey_May_20__2023_08_229[[#This Row],[Q7]])) = TRUE, 1, 0) - IF(ISNUMBER(SEARCH("Electric Vehicles", Table_EH_Pre_Survey_May_20__2023_08_229[[#This Row],[Q7]])) = TRUE, 1, 0) - IF(ISNUMBER(SEARCH("Pollen", Table_EH_Pre_Survey_May_20__2023_08_229[[#This Row],[Q7]])) = TRUE, 1, 0)</f>
        <v>2</v>
      </c>
      <c r="BL43" t="str">
        <f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f>
        <v>Cars,Electric Vehicles,Trucks</v>
      </c>
      <c r="BM43">
        <f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f>
        <v>1</v>
      </c>
      <c r="BN43">
        <v>1</v>
      </c>
      <c r="BO43">
        <f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f>
        <v>3</v>
      </c>
      <c r="BP43">
        <v>1</v>
      </c>
      <c r="BQ43">
        <f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f>
        <v>1</v>
      </c>
      <c r="BR43">
        <v>2</v>
      </c>
      <c r="BS43">
        <f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f>
        <v>3</v>
      </c>
      <c r="BT43">
        <v>2</v>
      </c>
      <c r="BU43">
        <f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f>
        <v>5</v>
      </c>
      <c r="BV43">
        <v>4</v>
      </c>
      <c r="BW43">
        <f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f>
        <v>5</v>
      </c>
      <c r="BX43">
        <v>5</v>
      </c>
      <c r="BY43">
        <f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f>
        <v>5</v>
      </c>
      <c r="BZ43">
        <v>6</v>
      </c>
      <c r="CA43">
        <f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f>
        <v>8</v>
      </c>
      <c r="CB43" t="s">
        <v>111</v>
      </c>
      <c r="CC43" t="str">
        <f>IF(ISTEXT(VLOOKUP(Table_EH_Pre_Survey_May_20__2023_08_229[[#This Row],[Unique Identifier]], 'Post-Survey Full Set'!$D$1:$AU$72, 1, 0)), VLOOKUP(Table_EH_Pre_Survey_May_20__2023_08_229[[#This Row],[Unique Identifier]], 'Post-Survey Full Set'!$D$1:$AU$72, 43, 0), VLOOKUP(Table_EH_Pre_Survey_May_20__2023_08_229[[#This Row],[Unique Identifier]], 'Post-Survey Full Set'!$V$1:$AU$72, 25, 0))</f>
        <v xml:space="preserve">Environmental medicine as it relates to pregnancy </v>
      </c>
    </row>
    <row r="44" spans="1:81" hidden="1" x14ac:dyDescent="0.25">
      <c r="A44" t="s">
        <v>540</v>
      </c>
      <c r="B44" t="s">
        <v>541</v>
      </c>
      <c r="C44" t="s">
        <v>42</v>
      </c>
      <c r="D44" t="s">
        <v>542</v>
      </c>
      <c r="E44" t="str">
        <f>IF(COUNTIF($D$2:$D$103, Table_EH_Pre_Survey_May_20__2023_08_229[[#This Row],[IPAddress - IP Address]])=1, "Unique", "")</f>
        <v>Unique</v>
      </c>
      <c r="F44" t="e">
        <f>VLOOKUP(Table_EH_Pre_Survey_May_20__2023_08_229[[#This Row],[IPAddress - IP Address]], 'Post-Survey Full Set'!D:AU, 2, 0)</f>
        <v>#N/A</v>
      </c>
      <c r="G44" t="e">
        <f>VLOOKUP(Table_EH_Pre_Survey_May_20__2023_08_229[[#This Row],[IPAddress - IP Address]], 'Post-Survey Full Set'!$D$1:$AU$72, 1, 0)</f>
        <v>#N/A</v>
      </c>
      <c r="H44" s="35" t="e">
        <v>#N/A</v>
      </c>
      <c r="I44">
        <v>1</v>
      </c>
      <c r="J44" t="s">
        <v>112</v>
      </c>
      <c r="K44">
        <f>_xlfn.NUMBERVALUE(Table_EH_Pre_Survey_May_20__2023_08_229[[#This Row],[Duration (in seconds) - Duration (in seconds)2]])</f>
        <v>181</v>
      </c>
      <c r="L44" t="s">
        <v>543</v>
      </c>
      <c r="M44" t="s">
        <v>114</v>
      </c>
      <c r="N44" t="s">
        <v>541</v>
      </c>
      <c r="O44" t="str">
        <f>VLOOKUP(Table_EH_Pre_Survey_May_20__2023_08_229[[#This Row],[LocationLatitude - Location Latitude]], 'Post-Survey Full Set'!Q:AU, 1, 0)</f>
        <v>40.488</v>
      </c>
      <c r="P44" t="str">
        <f>VLOOKUP(Table_EH_Pre_Survey_May_20__2023_08_229[[#This Row],[LocationLongitude - Location Longitude]], 'Post-Survey Full Set'!S:AV, 1, 0)</f>
        <v>-74.4544</v>
      </c>
      <c r="Q44" t="s">
        <v>544</v>
      </c>
      <c r="R44" t="s">
        <v>111</v>
      </c>
      <c r="S44" t="s">
        <v>111</v>
      </c>
      <c r="T44" t="s">
        <v>111</v>
      </c>
      <c r="U44" t="s">
        <v>111</v>
      </c>
      <c r="V44" t="s">
        <v>351</v>
      </c>
      <c r="W44" t="str">
        <f>IF(COUNTIF($V$2:$V$103, Table_EH_Pre_Survey_May_20__2023_08_229[[#This Row],[LocationLatitude - Location Latitude]])=1, "Unique", "")</f>
        <v/>
      </c>
      <c r="X44" t="str">
        <f>VLOOKUP(Table_EH_Pre_Survey_May_20__2023_08_229[[#This Row],[LocationLatitude - Location Latitude]], 'Post-Survey Full Set'!Q:AU, 2, 0)</f>
        <v/>
      </c>
      <c r="Y44" t="s">
        <v>352</v>
      </c>
      <c r="Z44" t="e">
        <f>VLOOKUP(Table_EH_Pre_Survey_May_20__2023_08_229[[#This Row],[ResponseId - Response ID]], 'Post-Survey Full Set'!L:AU, 1, 0)</f>
        <v>#N/A</v>
      </c>
      <c r="AA44" t="s">
        <v>487</v>
      </c>
      <c r="AB44" t="s">
        <v>117</v>
      </c>
      <c r="AC44" s="35" t="s">
        <v>545</v>
      </c>
      <c r="AD44" t="e">
        <v>#N/A</v>
      </c>
      <c r="AE44" t="str">
        <f>IF(ISTEXT(Table_EH_Pre_Survey_May_20__2023_08_229[[#This Row],[Post-Survey NetID''s]]) = TRUE, "Match", "")</f>
        <v/>
      </c>
      <c r="AF44" t="str">
        <f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f>
        <v/>
      </c>
      <c r="AG44" t="str">
        <f>IF(Table_EH_Pre_Survey_May_20__2023_08_229[[#This Row],[NetID Match]] = "Match",  "Match", IF(ISTEXT(Table_EH_Pre_Survey_May_20__2023_08_229[[#This Row],[IP Address Match]]) = TRUE, "Match", ""))</f>
        <v/>
      </c>
      <c r="AH44" s="8">
        <v>4</v>
      </c>
      <c r="AI44" s="8">
        <f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f>
        <v>3</v>
      </c>
      <c r="AJ44" s="4">
        <v>4</v>
      </c>
      <c r="AK44" s="4">
        <f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f>
        <v>4</v>
      </c>
      <c r="AL44" s="4">
        <v>3</v>
      </c>
      <c r="AM44" s="4">
        <f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f>
        <v>4</v>
      </c>
      <c r="AN44" s="4">
        <v>2</v>
      </c>
      <c r="AO44" s="4">
        <f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f>
        <v>4</v>
      </c>
      <c r="AP44" s="4">
        <v>3</v>
      </c>
      <c r="AQ44" s="4">
        <f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f>
        <v>4</v>
      </c>
      <c r="AR44" s="4"/>
      <c r="AS44" s="4">
        <f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f>
        <v>5</v>
      </c>
      <c r="AT44" s="4">
        <v>2</v>
      </c>
      <c r="AU44" s="4">
        <f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f>
        <v>4</v>
      </c>
      <c r="AV44" s="4">
        <v>0</v>
      </c>
      <c r="AW44" s="4">
        <f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f>
        <v>4</v>
      </c>
      <c r="AX44" s="2">
        <v>1.5</v>
      </c>
      <c r="AY44" s="2">
        <f>IF(Table_EH_Pre_Survey_May_20__2023_08_229[[#This Row],[Q4]] = 3, 1, IF(Table_EH_Pre_Survey_May_20__2023_08_229[[#This Row],[Q4]] = 2.5, 0.5, IF(Table_EH_Pre_Survey_May_20__2023_08_229[[#This Row],[Q4]] = 3.5, 0.5, 0)))</f>
        <v>0</v>
      </c>
      <c r="AZ44" s="2">
        <f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f>
        <v>4</v>
      </c>
      <c r="BA44" s="2">
        <f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f>
        <v>0</v>
      </c>
      <c r="BB44" t="s">
        <v>130</v>
      </c>
      <c r="BC44">
        <f>IF(Table_EH_Pre_Survey_May_20__2023_08_229[[#This Row],[Q5 ]]="PM &lt; 2.5 μm", 1, 0)</f>
        <v>0</v>
      </c>
      <c r="BD44" t="str">
        <f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f>
        <v>PM &lt; 0.25 μm</v>
      </c>
      <c r="BE44">
        <f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f>
        <v>0</v>
      </c>
      <c r="BF44" t="s">
        <v>155</v>
      </c>
      <c r="BG44">
        <f>IF(Table_EH_Pre_Survey_May_20__2023_08_229[[#This Row],[Q6]]="Particles of this size are generally absorbed in the respiratory tract and safely excreted in mucus.", 1, 0)</f>
        <v>0</v>
      </c>
      <c r="BH44" t="str">
        <f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f>
        <v>Particles of this size reach the bronchial tree where they corrode the alveolar parenchyma.</v>
      </c>
      <c r="BI44">
        <f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f>
        <v>0</v>
      </c>
      <c r="BJ44" t="s">
        <v>546</v>
      </c>
      <c r="BK44">
        <f>IF(ISNUMBER(SEARCH("Trucks", Table_EH_Pre_Survey_May_20__2023_08_229[[#This Row],[Q7]])) = TRUE, 1, 0) + IF(ISNUMBER(SEARCH("Cars", Table_EH_Pre_Survey_May_20__2023_08_229[[#This Row],[Q7]])) = TRUE, 1, 0) + IF(ISNUMBER(SEARCH("Fireplaces", Table_EH_Pre_Survey_May_20__2023_08_229[[#This Row],[Q7]])) = TRUE, 1, 0) + IF(ISNUMBER(SEARCH("Dirt Roads", Table_EH_Pre_Survey_May_20__2023_08_229[[#This Row],[Q7]])) = TRUE, 1, 0) - IF(ISNUMBER(SEARCH("Electric Vehicles", Table_EH_Pre_Survey_May_20__2023_08_229[[#This Row],[Q7]])) = TRUE, 1, 0) - IF(ISNUMBER(SEARCH("Pollen", Table_EH_Pre_Survey_May_20__2023_08_229[[#This Row],[Q7]])) = TRUE, 1, 0)</f>
        <v>2</v>
      </c>
      <c r="BL44" t="str">
        <f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f>
        <v>Cars,Dirt Roads,Electric Vehicles,Fireplaces,Trucks</v>
      </c>
      <c r="BM44">
        <f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f>
        <v>3</v>
      </c>
      <c r="BN44">
        <v>3</v>
      </c>
      <c r="BO44">
        <f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f>
        <v>5</v>
      </c>
      <c r="BP44">
        <v>4</v>
      </c>
      <c r="BQ44">
        <f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f>
        <v>5</v>
      </c>
      <c r="BR44">
        <v>3</v>
      </c>
      <c r="BS44">
        <f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f>
        <v>5</v>
      </c>
      <c r="BT44">
        <v>2</v>
      </c>
      <c r="BU44">
        <f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f>
        <v>5</v>
      </c>
      <c r="BV44">
        <v>1</v>
      </c>
      <c r="BW44">
        <f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f>
        <v>5</v>
      </c>
      <c r="BX44">
        <v>2</v>
      </c>
      <c r="BY44">
        <f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f>
        <v>5</v>
      </c>
      <c r="BZ44">
        <v>6</v>
      </c>
      <c r="CA44">
        <f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f>
        <v>10</v>
      </c>
      <c r="CB44" t="s">
        <v>547</v>
      </c>
      <c r="CC44" t="str">
        <f>IF(ISTEXT(VLOOKUP(Table_EH_Pre_Survey_May_20__2023_08_229[[#This Row],[Unique Identifier]], 'Post-Survey Full Set'!$D$1:$AU$72, 1, 0)), VLOOKUP(Table_EH_Pre_Survey_May_20__2023_08_229[[#This Row],[Unique Identifier]], 'Post-Survey Full Set'!$D$1:$AU$72, 43, 0), VLOOKUP(Table_EH_Pre_Survey_May_20__2023_08_229[[#This Row],[Unique Identifier]], 'Post-Survey Full Set'!$V$1:$AU$72, 25, 0))</f>
        <v/>
      </c>
    </row>
    <row r="45" spans="1:81" hidden="1" x14ac:dyDescent="0.25">
      <c r="A45" t="s">
        <v>769</v>
      </c>
      <c r="B45" t="s">
        <v>770</v>
      </c>
      <c r="C45" t="s">
        <v>42</v>
      </c>
      <c r="D45" t="s">
        <v>771</v>
      </c>
      <c r="E45" t="str">
        <f>IF(COUNTIF($D$2:$D$103, Table_EH_Pre_Survey_May_20__2023_08_229[[#This Row],[IPAddress - IP Address]])=1, "Unique", "")</f>
        <v>Unique</v>
      </c>
      <c r="F45" t="e">
        <f>VLOOKUP(Table_EH_Pre_Survey_May_20__2023_08_229[[#This Row],[IPAddress - IP Address]], 'Post-Survey Full Set'!D:AU, 2, 0)</f>
        <v>#N/A</v>
      </c>
      <c r="G45" t="e">
        <f>VLOOKUP(Table_EH_Pre_Survey_May_20__2023_08_229[[#This Row],[IPAddress - IP Address]], 'Post-Survey Full Set'!$D$1:$AU$72, 1, 0)</f>
        <v>#N/A</v>
      </c>
      <c r="H45" s="35" t="e">
        <v>#N/A</v>
      </c>
      <c r="I45">
        <v>1</v>
      </c>
      <c r="J45" t="s">
        <v>112</v>
      </c>
      <c r="K45">
        <f>_xlfn.NUMBERVALUE(Table_EH_Pre_Survey_May_20__2023_08_229[[#This Row],[Duration (in seconds) - Duration (in seconds)2]])</f>
        <v>138</v>
      </c>
      <c r="L45" t="s">
        <v>772</v>
      </c>
      <c r="M45" t="s">
        <v>114</v>
      </c>
      <c r="N45" t="s">
        <v>770</v>
      </c>
      <c r="O45" t="str">
        <f>VLOOKUP(Table_EH_Pre_Survey_May_20__2023_08_229[[#This Row],[LocationLatitude - Location Latitude]], 'Post-Survey Full Set'!Q:AU, 1, 0)</f>
        <v>40.7265</v>
      </c>
      <c r="P45" t="str">
        <f>VLOOKUP(Table_EH_Pre_Survey_May_20__2023_08_229[[#This Row],[LocationLongitude - Location Longitude]], 'Post-Survey Full Set'!S:AV, 1, 0)</f>
        <v>-74.1782</v>
      </c>
      <c r="Q45" t="s">
        <v>773</v>
      </c>
      <c r="R45" t="s">
        <v>111</v>
      </c>
      <c r="S45" t="s">
        <v>111</v>
      </c>
      <c r="T45" t="s">
        <v>111</v>
      </c>
      <c r="U45" t="s">
        <v>111</v>
      </c>
      <c r="V45" t="s">
        <v>656</v>
      </c>
      <c r="W45" t="str">
        <f>IF(COUNTIF($V$2:$V$103, Table_EH_Pre_Survey_May_20__2023_08_229[[#This Row],[LocationLatitude - Location Latitude]])=1, "Unique", "")</f>
        <v/>
      </c>
      <c r="X45" t="str">
        <f>VLOOKUP(Table_EH_Pre_Survey_May_20__2023_08_229[[#This Row],[LocationLatitude - Location Latitude]], 'Post-Survey Full Set'!Q:AU, 2, 0)</f>
        <v/>
      </c>
      <c r="Y45" t="s">
        <v>657</v>
      </c>
      <c r="Z45" t="e">
        <f>VLOOKUP(Table_EH_Pre_Survey_May_20__2023_08_229[[#This Row],[ResponseId - Response ID]], 'Post-Survey Full Set'!L:AU, 1, 0)</f>
        <v>#N/A</v>
      </c>
      <c r="AA45" t="s">
        <v>487</v>
      </c>
      <c r="AB45" t="s">
        <v>117</v>
      </c>
      <c r="AC45" s="35" t="s">
        <v>545</v>
      </c>
      <c r="AD45" t="e">
        <v>#N/A</v>
      </c>
      <c r="AE45" t="str">
        <f>IF(ISTEXT(Table_EH_Pre_Survey_May_20__2023_08_229[[#This Row],[Post-Survey NetID''s]]) = TRUE, "Match", "")</f>
        <v/>
      </c>
      <c r="AF45" t="str">
        <f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f>
        <v/>
      </c>
      <c r="AG45" t="str">
        <f>IF(Table_EH_Pre_Survey_May_20__2023_08_229[[#This Row],[NetID Match]] = "Match",  "Match", IF(ISTEXT(Table_EH_Pre_Survey_May_20__2023_08_229[[#This Row],[IP Address Match]]) = TRUE, "Match", ""))</f>
        <v/>
      </c>
      <c r="AH45" s="8">
        <v>4</v>
      </c>
      <c r="AI45" s="8">
        <f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f>
        <v>3</v>
      </c>
      <c r="AJ45" s="4">
        <v>5</v>
      </c>
      <c r="AK45" s="4">
        <f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f>
        <v>4</v>
      </c>
      <c r="AL45" s="4">
        <v>3</v>
      </c>
      <c r="AM45" s="4">
        <f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f>
        <v>4</v>
      </c>
      <c r="AN45" s="4">
        <v>5</v>
      </c>
      <c r="AO45" s="4">
        <f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f>
        <v>4</v>
      </c>
      <c r="AP45" s="4">
        <v>3</v>
      </c>
      <c r="AQ45" s="4">
        <f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f>
        <v>4</v>
      </c>
      <c r="AR45" s="4">
        <v>5</v>
      </c>
      <c r="AS45" s="4">
        <f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f>
        <v>5</v>
      </c>
      <c r="AT45" s="4">
        <v>5</v>
      </c>
      <c r="AU45" s="4">
        <f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f>
        <v>4</v>
      </c>
      <c r="AV45" s="4">
        <v>1</v>
      </c>
      <c r="AW45" s="4">
        <f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f>
        <v>4</v>
      </c>
      <c r="AX45" s="2">
        <v>3.5</v>
      </c>
      <c r="AY45" s="2">
        <f>IF(Table_EH_Pre_Survey_May_20__2023_08_229[[#This Row],[Q4]] = 3, 1, IF(Table_EH_Pre_Survey_May_20__2023_08_229[[#This Row],[Q4]] = 2.5, 0.5, IF(Table_EH_Pre_Survey_May_20__2023_08_229[[#This Row],[Q4]] = 3.5, 0.5, 0)))</f>
        <v>0.5</v>
      </c>
      <c r="AZ45" s="2">
        <f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f>
        <v>4</v>
      </c>
      <c r="BA45" s="2">
        <f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f>
        <v>0</v>
      </c>
      <c r="BB45" t="s">
        <v>130</v>
      </c>
      <c r="BC45">
        <f>IF(Table_EH_Pre_Survey_May_20__2023_08_229[[#This Row],[Q5 ]]="PM &lt; 2.5 μm", 1, 0)</f>
        <v>0</v>
      </c>
      <c r="BD45" t="str">
        <f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f>
        <v>PM &lt; 0.25 μm</v>
      </c>
      <c r="BE45">
        <f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f>
        <v>0</v>
      </c>
      <c r="BF45" t="s">
        <v>155</v>
      </c>
      <c r="BG45">
        <f>IF(Table_EH_Pre_Survey_May_20__2023_08_229[[#This Row],[Q6]]="Particles of this size are generally absorbed in the respiratory tract and safely excreted in mucus.", 1, 0)</f>
        <v>0</v>
      </c>
      <c r="BH45" t="str">
        <f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f>
        <v>Particles of this size reach the bronchial tree where they corrode the alveolar parenchyma.</v>
      </c>
      <c r="BI45">
        <f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f>
        <v>0</v>
      </c>
      <c r="BJ45" t="s">
        <v>132</v>
      </c>
      <c r="BK45">
        <f>IF(ISNUMBER(SEARCH("Trucks", Table_EH_Pre_Survey_May_20__2023_08_229[[#This Row],[Q7]])) = TRUE, 1, 0) + IF(ISNUMBER(SEARCH("Cars", Table_EH_Pre_Survey_May_20__2023_08_229[[#This Row],[Q7]])) = TRUE, 1, 0) + IF(ISNUMBER(SEARCH("Fireplaces", Table_EH_Pre_Survey_May_20__2023_08_229[[#This Row],[Q7]])) = TRUE, 1, 0) + IF(ISNUMBER(SEARCH("Dirt Roads", Table_EH_Pre_Survey_May_20__2023_08_229[[#This Row],[Q7]])) = TRUE, 1, 0) - IF(ISNUMBER(SEARCH("Electric Vehicles", Table_EH_Pre_Survey_May_20__2023_08_229[[#This Row],[Q7]])) = TRUE, 1, 0) - IF(ISNUMBER(SEARCH("Pollen", Table_EH_Pre_Survey_May_20__2023_08_229[[#This Row],[Q7]])) = TRUE, 1, 0)</f>
        <v>2</v>
      </c>
      <c r="BL45" t="str">
        <f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f>
        <v>Cars,Dirt Roads,Electric Vehicles,Fireplaces,Trucks</v>
      </c>
      <c r="BM45">
        <f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f>
        <v>3</v>
      </c>
      <c r="BN45">
        <v>4</v>
      </c>
      <c r="BO45">
        <f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f>
        <v>5</v>
      </c>
      <c r="BP45">
        <v>1</v>
      </c>
      <c r="BQ45">
        <f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f>
        <v>5</v>
      </c>
      <c r="BR45">
        <v>4</v>
      </c>
      <c r="BS45">
        <f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f>
        <v>5</v>
      </c>
      <c r="BT45">
        <v>3</v>
      </c>
      <c r="BU45">
        <f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f>
        <v>5</v>
      </c>
      <c r="BV45">
        <v>4</v>
      </c>
      <c r="BW45">
        <f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f>
        <v>5</v>
      </c>
      <c r="BX45">
        <v>3</v>
      </c>
      <c r="BY45">
        <f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f>
        <v>5</v>
      </c>
      <c r="BZ45">
        <v>8</v>
      </c>
      <c r="CA45">
        <f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f>
        <v>10</v>
      </c>
      <c r="CB45" t="s">
        <v>774</v>
      </c>
      <c r="CC45" t="str">
        <f>IF(ISTEXT(VLOOKUP(Table_EH_Pre_Survey_May_20__2023_08_229[[#This Row],[Unique Identifier]], 'Post-Survey Full Set'!$D$1:$AU$72, 1, 0)), VLOOKUP(Table_EH_Pre_Survey_May_20__2023_08_229[[#This Row],[Unique Identifier]], 'Post-Survey Full Set'!$D$1:$AU$72, 43, 0), VLOOKUP(Table_EH_Pre_Survey_May_20__2023_08_229[[#This Row],[Unique Identifier]], 'Post-Survey Full Set'!$V$1:$AU$72, 25, 0))</f>
        <v/>
      </c>
    </row>
    <row r="46" spans="1:81" hidden="1" x14ac:dyDescent="0.25">
      <c r="A46" t="s">
        <v>515</v>
      </c>
      <c r="B46" t="s">
        <v>548</v>
      </c>
      <c r="C46" t="s">
        <v>42</v>
      </c>
      <c r="D46" t="s">
        <v>549</v>
      </c>
      <c r="E46" t="str">
        <f>IF(COUNTIF($D$2:$D$103, Table_EH_Pre_Survey_May_20__2023_08_229[[#This Row],[IPAddress - IP Address]])=1, "Unique", "")</f>
        <v>Unique</v>
      </c>
      <c r="F46" t="e">
        <f>VLOOKUP(Table_EH_Pre_Survey_May_20__2023_08_229[[#This Row],[IPAddress - IP Address]], 'Post-Survey Full Set'!D:AU, 2, 0)</f>
        <v>#N/A</v>
      </c>
      <c r="G46" t="e">
        <f>VLOOKUP(Table_EH_Pre_Survey_May_20__2023_08_229[[#This Row],[IPAddress - IP Address]], 'Post-Survey Full Set'!$D$1:$AU$72, 1, 0)</f>
        <v>#N/A</v>
      </c>
      <c r="H46" s="35" t="e">
        <v>#N/A</v>
      </c>
      <c r="I46">
        <v>1</v>
      </c>
      <c r="J46" t="s">
        <v>112</v>
      </c>
      <c r="K46">
        <f>_xlfn.NUMBERVALUE(Table_EH_Pre_Survey_May_20__2023_08_229[[#This Row],[Duration (in seconds) - Duration (in seconds)2]])</f>
        <v>157</v>
      </c>
      <c r="L46" t="s">
        <v>550</v>
      </c>
      <c r="M46" t="s">
        <v>114</v>
      </c>
      <c r="N46" t="s">
        <v>551</v>
      </c>
      <c r="O46" t="str">
        <f>VLOOKUP(Table_EH_Pre_Survey_May_20__2023_08_229[[#This Row],[LocationLatitude - Location Latitude]], 'Post-Survey Full Set'!Q:AU, 1, 0)</f>
        <v>40.5511</v>
      </c>
      <c r="P46" t="str">
        <f>VLOOKUP(Table_EH_Pre_Survey_May_20__2023_08_229[[#This Row],[LocationLongitude - Location Longitude]], 'Post-Survey Full Set'!S:AV, 1, 0)</f>
        <v>-74.4606</v>
      </c>
      <c r="Q46" t="s">
        <v>552</v>
      </c>
      <c r="R46" t="s">
        <v>111</v>
      </c>
      <c r="S46" t="s">
        <v>111</v>
      </c>
      <c r="T46" t="s">
        <v>111</v>
      </c>
      <c r="U46" t="s">
        <v>111</v>
      </c>
      <c r="V46" t="s">
        <v>115</v>
      </c>
      <c r="W46" t="str">
        <f>IF(COUNTIF($V$2:$V$103, Table_EH_Pre_Survey_May_20__2023_08_229[[#This Row],[LocationLatitude - Location Latitude]])=1, "Unique", "")</f>
        <v/>
      </c>
      <c r="X46" t="str">
        <f>VLOOKUP(Table_EH_Pre_Survey_May_20__2023_08_229[[#This Row],[LocationLatitude - Location Latitude]], 'Post-Survey Full Set'!Q:AU, 2, 0)</f>
        <v/>
      </c>
      <c r="Y46" t="s">
        <v>116</v>
      </c>
      <c r="Z46" t="e">
        <f>VLOOKUP(Table_EH_Pre_Survey_May_20__2023_08_229[[#This Row],[ResponseId - Response ID]], 'Post-Survey Full Set'!L:AU, 1, 0)</f>
        <v>#N/A</v>
      </c>
      <c r="AA46" t="s">
        <v>487</v>
      </c>
      <c r="AB46" t="s">
        <v>117</v>
      </c>
      <c r="AC46" s="35" t="s">
        <v>553</v>
      </c>
      <c r="AD46" t="e">
        <v>#N/A</v>
      </c>
      <c r="AE46" t="str">
        <f>IF(ISTEXT(Table_EH_Pre_Survey_May_20__2023_08_229[[#This Row],[Post-Survey NetID''s]]) = TRUE, "Match", "")</f>
        <v/>
      </c>
      <c r="AF46" t="str">
        <f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f>
        <v/>
      </c>
      <c r="AG46" t="str">
        <f>IF(Table_EH_Pre_Survey_May_20__2023_08_229[[#This Row],[NetID Match]] = "Match",  "Match", IF(ISTEXT(Table_EH_Pre_Survey_May_20__2023_08_229[[#This Row],[IP Address Match]]) = TRUE, "Match", ""))</f>
        <v/>
      </c>
      <c r="AH46" s="8">
        <v>2</v>
      </c>
      <c r="AI46" s="8">
        <f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f>
        <v>3</v>
      </c>
      <c r="AJ46" s="4">
        <v>2</v>
      </c>
      <c r="AK46" s="4">
        <f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f>
        <v>4</v>
      </c>
      <c r="AL46" s="4">
        <v>5</v>
      </c>
      <c r="AM46" s="4">
        <f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f>
        <v>4</v>
      </c>
      <c r="AN46" s="4">
        <v>5</v>
      </c>
      <c r="AO46" s="4">
        <f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f>
        <v>4</v>
      </c>
      <c r="AP46" s="4">
        <v>1</v>
      </c>
      <c r="AQ46" s="4">
        <f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f>
        <v>4</v>
      </c>
      <c r="AR46" s="4">
        <v>1</v>
      </c>
      <c r="AS46" s="4">
        <f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f>
        <v>5</v>
      </c>
      <c r="AT46" s="4">
        <v>0</v>
      </c>
      <c r="AU46" s="4">
        <f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f>
        <v>4</v>
      </c>
      <c r="AV46" s="4">
        <v>3</v>
      </c>
      <c r="AW46" s="4">
        <f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f>
        <v>4</v>
      </c>
      <c r="AX46" s="2">
        <v>3</v>
      </c>
      <c r="AY46" s="2">
        <f>IF(Table_EH_Pre_Survey_May_20__2023_08_229[[#This Row],[Q4]] = 3, 1, IF(Table_EH_Pre_Survey_May_20__2023_08_229[[#This Row],[Q4]] = 2.5, 0.5, IF(Table_EH_Pre_Survey_May_20__2023_08_229[[#This Row],[Q4]] = 3.5, 0.5, 0)))</f>
        <v>1</v>
      </c>
      <c r="AZ46" s="2">
        <f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f>
        <v>4</v>
      </c>
      <c r="BA46" s="2">
        <f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f>
        <v>0</v>
      </c>
      <c r="BB46" t="s">
        <v>130</v>
      </c>
      <c r="BC46">
        <f>IF(Table_EH_Pre_Survey_May_20__2023_08_229[[#This Row],[Q5 ]]="PM &lt; 2.5 μm", 1, 0)</f>
        <v>0</v>
      </c>
      <c r="BD46" t="str">
        <f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f>
        <v>PM &lt; 0.25 μm</v>
      </c>
      <c r="BE46">
        <f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f>
        <v>0</v>
      </c>
      <c r="BF46" t="s">
        <v>141</v>
      </c>
      <c r="BG46">
        <f>IF(Table_EH_Pre_Survey_May_20__2023_08_229[[#This Row],[Q6]]="Particles of this size are generally absorbed in the respiratory tract and safely excreted in mucus.", 1, 0)</f>
        <v>0</v>
      </c>
      <c r="BH46" t="str">
        <f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f>
        <v>Particles of this size reach the bronchial tree where they corrode the alveolar parenchyma.</v>
      </c>
      <c r="BI46">
        <f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f>
        <v>0</v>
      </c>
      <c r="BJ46" t="s">
        <v>142</v>
      </c>
      <c r="BK46">
        <f>IF(ISNUMBER(SEARCH("Trucks", Table_EH_Pre_Survey_May_20__2023_08_229[[#This Row],[Q7]])) = TRUE, 1, 0) + IF(ISNUMBER(SEARCH("Cars", Table_EH_Pre_Survey_May_20__2023_08_229[[#This Row],[Q7]])) = TRUE, 1, 0) + IF(ISNUMBER(SEARCH("Fireplaces", Table_EH_Pre_Survey_May_20__2023_08_229[[#This Row],[Q7]])) = TRUE, 1, 0) + IF(ISNUMBER(SEARCH("Dirt Roads", Table_EH_Pre_Survey_May_20__2023_08_229[[#This Row],[Q7]])) = TRUE, 1, 0) - IF(ISNUMBER(SEARCH("Electric Vehicles", Table_EH_Pre_Survey_May_20__2023_08_229[[#This Row],[Q7]])) = TRUE, 1, 0) - IF(ISNUMBER(SEARCH("Pollen", Table_EH_Pre_Survey_May_20__2023_08_229[[#This Row],[Q7]])) = TRUE, 1, 0)</f>
        <v>2</v>
      </c>
      <c r="BL46" t="str">
        <f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f>
        <v>Cars,Dirt Roads,Electric Vehicles,Fireplaces,Trucks</v>
      </c>
      <c r="BM46">
        <f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f>
        <v>3</v>
      </c>
      <c r="BN46">
        <v>3</v>
      </c>
      <c r="BO46">
        <f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f>
        <v>5</v>
      </c>
      <c r="BP46">
        <v>0</v>
      </c>
      <c r="BQ46">
        <f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f>
        <v>5</v>
      </c>
      <c r="BR46">
        <v>3</v>
      </c>
      <c r="BS46">
        <f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f>
        <v>5</v>
      </c>
      <c r="BT46">
        <v>0</v>
      </c>
      <c r="BU46">
        <f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f>
        <v>5</v>
      </c>
      <c r="BV46">
        <v>1</v>
      </c>
      <c r="BW46">
        <f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f>
        <v>5</v>
      </c>
      <c r="BX46">
        <v>4</v>
      </c>
      <c r="BY46">
        <f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f>
        <v>5</v>
      </c>
      <c r="BZ46">
        <v>5</v>
      </c>
      <c r="CA46">
        <f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f>
        <v>10</v>
      </c>
      <c r="CB46" t="s">
        <v>111</v>
      </c>
      <c r="CC46" t="str">
        <f>IF(ISTEXT(VLOOKUP(Table_EH_Pre_Survey_May_20__2023_08_229[[#This Row],[Unique Identifier]], 'Post-Survey Full Set'!$D$1:$AU$72, 1, 0)), VLOOKUP(Table_EH_Pre_Survey_May_20__2023_08_229[[#This Row],[Unique Identifier]], 'Post-Survey Full Set'!$D$1:$AU$72, 43, 0), VLOOKUP(Table_EH_Pre_Survey_May_20__2023_08_229[[#This Row],[Unique Identifier]], 'Post-Survey Full Set'!$V$1:$AU$72, 25, 0))</f>
        <v/>
      </c>
    </row>
    <row r="47" spans="1:81" x14ac:dyDescent="0.25">
      <c r="A47" t="s">
        <v>267</v>
      </c>
      <c r="B47" t="s">
        <v>268</v>
      </c>
      <c r="C47" t="s">
        <v>42</v>
      </c>
      <c r="D47" t="s">
        <v>269</v>
      </c>
      <c r="E47" t="str">
        <f>IF(COUNTIF($D$2:$D$103, Table_EH_Pre_Survey_May_20__2023_08_229[[#This Row],[IPAddress - IP Address]])=1, "Unique", "")</f>
        <v>Unique</v>
      </c>
      <c r="F47" t="e">
        <f>VLOOKUP(Table_EH_Pre_Survey_May_20__2023_08_229[[#This Row],[IPAddress - IP Address]], 'Post-Survey Full Set'!D:AU, 2, 0)</f>
        <v>#N/A</v>
      </c>
      <c r="G47" t="e">
        <f>VLOOKUP(Table_EH_Pre_Survey_May_20__2023_08_229[[#This Row],[IPAddress - IP Address]], 'Post-Survey Full Set'!$D$1:$AU$72, 1, 0)</f>
        <v>#N/A</v>
      </c>
      <c r="H47" s="35" t="e">
        <v>#N/A</v>
      </c>
      <c r="I47">
        <v>1</v>
      </c>
      <c r="J47" t="s">
        <v>112</v>
      </c>
      <c r="K47">
        <f>_xlfn.NUMBERVALUE(Table_EH_Pre_Survey_May_20__2023_08_229[[#This Row],[Duration (in seconds) - Duration (in seconds)2]])</f>
        <v>301</v>
      </c>
      <c r="L47" t="s">
        <v>270</v>
      </c>
      <c r="M47" t="s">
        <v>114</v>
      </c>
      <c r="N47" t="s">
        <v>268</v>
      </c>
      <c r="O47" t="str">
        <f>VLOOKUP(Table_EH_Pre_Survey_May_20__2023_08_229[[#This Row],[LocationLatitude - Location Latitude]], 'Post-Survey Full Set'!Q:AU, 1, 0)</f>
        <v>40.4992</v>
      </c>
      <c r="P47" t="str">
        <f>VLOOKUP(Table_EH_Pre_Survey_May_20__2023_08_229[[#This Row],[LocationLongitude - Location Longitude]], 'Post-Survey Full Set'!S:AV, 1, 0)</f>
        <v>-74.4996</v>
      </c>
      <c r="Q47" t="s">
        <v>271</v>
      </c>
      <c r="R47" t="s">
        <v>111</v>
      </c>
      <c r="S47" t="s">
        <v>111</v>
      </c>
      <c r="T47" t="s">
        <v>111</v>
      </c>
      <c r="U47" t="s">
        <v>111</v>
      </c>
      <c r="V47" t="s">
        <v>164</v>
      </c>
      <c r="W47" t="str">
        <f>IF(COUNTIF($V$2:$V$103, Table_EH_Pre_Survey_May_20__2023_08_229[[#This Row],[LocationLatitude - Location Latitude]])=1, "Unique", "")</f>
        <v/>
      </c>
      <c r="X47" t="str">
        <f>VLOOKUP(Table_EH_Pre_Survey_May_20__2023_08_229[[#This Row],[LocationLatitude - Location Latitude]], 'Post-Survey Full Set'!Q:AU, 2, 0)</f>
        <v>Unique</v>
      </c>
      <c r="Y47" t="s">
        <v>165</v>
      </c>
      <c r="Z47" t="e">
        <f>VLOOKUP(Table_EH_Pre_Survey_May_20__2023_08_229[[#This Row],[ResponseId - Response ID]], 'Post-Survey Full Set'!L:AU, 1, 0)</f>
        <v>#N/A</v>
      </c>
      <c r="AA47" t="s">
        <v>127</v>
      </c>
      <c r="AB47" t="s">
        <v>117</v>
      </c>
      <c r="AC47" s="35" t="s">
        <v>272</v>
      </c>
      <c r="AD47" t="s">
        <v>1073</v>
      </c>
      <c r="AE47" t="str">
        <f>IF(ISTEXT(Table_EH_Pre_Survey_May_20__2023_08_229[[#This Row],[Post-Survey NetID''s]]) = TRUE, "Match", "")</f>
        <v>Match</v>
      </c>
      <c r="AF47" t="str">
        <f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f>
        <v>ige8</v>
      </c>
      <c r="AG47" t="str">
        <f>IF(Table_EH_Pre_Survey_May_20__2023_08_229[[#This Row],[NetID Match]] = "Match",  "Match", IF(ISTEXT(Table_EH_Pre_Survey_May_20__2023_08_229[[#This Row],[IP Address Match]]) = TRUE, "Match", ""))</f>
        <v>Match</v>
      </c>
      <c r="AH47" s="8">
        <v>5</v>
      </c>
      <c r="AI47" s="8">
        <f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f>
        <v>5</v>
      </c>
      <c r="AJ47" s="4">
        <v>5</v>
      </c>
      <c r="AK47" s="4">
        <f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f>
        <v>4</v>
      </c>
      <c r="AL47" s="4">
        <v>4</v>
      </c>
      <c r="AM47" s="4">
        <f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f>
        <v>5</v>
      </c>
      <c r="AN47" s="4">
        <v>5</v>
      </c>
      <c r="AO47" s="4">
        <f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f>
        <v>5</v>
      </c>
      <c r="AP47" s="4">
        <v>1</v>
      </c>
      <c r="AQ47" s="4">
        <f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f>
        <v>2</v>
      </c>
      <c r="AR47" s="4">
        <v>2</v>
      </c>
      <c r="AS47" s="4">
        <f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f>
        <v>3</v>
      </c>
      <c r="AT47" s="4">
        <v>5</v>
      </c>
      <c r="AU47" s="4">
        <f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f>
        <v>5</v>
      </c>
      <c r="AV47" s="4">
        <v>2</v>
      </c>
      <c r="AW47" s="4">
        <f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f>
        <v>2</v>
      </c>
      <c r="AX47" s="2">
        <v>3</v>
      </c>
      <c r="AY47" s="2">
        <f>IF(Table_EH_Pre_Survey_May_20__2023_08_229[[#This Row],[Q4]] = 3, 1, IF(Table_EH_Pre_Survey_May_20__2023_08_229[[#This Row],[Q4]] = 2.5, 0.5, IF(Table_EH_Pre_Survey_May_20__2023_08_229[[#This Row],[Q4]] = 3.5, 0.5, 0)))</f>
        <v>1</v>
      </c>
      <c r="AZ47" s="2">
        <f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f>
        <v>3</v>
      </c>
      <c r="BA47" s="2">
        <f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f>
        <v>1</v>
      </c>
      <c r="BB47" t="s">
        <v>166</v>
      </c>
      <c r="BC47">
        <f>IF(Table_EH_Pre_Survey_May_20__2023_08_229[[#This Row],[Q5 ]]="PM &lt; 2.5 μm", 1, 0)</f>
        <v>0</v>
      </c>
      <c r="BD47" t="str">
        <f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f>
        <v>PM &lt; 2.5 μm</v>
      </c>
      <c r="BE47">
        <f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f>
        <v>1</v>
      </c>
      <c r="BF47" t="s">
        <v>131</v>
      </c>
      <c r="BG47">
        <f>IF(Table_EH_Pre_Survey_May_20__2023_08_229[[#This Row],[Q6]]="Particles of this size are generally absorbed in the respiratory tract and safely excreted in mucus.", 1, 0)</f>
        <v>0</v>
      </c>
      <c r="BH47" t="str">
        <f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f>
        <v>Particles of this size include dust and pollen and are the main source of seasonal rhinitis</v>
      </c>
      <c r="BI47">
        <f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f>
        <v>0</v>
      </c>
      <c r="BJ47" t="s">
        <v>167</v>
      </c>
      <c r="BK47">
        <f>IF(ISNUMBER(SEARCH("Trucks", Table_EH_Pre_Survey_May_20__2023_08_229[[#This Row],[Q7]])) = TRUE, 1, 0) + IF(ISNUMBER(SEARCH("Cars", Table_EH_Pre_Survey_May_20__2023_08_229[[#This Row],[Q7]])) = TRUE, 1, 0) + IF(ISNUMBER(SEARCH("Fireplaces", Table_EH_Pre_Survey_May_20__2023_08_229[[#This Row],[Q7]])) = TRUE, 1, 0) + IF(ISNUMBER(SEARCH("Dirt Roads", Table_EH_Pre_Survey_May_20__2023_08_229[[#This Row],[Q7]])) = TRUE, 1, 0) - IF(ISNUMBER(SEARCH("Electric Vehicles", Table_EH_Pre_Survey_May_20__2023_08_229[[#This Row],[Q7]])) = TRUE, 1, 0) - IF(ISNUMBER(SEARCH("Pollen", Table_EH_Pre_Survey_May_20__2023_08_229[[#This Row],[Q7]])) = TRUE, 1, 0)</f>
        <v>3</v>
      </c>
      <c r="BL47" t="str">
        <f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f>
        <v>Cars,Dirt Roads,Electric Vehicles,Fireplaces,Trucks</v>
      </c>
      <c r="BM47">
        <f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f>
        <v>3</v>
      </c>
      <c r="BN47">
        <v>5</v>
      </c>
      <c r="BO47">
        <f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f>
        <v>5</v>
      </c>
      <c r="BP47">
        <v>3</v>
      </c>
      <c r="BQ47">
        <f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f>
        <v>5</v>
      </c>
      <c r="BR47">
        <v>5</v>
      </c>
      <c r="BS47">
        <f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f>
        <v>3</v>
      </c>
      <c r="BT47">
        <v>5</v>
      </c>
      <c r="BU47">
        <f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f>
        <v>3</v>
      </c>
      <c r="BV47">
        <v>5</v>
      </c>
      <c r="BW47">
        <f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f>
        <v>3</v>
      </c>
      <c r="BX47">
        <v>5</v>
      </c>
      <c r="BY47">
        <f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f>
        <v>3</v>
      </c>
      <c r="BZ47">
        <v>10</v>
      </c>
      <c r="CA47">
        <f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f>
        <v>10</v>
      </c>
      <c r="CB47" t="s">
        <v>273</v>
      </c>
      <c r="CC47" t="str">
        <f>IF(ISTEXT(VLOOKUP(Table_EH_Pre_Survey_May_20__2023_08_229[[#This Row],[Unique Identifier]], 'Post-Survey Full Set'!$D$1:$AU$72, 1, 0)), VLOOKUP(Table_EH_Pre_Survey_May_20__2023_08_229[[#This Row],[Unique Identifier]], 'Post-Survey Full Set'!$D$1:$AU$72, 43, 0), VLOOKUP(Table_EH_Pre_Survey_May_20__2023_08_229[[#This Row],[Unique Identifier]], 'Post-Survey Full Set'!$V$1:$AU$72, 25, 0))</f>
        <v xml:space="preserve">More about environmental risk factors vs. the block we sre on. So integrated in each block as 1 lecture </v>
      </c>
    </row>
    <row r="48" spans="1:81" x14ac:dyDescent="0.25">
      <c r="A48" t="s">
        <v>469</v>
      </c>
      <c r="B48" t="s">
        <v>470</v>
      </c>
      <c r="C48" t="s">
        <v>42</v>
      </c>
      <c r="D48" t="s">
        <v>389</v>
      </c>
      <c r="E48" t="str">
        <f>IF(COUNTIF($D$2:$D$103, Table_EH_Pre_Survey_May_20__2023_08_229[[#This Row],[IPAddress - IP Address]])=1, "Unique", "")</f>
        <v/>
      </c>
      <c r="F48" t="str">
        <f>VLOOKUP(Table_EH_Pre_Survey_May_20__2023_08_229[[#This Row],[IPAddress - IP Address]], 'Post-Survey Full Set'!D:AU, 2, 0)</f>
        <v/>
      </c>
      <c r="G48" t="str">
        <f>VLOOKUP(Table_EH_Pre_Survey_May_20__2023_08_229[[#This Row],[IPAddress - IP Address]], 'Post-Survey Full Set'!$D$1:$AU$72, 1, 0)</f>
        <v>130.219.10.90</v>
      </c>
      <c r="I48">
        <v>1</v>
      </c>
      <c r="J48" t="s">
        <v>112</v>
      </c>
      <c r="K48">
        <f>_xlfn.NUMBERVALUE(Table_EH_Pre_Survey_May_20__2023_08_229[[#This Row],[Duration (in seconds) - Duration (in seconds)2]])</f>
        <v>164</v>
      </c>
      <c r="L48" t="s">
        <v>432</v>
      </c>
      <c r="M48" t="s">
        <v>114</v>
      </c>
      <c r="N48" t="s">
        <v>471</v>
      </c>
      <c r="O48" t="str">
        <f>VLOOKUP(Table_EH_Pre_Survey_May_20__2023_08_229[[#This Row],[LocationLatitude - Location Latitude]], 'Post-Survey Full Set'!Q:AU, 1, 0)</f>
        <v>40.7337</v>
      </c>
      <c r="P48" t="str">
        <f>VLOOKUP(Table_EH_Pre_Survey_May_20__2023_08_229[[#This Row],[LocationLongitude - Location Longitude]], 'Post-Survey Full Set'!S:AV, 1, 0)</f>
        <v>-74.1939</v>
      </c>
      <c r="Q48" t="s">
        <v>472</v>
      </c>
      <c r="R48" t="s">
        <v>111</v>
      </c>
      <c r="S48" t="s">
        <v>111</v>
      </c>
      <c r="T48" t="s">
        <v>111</v>
      </c>
      <c r="U48" t="s">
        <v>111</v>
      </c>
      <c r="V48" t="s">
        <v>392</v>
      </c>
      <c r="W48" t="str">
        <f>IF(COUNTIF($V$2:$V$103, Table_EH_Pre_Survey_May_20__2023_08_229[[#This Row],[LocationLatitude - Location Latitude]])=1, "Unique", "")</f>
        <v/>
      </c>
      <c r="X48" t="str">
        <f>VLOOKUP(Table_EH_Pre_Survey_May_20__2023_08_229[[#This Row],[LocationLatitude - Location Latitude]], 'Post-Survey Full Set'!Q:AU, 2, 0)</f>
        <v/>
      </c>
      <c r="Y48" t="s">
        <v>393</v>
      </c>
      <c r="Z48" t="e">
        <f>VLOOKUP(Table_EH_Pre_Survey_May_20__2023_08_229[[#This Row],[ResponseId - Response ID]], 'Post-Survey Full Set'!L:AU, 1, 0)</f>
        <v>#N/A</v>
      </c>
      <c r="AA48" t="s">
        <v>127</v>
      </c>
      <c r="AB48" t="s">
        <v>117</v>
      </c>
      <c r="AC48" s="35" t="s">
        <v>473</v>
      </c>
      <c r="AD48" t="s">
        <v>473</v>
      </c>
      <c r="AE48" t="str">
        <f>IF(ISTEXT(Table_EH_Pre_Survey_May_20__2023_08_229[[#This Row],[Post-Survey NetID''s]]) = TRUE, "Match", "")</f>
        <v>Match</v>
      </c>
      <c r="AF48" t="str">
        <f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f>
        <v>ht372</v>
      </c>
      <c r="AG48" t="str">
        <f>IF(Table_EH_Pre_Survey_May_20__2023_08_229[[#This Row],[NetID Match]] = "Match",  "Match", IF(ISTEXT(Table_EH_Pre_Survey_May_20__2023_08_229[[#This Row],[IP Address Match]]) = TRUE, "Match", ""))</f>
        <v>Match</v>
      </c>
      <c r="AH48" s="8">
        <v>4</v>
      </c>
      <c r="AI48" s="8">
        <f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f>
        <v>5</v>
      </c>
      <c r="AJ48" s="4">
        <v>4</v>
      </c>
      <c r="AK48" s="4">
        <f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f>
        <v>3</v>
      </c>
      <c r="AL48" s="4">
        <v>5</v>
      </c>
      <c r="AM48" s="4">
        <f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f>
        <v>5</v>
      </c>
      <c r="AN48" s="4">
        <v>3</v>
      </c>
      <c r="AO48" s="4">
        <f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f>
        <v>3</v>
      </c>
      <c r="AP48" s="4">
        <v>2</v>
      </c>
      <c r="AQ48" s="4">
        <f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f>
        <v>2</v>
      </c>
      <c r="AR48" s="4">
        <v>3</v>
      </c>
      <c r="AS48" s="4">
        <f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f>
        <v>2</v>
      </c>
      <c r="AT48" s="4">
        <v>5</v>
      </c>
      <c r="AU48" s="4">
        <f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f>
        <v>5</v>
      </c>
      <c r="AV48" s="4">
        <v>2</v>
      </c>
      <c r="AW48" s="4">
        <f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f>
        <v>2</v>
      </c>
      <c r="AX48" s="2">
        <v>2</v>
      </c>
      <c r="AY48" s="2">
        <f>IF(Table_EH_Pre_Survey_May_20__2023_08_229[[#This Row],[Q4]] = 3, 1, IF(Table_EH_Pre_Survey_May_20__2023_08_229[[#This Row],[Q4]] = 2.5, 0.5, IF(Table_EH_Pre_Survey_May_20__2023_08_229[[#This Row],[Q4]] = 3.5, 0.5, 0)))</f>
        <v>0</v>
      </c>
      <c r="AZ48" s="2">
        <f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f>
        <v>3</v>
      </c>
      <c r="BA48" s="2">
        <f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f>
        <v>1</v>
      </c>
      <c r="BB48" t="s">
        <v>140</v>
      </c>
      <c r="BC48">
        <f>IF(Table_EH_Pre_Survey_May_20__2023_08_229[[#This Row],[Q5 ]]="PM &lt; 2.5 μm", 1, 0)</f>
        <v>1</v>
      </c>
      <c r="BD48" t="str">
        <f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f>
        <v>PM &lt; 2.5 μm</v>
      </c>
      <c r="BE48">
        <f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f>
        <v>1</v>
      </c>
      <c r="BF48" t="s">
        <v>141</v>
      </c>
      <c r="BG48">
        <f>IF(Table_EH_Pre_Survey_May_20__2023_08_229[[#This Row],[Q6]]="Particles of this size are generally absorbed in the respiratory tract and safely excreted in mucus.", 1, 0)</f>
        <v>0</v>
      </c>
      <c r="BH48" t="str">
        <f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f>
        <v>Particles of this size reach the bronchial tree where they corrode the alveolar parenchyma.</v>
      </c>
      <c r="BI48">
        <f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f>
        <v>0</v>
      </c>
      <c r="BJ48" t="s">
        <v>156</v>
      </c>
      <c r="BK48">
        <f>IF(ISNUMBER(SEARCH("Trucks", Table_EH_Pre_Survey_May_20__2023_08_229[[#This Row],[Q7]])) = TRUE, 1, 0) + IF(ISNUMBER(SEARCH("Cars", Table_EH_Pre_Survey_May_20__2023_08_229[[#This Row],[Q7]])) = TRUE, 1, 0) + IF(ISNUMBER(SEARCH("Fireplaces", Table_EH_Pre_Survey_May_20__2023_08_229[[#This Row],[Q7]])) = TRUE, 1, 0) + IF(ISNUMBER(SEARCH("Dirt Roads", Table_EH_Pre_Survey_May_20__2023_08_229[[#This Row],[Q7]])) = TRUE, 1, 0) - IF(ISNUMBER(SEARCH("Electric Vehicles", Table_EH_Pre_Survey_May_20__2023_08_229[[#This Row],[Q7]])) = TRUE, 1, 0) - IF(ISNUMBER(SEARCH("Pollen", Table_EH_Pre_Survey_May_20__2023_08_229[[#This Row],[Q7]])) = TRUE, 1, 0)</f>
        <v>4</v>
      </c>
      <c r="BL48" t="str">
        <f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f>
        <v>Cars,Fireplaces,Trucks</v>
      </c>
      <c r="BM48">
        <f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f>
        <v>3</v>
      </c>
      <c r="BN48">
        <v>4</v>
      </c>
      <c r="BO48">
        <f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f>
        <v>3</v>
      </c>
      <c r="BP48">
        <v>1</v>
      </c>
      <c r="BQ48">
        <f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f>
        <v>4</v>
      </c>
      <c r="BR48">
        <v>2</v>
      </c>
      <c r="BS48">
        <f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f>
        <v>4</v>
      </c>
      <c r="BT48">
        <v>1</v>
      </c>
      <c r="BU48">
        <f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f>
        <v>2</v>
      </c>
      <c r="BV48">
        <v>4</v>
      </c>
      <c r="BW48">
        <f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f>
        <v>3</v>
      </c>
      <c r="BX48">
        <v>4</v>
      </c>
      <c r="BY48">
        <f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f>
        <v>5</v>
      </c>
      <c r="BZ48">
        <v>8</v>
      </c>
      <c r="CA48">
        <f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f>
        <v>8</v>
      </c>
      <c r="CB48" t="s">
        <v>474</v>
      </c>
      <c r="CC48" t="str">
        <f>IF(ISTEXT(VLOOKUP(Table_EH_Pre_Survey_May_20__2023_08_229[[#This Row],[Unique Identifier]], 'Post-Survey Full Set'!$D$1:$AU$72, 1, 0)), VLOOKUP(Table_EH_Pre_Survey_May_20__2023_08_229[[#This Row],[Unique Identifier]], 'Post-Survey Full Set'!$D$1:$AU$72, 43, 0), VLOOKUP(Table_EH_Pre_Survey_May_20__2023_08_229[[#This Row],[Unique Identifier]], 'Post-Survey Full Set'!$V$1:$AU$72, 25, 0))</f>
        <v>The impact of pesticides on human health</v>
      </c>
    </row>
    <row r="49" spans="1:81" x14ac:dyDescent="0.25">
      <c r="A49" t="s">
        <v>429</v>
      </c>
      <c r="B49" t="s">
        <v>430</v>
      </c>
      <c r="C49" t="s">
        <v>42</v>
      </c>
      <c r="D49" t="s">
        <v>431</v>
      </c>
      <c r="E49" t="str">
        <f>IF(COUNTIF($D$2:$D$103, Table_EH_Pre_Survey_May_20__2023_08_229[[#This Row],[IPAddress - IP Address]])=1, "Unique", "")</f>
        <v>Unique</v>
      </c>
      <c r="F49" t="e">
        <f>VLOOKUP(Table_EH_Pre_Survey_May_20__2023_08_229[[#This Row],[IPAddress - IP Address]], 'Post-Survey Full Set'!D:AU, 2, 0)</f>
        <v>#N/A</v>
      </c>
      <c r="G49" t="e">
        <f>VLOOKUP(Table_EH_Pre_Survey_May_20__2023_08_229[[#This Row],[IPAddress - IP Address]], 'Post-Survey Full Set'!$D$1:$AU$72, 1, 0)</f>
        <v>#N/A</v>
      </c>
      <c r="H49" s="35" t="e">
        <v>#N/A</v>
      </c>
      <c r="I49">
        <v>1</v>
      </c>
      <c r="J49" t="s">
        <v>112</v>
      </c>
      <c r="K49">
        <f>_xlfn.NUMBERVALUE(Table_EH_Pre_Survey_May_20__2023_08_229[[#This Row],[Duration (in seconds) - Duration (in seconds)2]])</f>
        <v>164</v>
      </c>
      <c r="L49" t="s">
        <v>432</v>
      </c>
      <c r="M49" t="s">
        <v>114</v>
      </c>
      <c r="N49" t="s">
        <v>433</v>
      </c>
      <c r="O49" t="e">
        <f>VLOOKUP(Table_EH_Pre_Survey_May_20__2023_08_229[[#This Row],[LocationLatitude - Location Latitude]], 'Post-Survey Full Set'!Q:AU, 1, 0)</f>
        <v>#N/A</v>
      </c>
      <c r="P49" t="e">
        <f>VLOOKUP(Table_EH_Pre_Survey_May_20__2023_08_229[[#This Row],[LocationLongitude - Location Longitude]], 'Post-Survey Full Set'!S:AV, 1, 0)</f>
        <v>#N/A</v>
      </c>
      <c r="Q49" t="s">
        <v>434</v>
      </c>
      <c r="R49" t="s">
        <v>111</v>
      </c>
      <c r="S49" t="s">
        <v>111</v>
      </c>
      <c r="T49" t="s">
        <v>111</v>
      </c>
      <c r="U49" t="s">
        <v>111</v>
      </c>
      <c r="V49" t="s">
        <v>435</v>
      </c>
      <c r="W49" t="str">
        <f>IF(COUNTIF($V$2:$V$103, Table_EH_Pre_Survey_May_20__2023_08_229[[#This Row],[LocationLatitude - Location Latitude]])=1, "Unique", "")</f>
        <v/>
      </c>
      <c r="X49" t="e">
        <f>VLOOKUP(Table_EH_Pre_Survey_May_20__2023_08_229[[#This Row],[LocationLatitude - Location Latitude]], 'Post-Survey Full Set'!Q:AU, 2, 0)</f>
        <v>#N/A</v>
      </c>
      <c r="Y49" t="s">
        <v>436</v>
      </c>
      <c r="Z49" t="e">
        <f>VLOOKUP(Table_EH_Pre_Survey_May_20__2023_08_229[[#This Row],[ResponseId - Response ID]], 'Post-Survey Full Set'!L:AU, 1, 0)</f>
        <v>#N/A</v>
      </c>
      <c r="AA49" t="s">
        <v>127</v>
      </c>
      <c r="AB49" t="s">
        <v>117</v>
      </c>
      <c r="AC49" s="35" t="s">
        <v>437</v>
      </c>
      <c r="AD49" t="s">
        <v>437</v>
      </c>
      <c r="AE49" t="str">
        <f>IF(ISTEXT(Table_EH_Pre_Survey_May_20__2023_08_229[[#This Row],[Post-Survey NetID''s]]) = TRUE, "Match", "")</f>
        <v>Match</v>
      </c>
      <c r="AF49" t="str">
        <f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f>
        <v>hg295</v>
      </c>
      <c r="AG49" t="str">
        <f>IF(Table_EH_Pre_Survey_May_20__2023_08_229[[#This Row],[NetID Match]] = "Match",  "Match", IF(ISTEXT(Table_EH_Pre_Survey_May_20__2023_08_229[[#This Row],[IP Address Match]]) = TRUE, "Match", ""))</f>
        <v>Match</v>
      </c>
      <c r="AH49" s="8">
        <v>4</v>
      </c>
      <c r="AI49" s="8">
        <f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f>
        <v>4</v>
      </c>
      <c r="AJ49" s="4">
        <v>4</v>
      </c>
      <c r="AK49" s="4">
        <f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f>
        <v>5</v>
      </c>
      <c r="AL49" s="4">
        <v>4</v>
      </c>
      <c r="AM49" s="4">
        <f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f>
        <v>5</v>
      </c>
      <c r="AN49" s="4">
        <v>4</v>
      </c>
      <c r="AO49" s="4">
        <f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f>
        <v>5</v>
      </c>
      <c r="AP49" s="4">
        <v>4</v>
      </c>
      <c r="AQ49" s="4">
        <f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f>
        <v>5</v>
      </c>
      <c r="AR49" s="4">
        <v>5</v>
      </c>
      <c r="AS49" s="4">
        <f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f>
        <v>4</v>
      </c>
      <c r="AT49" s="4">
        <v>5</v>
      </c>
      <c r="AU49" s="4">
        <f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f>
        <v>5</v>
      </c>
      <c r="AV49" s="4">
        <v>4</v>
      </c>
      <c r="AW49" s="4">
        <f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f>
        <v>4</v>
      </c>
      <c r="AX49" s="2">
        <v>3</v>
      </c>
      <c r="AY49" s="2">
        <f>IF(Table_EH_Pre_Survey_May_20__2023_08_229[[#This Row],[Q4]] = 3, 1, IF(Table_EH_Pre_Survey_May_20__2023_08_229[[#This Row],[Q4]] = 2.5, 0.5, IF(Table_EH_Pre_Survey_May_20__2023_08_229[[#This Row],[Q4]] = 3.5, 0.5, 0)))</f>
        <v>1</v>
      </c>
      <c r="AZ49" s="2">
        <f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f>
        <v>3</v>
      </c>
      <c r="BA49" s="2">
        <f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f>
        <v>1</v>
      </c>
      <c r="BB49" t="s">
        <v>154</v>
      </c>
      <c r="BC49">
        <f>IF(Table_EH_Pre_Survey_May_20__2023_08_229[[#This Row],[Q5 ]]="PM &lt; 2.5 μm", 1, 0)</f>
        <v>0</v>
      </c>
      <c r="BD49" t="str">
        <f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f>
        <v>PM &lt; 2.5 μm</v>
      </c>
      <c r="BE49">
        <f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f>
        <v>1</v>
      </c>
      <c r="BF49" t="s">
        <v>175</v>
      </c>
      <c r="BG49">
        <f>IF(Table_EH_Pre_Survey_May_20__2023_08_229[[#This Row],[Q6]]="Particles of this size are generally absorbed in the respiratory tract and safely excreted in mucus.", 1, 0)</f>
        <v>1</v>
      </c>
      <c r="BH49" t="str">
        <f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f>
        <v>Particles of this size are generally absorbed in the respiratory tract and safely excreted in mucus.</v>
      </c>
      <c r="BI49">
        <f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f>
        <v>1</v>
      </c>
      <c r="BJ49" t="s">
        <v>142</v>
      </c>
      <c r="BK49">
        <f>IF(ISNUMBER(SEARCH("Trucks", Table_EH_Pre_Survey_May_20__2023_08_229[[#This Row],[Q7]])) = TRUE, 1, 0) + IF(ISNUMBER(SEARCH("Cars", Table_EH_Pre_Survey_May_20__2023_08_229[[#This Row],[Q7]])) = TRUE, 1, 0) + IF(ISNUMBER(SEARCH("Fireplaces", Table_EH_Pre_Survey_May_20__2023_08_229[[#This Row],[Q7]])) = TRUE, 1, 0) + IF(ISNUMBER(SEARCH("Dirt Roads", Table_EH_Pre_Survey_May_20__2023_08_229[[#This Row],[Q7]])) = TRUE, 1, 0) - IF(ISNUMBER(SEARCH("Electric Vehicles", Table_EH_Pre_Survey_May_20__2023_08_229[[#This Row],[Q7]])) = TRUE, 1, 0) - IF(ISNUMBER(SEARCH("Pollen", Table_EH_Pre_Survey_May_20__2023_08_229[[#This Row],[Q7]])) = TRUE, 1, 0)</f>
        <v>2</v>
      </c>
      <c r="BL49" t="str">
        <f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f>
        <v>Cars,Dirt Roads,Electric Vehicles,Fireplaces,Pollen,Trucks</v>
      </c>
      <c r="BM49">
        <f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f>
        <v>2</v>
      </c>
      <c r="BN49">
        <v>5</v>
      </c>
      <c r="BO49">
        <f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f>
        <v>5</v>
      </c>
      <c r="BP49">
        <v>2</v>
      </c>
      <c r="BQ49">
        <f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f>
        <v>5</v>
      </c>
      <c r="BR49">
        <v>4</v>
      </c>
      <c r="BS49">
        <f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f>
        <v>5</v>
      </c>
      <c r="BT49">
        <v>4</v>
      </c>
      <c r="BU49">
        <f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f>
        <v>5</v>
      </c>
      <c r="BV49">
        <v>4</v>
      </c>
      <c r="BW49">
        <f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f>
        <v>5</v>
      </c>
      <c r="BX49">
        <v>2</v>
      </c>
      <c r="BY49">
        <f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f>
        <v>5</v>
      </c>
      <c r="BZ49">
        <v>7</v>
      </c>
      <c r="CA49">
        <f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f>
        <v>10</v>
      </c>
      <c r="CB49" t="s">
        <v>111</v>
      </c>
      <c r="CC49" t="str">
        <f>IF(ISTEXT(VLOOKUP(Table_EH_Pre_Survey_May_20__2023_08_229[[#This Row],[Unique Identifier]], 'Post-Survey Full Set'!$D$1:$AU$72, 1, 0)), VLOOKUP(Table_EH_Pre_Survey_May_20__2023_08_229[[#This Row],[Unique Identifier]], 'Post-Survey Full Set'!$D$1:$AU$72, 43, 0), VLOOKUP(Table_EH_Pre_Survey_May_20__2023_08_229[[#This Row],[Unique Identifier]], 'Post-Survey Full Set'!$V$1:$AU$72, 25, 0))</f>
        <v/>
      </c>
    </row>
    <row r="50" spans="1:81" x14ac:dyDescent="0.25">
      <c r="A50" t="s">
        <v>794</v>
      </c>
      <c r="B50" t="s">
        <v>795</v>
      </c>
      <c r="C50" t="s">
        <v>42</v>
      </c>
      <c r="D50" t="s">
        <v>389</v>
      </c>
      <c r="E50" t="str">
        <f>IF(COUNTIF($D$2:$D$103, Table_EH_Pre_Survey_May_20__2023_08_229[[#This Row],[IPAddress - IP Address]])=1, "Unique", "")</f>
        <v/>
      </c>
      <c r="F50" t="str">
        <f>VLOOKUP(Table_EH_Pre_Survey_May_20__2023_08_229[[#This Row],[IPAddress - IP Address]], 'Post-Survey Full Set'!D:AU, 2, 0)</f>
        <v/>
      </c>
      <c r="G50" t="str">
        <f>VLOOKUP(Table_EH_Pre_Survey_May_20__2023_08_229[[#This Row],[IPAddress - IP Address]], 'Post-Survey Full Set'!$D$1:$AU$72, 1, 0)</f>
        <v>130.219.10.90</v>
      </c>
      <c r="I50">
        <v>1</v>
      </c>
      <c r="J50" t="s">
        <v>112</v>
      </c>
      <c r="K50">
        <f>_xlfn.NUMBERVALUE(Table_EH_Pre_Survey_May_20__2023_08_229[[#This Row],[Duration (in seconds) - Duration (in seconds)2]])</f>
        <v>5259</v>
      </c>
      <c r="L50" t="s">
        <v>796</v>
      </c>
      <c r="M50" t="s">
        <v>114</v>
      </c>
      <c r="N50" t="s">
        <v>797</v>
      </c>
      <c r="O50" t="str">
        <f>VLOOKUP(Table_EH_Pre_Survey_May_20__2023_08_229[[#This Row],[LocationLatitude - Location Latitude]], 'Post-Survey Full Set'!Q:AU, 1, 0)</f>
        <v>40.7337</v>
      </c>
      <c r="P50" t="str">
        <f>VLOOKUP(Table_EH_Pre_Survey_May_20__2023_08_229[[#This Row],[LocationLongitude - Location Longitude]], 'Post-Survey Full Set'!S:AV, 1, 0)</f>
        <v>-74.1939</v>
      </c>
      <c r="Q50" t="s">
        <v>798</v>
      </c>
      <c r="R50" t="s">
        <v>111</v>
      </c>
      <c r="S50" t="s">
        <v>111</v>
      </c>
      <c r="T50" t="s">
        <v>111</v>
      </c>
      <c r="U50" t="s">
        <v>111</v>
      </c>
      <c r="V50" t="s">
        <v>392</v>
      </c>
      <c r="W50" t="str">
        <f>IF(COUNTIF($V$2:$V$103, Table_EH_Pre_Survey_May_20__2023_08_229[[#This Row],[LocationLatitude - Location Latitude]])=1, "Unique", "")</f>
        <v/>
      </c>
      <c r="X50" t="str">
        <f>VLOOKUP(Table_EH_Pre_Survey_May_20__2023_08_229[[#This Row],[LocationLatitude - Location Latitude]], 'Post-Survey Full Set'!Q:AU, 2, 0)</f>
        <v/>
      </c>
      <c r="Y50" t="s">
        <v>393</v>
      </c>
      <c r="Z50" t="e">
        <f>VLOOKUP(Table_EH_Pre_Survey_May_20__2023_08_229[[#This Row],[ResponseId - Response ID]], 'Post-Survey Full Set'!L:AU, 1, 0)</f>
        <v>#N/A</v>
      </c>
      <c r="AA50" t="s">
        <v>487</v>
      </c>
      <c r="AB50" t="s">
        <v>117</v>
      </c>
      <c r="AC50" s="35" t="s">
        <v>799</v>
      </c>
      <c r="AD50" t="s">
        <v>799</v>
      </c>
      <c r="AE50" t="str">
        <f>IF(ISTEXT(Table_EH_Pre_Survey_May_20__2023_08_229[[#This Row],[Post-Survey NetID''s]]) = TRUE, "Match", "")</f>
        <v>Match</v>
      </c>
      <c r="AF50" t="str">
        <f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f>
        <v>gmh100</v>
      </c>
      <c r="AG50" t="str">
        <f>IF(Table_EH_Pre_Survey_May_20__2023_08_229[[#This Row],[NetID Match]] = "Match",  "Match", IF(ISTEXT(Table_EH_Pre_Survey_May_20__2023_08_229[[#This Row],[IP Address Match]]) = TRUE, "Match", ""))</f>
        <v>Match</v>
      </c>
      <c r="AH50" s="8">
        <v>4</v>
      </c>
      <c r="AI50" s="8">
        <f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f>
        <v>4</v>
      </c>
      <c r="AJ50" s="4">
        <v>4</v>
      </c>
      <c r="AK50" s="4">
        <f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f>
        <v>3</v>
      </c>
      <c r="AL50" s="4">
        <v>4</v>
      </c>
      <c r="AM50" s="4">
        <f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f>
        <v>5</v>
      </c>
      <c r="AN50" s="4">
        <v>5</v>
      </c>
      <c r="AO50" s="4">
        <f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f>
        <v>5</v>
      </c>
      <c r="AP50" s="4">
        <v>4</v>
      </c>
      <c r="AQ50" s="4">
        <f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f>
        <v>5</v>
      </c>
      <c r="AR50" s="4">
        <v>3</v>
      </c>
      <c r="AS50" s="4">
        <f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f>
        <v>4</v>
      </c>
      <c r="AT50" s="4">
        <v>5</v>
      </c>
      <c r="AU50" s="4">
        <f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f>
        <v>5</v>
      </c>
      <c r="AV50" s="4">
        <v>5</v>
      </c>
      <c r="AW50" s="4">
        <f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f>
        <v>5</v>
      </c>
      <c r="AX50" s="2">
        <v>3</v>
      </c>
      <c r="AY50" s="2">
        <f>IF(Table_EH_Pre_Survey_May_20__2023_08_229[[#This Row],[Q4]] = 3, 1, IF(Table_EH_Pre_Survey_May_20__2023_08_229[[#This Row],[Q4]] = 2.5, 0.5, IF(Table_EH_Pre_Survey_May_20__2023_08_229[[#This Row],[Q4]] = 3.5, 0.5, 0)))</f>
        <v>1</v>
      </c>
      <c r="AZ50" s="2">
        <f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f>
        <v>3</v>
      </c>
      <c r="BA50" s="2">
        <f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f>
        <v>1</v>
      </c>
      <c r="BB50" t="s">
        <v>154</v>
      </c>
      <c r="BC50">
        <f>IF(Table_EH_Pre_Survey_May_20__2023_08_229[[#This Row],[Q5 ]]="PM &lt; 2.5 μm", 1, 0)</f>
        <v>0</v>
      </c>
      <c r="BD50" t="str">
        <f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f>
        <v>PM &lt; 2.5 μm</v>
      </c>
      <c r="BE50">
        <f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f>
        <v>1</v>
      </c>
      <c r="BF50" t="s">
        <v>175</v>
      </c>
      <c r="BG50">
        <f>IF(Table_EH_Pre_Survey_May_20__2023_08_229[[#This Row],[Q6]]="Particles of this size are generally absorbed in the respiratory tract and safely excreted in mucus.", 1, 0)</f>
        <v>1</v>
      </c>
      <c r="BH50" t="str">
        <f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f>
        <v>Particles of this size are generally absorbed in the respiratory tract and safely excreted in mucus.</v>
      </c>
      <c r="BI50">
        <f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f>
        <v>1</v>
      </c>
      <c r="BJ50" t="s">
        <v>526</v>
      </c>
      <c r="BK50">
        <f>IF(ISNUMBER(SEARCH("Trucks", Table_EH_Pre_Survey_May_20__2023_08_229[[#This Row],[Q7]])) = TRUE, 1, 0) + IF(ISNUMBER(SEARCH("Cars", Table_EH_Pre_Survey_May_20__2023_08_229[[#This Row],[Q7]])) = TRUE, 1, 0) + IF(ISNUMBER(SEARCH("Fireplaces", Table_EH_Pre_Survey_May_20__2023_08_229[[#This Row],[Q7]])) = TRUE, 1, 0) + IF(ISNUMBER(SEARCH("Dirt Roads", Table_EH_Pre_Survey_May_20__2023_08_229[[#This Row],[Q7]])) = TRUE, 1, 0) - IF(ISNUMBER(SEARCH("Electric Vehicles", Table_EH_Pre_Survey_May_20__2023_08_229[[#This Row],[Q7]])) = TRUE, 1, 0) - IF(ISNUMBER(SEARCH("Pollen", Table_EH_Pre_Survey_May_20__2023_08_229[[#This Row],[Q7]])) = TRUE, 1, 0)</f>
        <v>-1</v>
      </c>
      <c r="BL50" t="str">
        <f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f>
        <v>Cars,Electric Vehicles,Trucks</v>
      </c>
      <c r="BM50">
        <f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f>
        <v>1</v>
      </c>
      <c r="BO50">
        <f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f>
        <v>1</v>
      </c>
      <c r="BQ50">
        <f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f>
        <v>0</v>
      </c>
      <c r="BS50">
        <f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f>
        <v>1</v>
      </c>
      <c r="BU50">
        <f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f>
        <v>1</v>
      </c>
      <c r="BW50">
        <f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f>
        <v>1</v>
      </c>
      <c r="BY50">
        <f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f>
        <v>2</v>
      </c>
      <c r="BZ50">
        <v>5</v>
      </c>
      <c r="CA50">
        <f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f>
        <v>7</v>
      </c>
      <c r="CB50" t="s">
        <v>314</v>
      </c>
      <c r="CC50" t="str">
        <f>IF(ISTEXT(VLOOKUP(Table_EH_Pre_Survey_May_20__2023_08_229[[#This Row],[Unique Identifier]], 'Post-Survey Full Set'!$D$1:$AU$72, 1, 0)), VLOOKUP(Table_EH_Pre_Survey_May_20__2023_08_229[[#This Row],[Unique Identifier]], 'Post-Survey Full Set'!$D$1:$AU$72, 43, 0), VLOOKUP(Table_EH_Pre_Survey_May_20__2023_08_229[[#This Row],[Unique Identifier]], 'Post-Survey Full Set'!$V$1:$AU$72, 25, 0))</f>
        <v>radiation exposure of physicians and x-ray techs</v>
      </c>
    </row>
    <row r="51" spans="1:81" hidden="1" x14ac:dyDescent="0.25">
      <c r="A51" t="s">
        <v>765</v>
      </c>
      <c r="B51" t="s">
        <v>766</v>
      </c>
      <c r="C51" t="s">
        <v>42</v>
      </c>
      <c r="D51" t="s">
        <v>389</v>
      </c>
      <c r="E51" t="str">
        <f>IF(COUNTIF($D$2:$D$103, Table_EH_Pre_Survey_May_20__2023_08_229[[#This Row],[IPAddress - IP Address]])=1, "Unique", "")</f>
        <v/>
      </c>
      <c r="F51" t="str">
        <f>VLOOKUP(Table_EH_Pre_Survey_May_20__2023_08_229[[#This Row],[IPAddress - IP Address]], 'Post-Survey Full Set'!D:AU, 2, 0)</f>
        <v/>
      </c>
      <c r="G51" t="str">
        <f>VLOOKUP(Table_EH_Pre_Survey_May_20__2023_08_229[[#This Row],[IPAddress - IP Address]], 'Post-Survey Full Set'!$D$1:$AU$72, 1, 0)</f>
        <v>130.219.10.90</v>
      </c>
      <c r="I51">
        <v>1</v>
      </c>
      <c r="J51" t="s">
        <v>112</v>
      </c>
      <c r="K51">
        <f>_xlfn.NUMBERVALUE(Table_EH_Pre_Survey_May_20__2023_08_229[[#This Row],[Duration (in seconds) - Duration (in seconds)2]])</f>
        <v>100</v>
      </c>
      <c r="L51" t="s">
        <v>112</v>
      </c>
      <c r="M51" t="s">
        <v>114</v>
      </c>
      <c r="N51" t="s">
        <v>766</v>
      </c>
      <c r="O51" t="str">
        <f>VLOOKUP(Table_EH_Pre_Survey_May_20__2023_08_229[[#This Row],[LocationLatitude - Location Latitude]], 'Post-Survey Full Set'!Q:AU, 1, 0)</f>
        <v>40.7337</v>
      </c>
      <c r="P51" t="str">
        <f>VLOOKUP(Table_EH_Pre_Survey_May_20__2023_08_229[[#This Row],[LocationLongitude - Location Longitude]], 'Post-Survey Full Set'!S:AV, 1, 0)</f>
        <v>-74.1939</v>
      </c>
      <c r="Q51" t="s">
        <v>767</v>
      </c>
      <c r="R51" t="s">
        <v>111</v>
      </c>
      <c r="S51" t="s">
        <v>111</v>
      </c>
      <c r="T51" t="s">
        <v>111</v>
      </c>
      <c r="U51" t="s">
        <v>111</v>
      </c>
      <c r="V51" t="s">
        <v>392</v>
      </c>
      <c r="W51" t="str">
        <f>IF(COUNTIF($V$2:$V$103, Table_EH_Pre_Survey_May_20__2023_08_229[[#This Row],[LocationLatitude - Location Latitude]])=1, "Unique", "")</f>
        <v/>
      </c>
      <c r="X51" t="str">
        <f>VLOOKUP(Table_EH_Pre_Survey_May_20__2023_08_229[[#This Row],[LocationLatitude - Location Latitude]], 'Post-Survey Full Set'!Q:AU, 2, 0)</f>
        <v/>
      </c>
      <c r="Y51" t="s">
        <v>393</v>
      </c>
      <c r="Z51" t="e">
        <f>VLOOKUP(Table_EH_Pre_Survey_May_20__2023_08_229[[#This Row],[ResponseId - Response ID]], 'Post-Survey Full Set'!L:AU, 1, 0)</f>
        <v>#N/A</v>
      </c>
      <c r="AA51" t="s">
        <v>487</v>
      </c>
      <c r="AB51" t="s">
        <v>117</v>
      </c>
      <c r="AC51" s="35" t="s">
        <v>768</v>
      </c>
      <c r="AD51" t="e">
        <v>#N/A</v>
      </c>
      <c r="AE51" t="str">
        <f>IF(ISTEXT(Table_EH_Pre_Survey_May_20__2023_08_229[[#This Row],[Post-Survey NetID''s]]) = TRUE, "Match", "")</f>
        <v/>
      </c>
      <c r="AF51" t="str">
        <f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f>
        <v/>
      </c>
      <c r="AG51" t="str">
        <f>IF(Table_EH_Pre_Survey_May_20__2023_08_229[[#This Row],[NetID Match]] = "Match",  "Match", IF(ISTEXT(Table_EH_Pre_Survey_May_20__2023_08_229[[#This Row],[IP Address Match]]) = TRUE, "Match", ""))</f>
        <v/>
      </c>
      <c r="AH51" s="8">
        <v>5</v>
      </c>
      <c r="AI51" s="8">
        <f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f>
        <v>3</v>
      </c>
      <c r="AJ51" s="4">
        <v>4</v>
      </c>
      <c r="AK51" s="4">
        <f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f>
        <v>4</v>
      </c>
      <c r="AL51" s="4">
        <v>5</v>
      </c>
      <c r="AM51" s="4">
        <f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f>
        <v>4</v>
      </c>
      <c r="AN51" s="4">
        <v>5</v>
      </c>
      <c r="AO51" s="4">
        <f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f>
        <v>4</v>
      </c>
      <c r="AP51" s="4">
        <v>5</v>
      </c>
      <c r="AQ51" s="4">
        <f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f>
        <v>4</v>
      </c>
      <c r="AR51" s="4">
        <v>5</v>
      </c>
      <c r="AS51" s="4">
        <f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f>
        <v>5</v>
      </c>
      <c r="AT51" s="4">
        <v>5</v>
      </c>
      <c r="AU51" s="4">
        <f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f>
        <v>4</v>
      </c>
      <c r="AV51" s="4">
        <v>5</v>
      </c>
      <c r="AW51" s="4">
        <f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f>
        <v>4</v>
      </c>
      <c r="AX51" s="2">
        <v>4.5</v>
      </c>
      <c r="AY51" s="2">
        <f>IF(Table_EH_Pre_Survey_May_20__2023_08_229[[#This Row],[Q4]] = 3, 1, IF(Table_EH_Pre_Survey_May_20__2023_08_229[[#This Row],[Q4]] = 2.5, 0.5, IF(Table_EH_Pre_Survey_May_20__2023_08_229[[#This Row],[Q4]] = 3.5, 0.5, 0)))</f>
        <v>0</v>
      </c>
      <c r="AZ51" s="2">
        <f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f>
        <v>4</v>
      </c>
      <c r="BA51" s="2">
        <f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f>
        <v>0</v>
      </c>
      <c r="BB51" t="s">
        <v>130</v>
      </c>
      <c r="BC51">
        <f>IF(Table_EH_Pre_Survey_May_20__2023_08_229[[#This Row],[Q5 ]]="PM &lt; 2.5 μm", 1, 0)</f>
        <v>0</v>
      </c>
      <c r="BD51" t="str">
        <f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f>
        <v>PM &lt; 0.25 μm</v>
      </c>
      <c r="BE51">
        <f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f>
        <v>0</v>
      </c>
      <c r="BF51" t="s">
        <v>141</v>
      </c>
      <c r="BG51">
        <f>IF(Table_EH_Pre_Survey_May_20__2023_08_229[[#This Row],[Q6]]="Particles of this size are generally absorbed in the respiratory tract and safely excreted in mucus.", 1, 0)</f>
        <v>0</v>
      </c>
      <c r="BH51" t="str">
        <f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f>
        <v>Particles of this size reach the bronchial tree where they corrode the alveolar parenchyma.</v>
      </c>
      <c r="BI51">
        <f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f>
        <v>0</v>
      </c>
      <c r="BJ51" t="s">
        <v>156</v>
      </c>
      <c r="BK51">
        <f>IF(ISNUMBER(SEARCH("Trucks", Table_EH_Pre_Survey_May_20__2023_08_229[[#This Row],[Q7]])) = TRUE, 1, 0) + IF(ISNUMBER(SEARCH("Cars", Table_EH_Pre_Survey_May_20__2023_08_229[[#This Row],[Q7]])) = TRUE, 1, 0) + IF(ISNUMBER(SEARCH("Fireplaces", Table_EH_Pre_Survey_May_20__2023_08_229[[#This Row],[Q7]])) = TRUE, 1, 0) + IF(ISNUMBER(SEARCH("Dirt Roads", Table_EH_Pre_Survey_May_20__2023_08_229[[#This Row],[Q7]])) = TRUE, 1, 0) - IF(ISNUMBER(SEARCH("Electric Vehicles", Table_EH_Pre_Survey_May_20__2023_08_229[[#This Row],[Q7]])) = TRUE, 1, 0) - IF(ISNUMBER(SEARCH("Pollen", Table_EH_Pre_Survey_May_20__2023_08_229[[#This Row],[Q7]])) = TRUE, 1, 0)</f>
        <v>4</v>
      </c>
      <c r="BL51" t="str">
        <f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f>
        <v>Cars,Dirt Roads,Electric Vehicles,Fireplaces,Trucks</v>
      </c>
      <c r="BM51">
        <f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f>
        <v>3</v>
      </c>
      <c r="BN51">
        <v>5</v>
      </c>
      <c r="BO51">
        <f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f>
        <v>5</v>
      </c>
      <c r="BP51">
        <v>5</v>
      </c>
      <c r="BQ51">
        <f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f>
        <v>5</v>
      </c>
      <c r="BR51">
        <v>5</v>
      </c>
      <c r="BS51">
        <f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f>
        <v>5</v>
      </c>
      <c r="BT51">
        <v>5</v>
      </c>
      <c r="BU51">
        <f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f>
        <v>5</v>
      </c>
      <c r="BV51">
        <v>5</v>
      </c>
      <c r="BW51">
        <f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f>
        <v>5</v>
      </c>
      <c r="BX51">
        <v>3</v>
      </c>
      <c r="BY51">
        <f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f>
        <v>5</v>
      </c>
      <c r="BZ51">
        <v>10</v>
      </c>
      <c r="CA51">
        <f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f>
        <v>10</v>
      </c>
      <c r="CB51" t="s">
        <v>111</v>
      </c>
      <c r="CC51" t="str">
        <f>IF(ISTEXT(VLOOKUP(Table_EH_Pre_Survey_May_20__2023_08_229[[#This Row],[Unique Identifier]], 'Post-Survey Full Set'!$D$1:$AU$72, 1, 0)), VLOOKUP(Table_EH_Pre_Survey_May_20__2023_08_229[[#This Row],[Unique Identifier]], 'Post-Survey Full Set'!$D$1:$AU$72, 43, 0), VLOOKUP(Table_EH_Pre_Survey_May_20__2023_08_229[[#This Row],[Unique Identifier]], 'Post-Survey Full Set'!$V$1:$AU$72, 25, 0))</f>
        <v/>
      </c>
    </row>
    <row r="52" spans="1:81" hidden="1" x14ac:dyDescent="0.25">
      <c r="A52" t="s">
        <v>779</v>
      </c>
      <c r="B52" t="s">
        <v>780</v>
      </c>
      <c r="C52" t="s">
        <v>42</v>
      </c>
      <c r="D52" t="s">
        <v>389</v>
      </c>
      <c r="E52" t="str">
        <f>IF(COUNTIF($D$2:$D$103, Table_EH_Pre_Survey_May_20__2023_08_229[[#This Row],[IPAddress - IP Address]])=1, "Unique", "")</f>
        <v/>
      </c>
      <c r="F52" t="str">
        <f>VLOOKUP(Table_EH_Pre_Survey_May_20__2023_08_229[[#This Row],[IPAddress - IP Address]], 'Post-Survey Full Set'!D:AU, 2, 0)</f>
        <v/>
      </c>
      <c r="G52" t="str">
        <f>VLOOKUP(Table_EH_Pre_Survey_May_20__2023_08_229[[#This Row],[IPAddress - IP Address]], 'Post-Survey Full Set'!$D$1:$AU$72, 1, 0)</f>
        <v>130.219.10.90</v>
      </c>
      <c r="I52">
        <v>1</v>
      </c>
      <c r="J52" t="s">
        <v>112</v>
      </c>
      <c r="K52">
        <f>_xlfn.NUMBERVALUE(Table_EH_Pre_Survey_May_20__2023_08_229[[#This Row],[Duration (in seconds) - Duration (in seconds)2]])</f>
        <v>5879</v>
      </c>
      <c r="L52" t="s">
        <v>781</v>
      </c>
      <c r="M52" t="s">
        <v>114</v>
      </c>
      <c r="N52" t="s">
        <v>780</v>
      </c>
      <c r="O52" t="str">
        <f>VLOOKUP(Table_EH_Pre_Survey_May_20__2023_08_229[[#This Row],[LocationLatitude - Location Latitude]], 'Post-Survey Full Set'!Q:AU, 1, 0)</f>
        <v>40.7337</v>
      </c>
      <c r="P52" t="str">
        <f>VLOOKUP(Table_EH_Pre_Survey_May_20__2023_08_229[[#This Row],[LocationLongitude - Location Longitude]], 'Post-Survey Full Set'!S:AV, 1, 0)</f>
        <v>-74.1939</v>
      </c>
      <c r="Q52" t="s">
        <v>782</v>
      </c>
      <c r="R52" t="s">
        <v>111</v>
      </c>
      <c r="S52" t="s">
        <v>111</v>
      </c>
      <c r="T52" t="s">
        <v>111</v>
      </c>
      <c r="U52" t="s">
        <v>111</v>
      </c>
      <c r="V52" t="s">
        <v>392</v>
      </c>
      <c r="W52" t="str">
        <f>IF(COUNTIF($V$2:$V$103, Table_EH_Pre_Survey_May_20__2023_08_229[[#This Row],[LocationLatitude - Location Latitude]])=1, "Unique", "")</f>
        <v/>
      </c>
      <c r="X52" t="str">
        <f>VLOOKUP(Table_EH_Pre_Survey_May_20__2023_08_229[[#This Row],[LocationLatitude - Location Latitude]], 'Post-Survey Full Set'!Q:AU, 2, 0)</f>
        <v/>
      </c>
      <c r="Y52" t="s">
        <v>393</v>
      </c>
      <c r="Z52" t="e">
        <f>VLOOKUP(Table_EH_Pre_Survey_May_20__2023_08_229[[#This Row],[ResponseId - Response ID]], 'Post-Survey Full Set'!L:AU, 1, 0)</f>
        <v>#N/A</v>
      </c>
      <c r="AA52" t="s">
        <v>127</v>
      </c>
      <c r="AB52" t="s">
        <v>117</v>
      </c>
      <c r="AC52" s="35" t="s">
        <v>783</v>
      </c>
      <c r="AD52" t="e">
        <v>#N/A</v>
      </c>
      <c r="AE52" t="str">
        <f>IF(ISTEXT(Table_EH_Pre_Survey_May_20__2023_08_229[[#This Row],[Post-Survey NetID''s]]) = TRUE, "Match", "")</f>
        <v/>
      </c>
      <c r="AF52" t="str">
        <f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f>
        <v/>
      </c>
      <c r="AG52" t="str">
        <f>IF(Table_EH_Pre_Survey_May_20__2023_08_229[[#This Row],[NetID Match]] = "Match",  "Match", IF(ISTEXT(Table_EH_Pre_Survey_May_20__2023_08_229[[#This Row],[IP Address Match]]) = TRUE, "Match", ""))</f>
        <v/>
      </c>
      <c r="AH52" s="8">
        <v>4</v>
      </c>
      <c r="AI52" s="8">
        <f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f>
        <v>3</v>
      </c>
      <c r="AJ52" s="4">
        <v>3</v>
      </c>
      <c r="AK52" s="4">
        <f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f>
        <v>4</v>
      </c>
      <c r="AL52" s="4">
        <v>2</v>
      </c>
      <c r="AM52" s="4">
        <f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f>
        <v>4</v>
      </c>
      <c r="AN52" s="4">
        <v>5</v>
      </c>
      <c r="AO52" s="4">
        <f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f>
        <v>4</v>
      </c>
      <c r="AP52" s="4">
        <v>2</v>
      </c>
      <c r="AQ52" s="4">
        <f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f>
        <v>4</v>
      </c>
      <c r="AR52" s="4">
        <v>5</v>
      </c>
      <c r="AS52" s="4">
        <f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f>
        <v>5</v>
      </c>
      <c r="AT52" s="4">
        <v>5</v>
      </c>
      <c r="AU52" s="4">
        <f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f>
        <v>4</v>
      </c>
      <c r="AV52" s="4">
        <v>1</v>
      </c>
      <c r="AW52" s="4">
        <f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f>
        <v>4</v>
      </c>
      <c r="AX52" s="2">
        <v>5</v>
      </c>
      <c r="AY52" s="2">
        <f>IF(Table_EH_Pre_Survey_May_20__2023_08_229[[#This Row],[Q4]] = 3, 1, IF(Table_EH_Pre_Survey_May_20__2023_08_229[[#This Row],[Q4]] = 2.5, 0.5, IF(Table_EH_Pre_Survey_May_20__2023_08_229[[#This Row],[Q4]] = 3.5, 0.5, 0)))</f>
        <v>0</v>
      </c>
      <c r="AZ52" s="2">
        <f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f>
        <v>4</v>
      </c>
      <c r="BA52" s="2">
        <f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f>
        <v>0</v>
      </c>
      <c r="BB52" t="s">
        <v>130</v>
      </c>
      <c r="BC52">
        <f>IF(Table_EH_Pre_Survey_May_20__2023_08_229[[#This Row],[Q5 ]]="PM &lt; 2.5 μm", 1, 0)</f>
        <v>0</v>
      </c>
      <c r="BD52" t="str">
        <f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f>
        <v>PM &lt; 0.25 μm</v>
      </c>
      <c r="BE52">
        <f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f>
        <v>0</v>
      </c>
      <c r="BF52" t="s">
        <v>155</v>
      </c>
      <c r="BG52">
        <f>IF(Table_EH_Pre_Survey_May_20__2023_08_229[[#This Row],[Q6]]="Particles of this size are generally absorbed in the respiratory tract and safely excreted in mucus.", 1, 0)</f>
        <v>0</v>
      </c>
      <c r="BH52" t="str">
        <f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f>
        <v>Particles of this size reach the bronchial tree where they corrode the alveolar parenchyma.</v>
      </c>
      <c r="BI52">
        <f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f>
        <v>0</v>
      </c>
      <c r="BJ52" t="s">
        <v>526</v>
      </c>
      <c r="BK52">
        <f>IF(ISNUMBER(SEARCH("Trucks", Table_EH_Pre_Survey_May_20__2023_08_229[[#This Row],[Q7]])) = TRUE, 1, 0) + IF(ISNUMBER(SEARCH("Cars", Table_EH_Pre_Survey_May_20__2023_08_229[[#This Row],[Q7]])) = TRUE, 1, 0) + IF(ISNUMBER(SEARCH("Fireplaces", Table_EH_Pre_Survey_May_20__2023_08_229[[#This Row],[Q7]])) = TRUE, 1, 0) + IF(ISNUMBER(SEARCH("Dirt Roads", Table_EH_Pre_Survey_May_20__2023_08_229[[#This Row],[Q7]])) = TRUE, 1, 0) - IF(ISNUMBER(SEARCH("Electric Vehicles", Table_EH_Pre_Survey_May_20__2023_08_229[[#This Row],[Q7]])) = TRUE, 1, 0) - IF(ISNUMBER(SEARCH("Pollen", Table_EH_Pre_Survey_May_20__2023_08_229[[#This Row],[Q7]])) = TRUE, 1, 0)</f>
        <v>-1</v>
      </c>
      <c r="BL52" t="str">
        <f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f>
        <v>Cars,Dirt Roads,Electric Vehicles,Fireplaces,Trucks</v>
      </c>
      <c r="BM52">
        <f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f>
        <v>3</v>
      </c>
      <c r="BN52">
        <v>5</v>
      </c>
      <c r="BO52">
        <f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f>
        <v>5</v>
      </c>
      <c r="BP52">
        <v>3</v>
      </c>
      <c r="BQ52">
        <f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f>
        <v>5</v>
      </c>
      <c r="BR52">
        <v>1</v>
      </c>
      <c r="BS52">
        <f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f>
        <v>5</v>
      </c>
      <c r="BT52">
        <v>1</v>
      </c>
      <c r="BU52">
        <f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f>
        <v>5</v>
      </c>
      <c r="BV52">
        <v>2</v>
      </c>
      <c r="BW52">
        <f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f>
        <v>5</v>
      </c>
      <c r="BX52">
        <v>5</v>
      </c>
      <c r="BY52">
        <f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f>
        <v>5</v>
      </c>
      <c r="BZ52">
        <v>8</v>
      </c>
      <c r="CA52">
        <f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f>
        <v>10</v>
      </c>
      <c r="CB52" t="s">
        <v>784</v>
      </c>
      <c r="CC52" t="str">
        <f>IF(ISTEXT(VLOOKUP(Table_EH_Pre_Survey_May_20__2023_08_229[[#This Row],[Unique Identifier]], 'Post-Survey Full Set'!$D$1:$AU$72, 1, 0)), VLOOKUP(Table_EH_Pre_Survey_May_20__2023_08_229[[#This Row],[Unique Identifier]], 'Post-Survey Full Set'!$D$1:$AU$72, 43, 0), VLOOKUP(Table_EH_Pre_Survey_May_20__2023_08_229[[#This Row],[Unique Identifier]], 'Post-Survey Full Set'!$V$1:$AU$72, 25, 0))</f>
        <v/>
      </c>
    </row>
    <row r="53" spans="1:81" x14ac:dyDescent="0.25">
      <c r="A53" t="s">
        <v>282</v>
      </c>
      <c r="B53" t="s">
        <v>283</v>
      </c>
      <c r="C53" t="s">
        <v>42</v>
      </c>
      <c r="D53" t="s">
        <v>284</v>
      </c>
      <c r="E53" t="str">
        <f>IF(COUNTIF($D$2:$D$103, Table_EH_Pre_Survey_May_20__2023_08_229[[#This Row],[IPAddress - IP Address]])=1, "Unique", "")</f>
        <v>Unique</v>
      </c>
      <c r="F53" t="str">
        <f>VLOOKUP(Table_EH_Pre_Survey_May_20__2023_08_229[[#This Row],[IPAddress - IP Address]], 'Post-Survey Full Set'!D:AU, 2, 0)</f>
        <v>Unique</v>
      </c>
      <c r="G53" t="str">
        <f>VLOOKUP(Table_EH_Pre_Survey_May_20__2023_08_229[[#This Row],[IPAddress - IP Address]], 'Post-Survey Full Set'!$D$1:$AU$72, 1, 0)</f>
        <v>173.54.228.110</v>
      </c>
      <c r="H53" s="35" t="s">
        <v>284</v>
      </c>
      <c r="I53">
        <v>1</v>
      </c>
      <c r="J53" t="s">
        <v>112</v>
      </c>
      <c r="K53">
        <f>_xlfn.NUMBERVALUE(Table_EH_Pre_Survey_May_20__2023_08_229[[#This Row],[Duration (in seconds) - Duration (in seconds)2]])</f>
        <v>216</v>
      </c>
      <c r="L53" t="s">
        <v>285</v>
      </c>
      <c r="M53" t="s">
        <v>114</v>
      </c>
      <c r="N53" t="s">
        <v>286</v>
      </c>
      <c r="O53" t="str">
        <f>VLOOKUP(Table_EH_Pre_Survey_May_20__2023_08_229[[#This Row],[LocationLatitude - Location Latitude]], 'Post-Survey Full Set'!Q:AU, 1, 0)</f>
        <v>40.5704</v>
      </c>
      <c r="P53" t="str">
        <f>VLOOKUP(Table_EH_Pre_Survey_May_20__2023_08_229[[#This Row],[LocationLongitude - Location Longitude]], 'Post-Survey Full Set'!S:AV, 1, 0)</f>
        <v>-74.5369</v>
      </c>
      <c r="Q53" t="s">
        <v>287</v>
      </c>
      <c r="R53" t="s">
        <v>111</v>
      </c>
      <c r="S53" t="s">
        <v>111</v>
      </c>
      <c r="T53" t="s">
        <v>111</v>
      </c>
      <c r="U53" t="s">
        <v>111</v>
      </c>
      <c r="V53" t="s">
        <v>288</v>
      </c>
      <c r="W53" t="str">
        <f>IF(COUNTIF($V$2:$V$103, Table_EH_Pre_Survey_May_20__2023_08_229[[#This Row],[LocationLatitude - Location Latitude]])=1, "Unique", "")</f>
        <v>Unique</v>
      </c>
      <c r="X53" t="str">
        <f>VLOOKUP(Table_EH_Pre_Survey_May_20__2023_08_229[[#This Row],[LocationLatitude - Location Latitude]], 'Post-Survey Full Set'!Q:AU, 2, 0)</f>
        <v>Unique</v>
      </c>
      <c r="Y53" t="s">
        <v>289</v>
      </c>
      <c r="Z53" t="e">
        <f>VLOOKUP(Table_EH_Pre_Survey_May_20__2023_08_229[[#This Row],[ResponseId - Response ID]], 'Post-Survey Full Set'!L:AU, 1, 0)</f>
        <v>#N/A</v>
      </c>
      <c r="AA53" t="s">
        <v>127</v>
      </c>
      <c r="AB53" t="s">
        <v>117</v>
      </c>
      <c r="AC53" s="35" t="s">
        <v>290</v>
      </c>
      <c r="AD53" t="s">
        <v>1275</v>
      </c>
      <c r="AE53" t="str">
        <f>IF(ISTEXT(Table_EH_Pre_Survey_May_20__2023_08_229[[#This Row],[Post-Survey NetID''s]]) = TRUE, "Match", "")</f>
        <v>Match</v>
      </c>
      <c r="AF53" t="str">
        <f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f>
        <v>ep692</v>
      </c>
      <c r="AG53" t="str">
        <f>IF(Table_EH_Pre_Survey_May_20__2023_08_229[[#This Row],[NetID Match]] = "Match",  "Match", IF(ISTEXT(Table_EH_Pre_Survey_May_20__2023_08_229[[#This Row],[IP Address Match]]) = TRUE, "Match", ""))</f>
        <v>Match</v>
      </c>
      <c r="AH53" s="8">
        <v>3</v>
      </c>
      <c r="AI53" s="8">
        <f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f>
        <v>5</v>
      </c>
      <c r="AJ53" s="4">
        <v>2</v>
      </c>
      <c r="AK53" s="4">
        <f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f>
        <v>4</v>
      </c>
      <c r="AL53" s="4">
        <v>3</v>
      </c>
      <c r="AM53" s="4">
        <f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f>
        <v>3</v>
      </c>
      <c r="AN53" s="4">
        <v>5</v>
      </c>
      <c r="AO53" s="4">
        <f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f>
        <v>5</v>
      </c>
      <c r="AP53" s="4">
        <v>3</v>
      </c>
      <c r="AQ53" s="4">
        <f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f>
        <v>4</v>
      </c>
      <c r="AR53" s="4">
        <v>3</v>
      </c>
      <c r="AS53" s="4">
        <f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f>
        <v>3</v>
      </c>
      <c r="AT53" s="4">
        <v>5</v>
      </c>
      <c r="AU53" s="4">
        <f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f>
        <v>5</v>
      </c>
      <c r="AV53" s="4">
        <v>1</v>
      </c>
      <c r="AW53" s="4">
        <f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f>
        <v>2</v>
      </c>
      <c r="AX53" s="2">
        <v>3</v>
      </c>
      <c r="AY53" s="2">
        <f>IF(Table_EH_Pre_Survey_May_20__2023_08_229[[#This Row],[Q4]] = 3, 1, IF(Table_EH_Pre_Survey_May_20__2023_08_229[[#This Row],[Q4]] = 2.5, 0.5, IF(Table_EH_Pre_Survey_May_20__2023_08_229[[#This Row],[Q4]] = 3.5, 0.5, 0)))</f>
        <v>1</v>
      </c>
      <c r="AZ53" s="2">
        <f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f>
        <v>3</v>
      </c>
      <c r="BA53" s="2">
        <f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f>
        <v>1</v>
      </c>
      <c r="BB53" t="s">
        <v>166</v>
      </c>
      <c r="BC53">
        <f>IF(Table_EH_Pre_Survey_May_20__2023_08_229[[#This Row],[Q5 ]]="PM &lt; 2.5 μm", 1, 0)</f>
        <v>0</v>
      </c>
      <c r="BD53" t="str">
        <f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f>
        <v>PM &lt; 2.5 μm</v>
      </c>
      <c r="BE53">
        <f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f>
        <v>1</v>
      </c>
      <c r="BF53" t="s">
        <v>131</v>
      </c>
      <c r="BG53">
        <f>IF(Table_EH_Pre_Survey_May_20__2023_08_229[[#This Row],[Q6]]="Particles of this size are generally absorbed in the respiratory tract and safely excreted in mucus.", 1, 0)</f>
        <v>0</v>
      </c>
      <c r="BH53" t="str">
        <f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f>
        <v>Particles of this size reach the bronchial tree where they corrode the alveolar parenchyma.</v>
      </c>
      <c r="BI53">
        <f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f>
        <v>0</v>
      </c>
      <c r="BJ53" t="s">
        <v>224</v>
      </c>
      <c r="BK53">
        <f>IF(ISNUMBER(SEARCH("Trucks", Table_EH_Pre_Survey_May_20__2023_08_229[[#This Row],[Q7]])) = TRUE, 1, 0) + IF(ISNUMBER(SEARCH("Cars", Table_EH_Pre_Survey_May_20__2023_08_229[[#This Row],[Q7]])) = TRUE, 1, 0) + IF(ISNUMBER(SEARCH("Fireplaces", Table_EH_Pre_Survey_May_20__2023_08_229[[#This Row],[Q7]])) = TRUE, 1, 0) + IF(ISNUMBER(SEARCH("Dirt Roads", Table_EH_Pre_Survey_May_20__2023_08_229[[#This Row],[Q7]])) = TRUE, 1, 0) - IF(ISNUMBER(SEARCH("Electric Vehicles", Table_EH_Pre_Survey_May_20__2023_08_229[[#This Row],[Q7]])) = TRUE, 1, 0) - IF(ISNUMBER(SEARCH("Pollen", Table_EH_Pre_Survey_May_20__2023_08_229[[#This Row],[Q7]])) = TRUE, 1, 0)</f>
        <v>1</v>
      </c>
      <c r="BL53" t="str">
        <f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f>
        <v>Cars,Dirt Roads,Fireplaces,Trucks</v>
      </c>
      <c r="BM53">
        <f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f>
        <v>4</v>
      </c>
      <c r="BN53">
        <v>1</v>
      </c>
      <c r="BO53">
        <f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f>
        <v>2</v>
      </c>
      <c r="BP53">
        <v>1</v>
      </c>
      <c r="BQ53">
        <f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f>
        <v>5</v>
      </c>
      <c r="BR53">
        <v>3</v>
      </c>
      <c r="BS53">
        <f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f>
        <v>5</v>
      </c>
      <c r="BT53">
        <v>1</v>
      </c>
      <c r="BU53">
        <f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f>
        <v>3</v>
      </c>
      <c r="BV53">
        <v>3</v>
      </c>
      <c r="BW53">
        <f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f>
        <v>3</v>
      </c>
      <c r="BX53">
        <v>2</v>
      </c>
      <c r="BY53">
        <f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f>
        <v>4</v>
      </c>
      <c r="BZ53">
        <v>7</v>
      </c>
      <c r="CA53">
        <f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f>
        <v>8</v>
      </c>
      <c r="CB53" t="s">
        <v>291</v>
      </c>
      <c r="CC53" t="str">
        <f>IF(ISTEXT(VLOOKUP(Table_EH_Pre_Survey_May_20__2023_08_229[[#This Row],[Unique Identifier]], 'Post-Survey Full Set'!$D$1:$AU$72, 1, 0)), VLOOKUP(Table_EH_Pre_Survey_May_20__2023_08_229[[#This Row],[Unique Identifier]], 'Post-Survey Full Set'!$D$1:$AU$72, 43, 0), VLOOKUP(Table_EH_Pre_Survey_May_20__2023_08_229[[#This Row],[Unique Identifier]], 'Post-Survey Full Set'!$V$1:$AU$72, 25, 0))</f>
        <v>Any emerging links between climate change and autoimmune diseases; impact of exposure to BPAs, microplastics, endocrine disruptors on maternal/fetal health, endo/repro function, gut microbiome</v>
      </c>
    </row>
    <row r="54" spans="1:81" x14ac:dyDescent="0.25">
      <c r="A54" t="s">
        <v>756</v>
      </c>
      <c r="B54" t="s">
        <v>757</v>
      </c>
      <c r="C54" t="s">
        <v>42</v>
      </c>
      <c r="D54" t="s">
        <v>758</v>
      </c>
      <c r="E54" t="str">
        <f>IF(COUNTIF($D$2:$D$103, Table_EH_Pre_Survey_May_20__2023_08_229[[#This Row],[IPAddress - IP Address]])=1, "Unique", "")</f>
        <v>Unique</v>
      </c>
      <c r="F54" t="e">
        <f>VLOOKUP(Table_EH_Pre_Survey_May_20__2023_08_229[[#This Row],[IPAddress - IP Address]], 'Post-Survey Full Set'!D:AU, 2, 0)</f>
        <v>#N/A</v>
      </c>
      <c r="G54" t="e">
        <f>VLOOKUP(Table_EH_Pre_Survey_May_20__2023_08_229[[#This Row],[IPAddress - IP Address]], 'Post-Survey Full Set'!$D$1:$AU$72, 1, 0)</f>
        <v>#N/A</v>
      </c>
      <c r="H54" s="35" t="e">
        <v>#N/A</v>
      </c>
      <c r="I54">
        <v>1</v>
      </c>
      <c r="J54" t="s">
        <v>112</v>
      </c>
      <c r="K54">
        <f>_xlfn.NUMBERVALUE(Table_EH_Pre_Survey_May_20__2023_08_229[[#This Row],[Duration (in seconds) - Duration (in seconds)2]])</f>
        <v>198</v>
      </c>
      <c r="L54" t="s">
        <v>759</v>
      </c>
      <c r="M54" t="s">
        <v>114</v>
      </c>
      <c r="N54" t="s">
        <v>757</v>
      </c>
      <c r="O54" t="e">
        <f>VLOOKUP(Table_EH_Pre_Survey_May_20__2023_08_229[[#This Row],[LocationLatitude - Location Latitude]], 'Post-Survey Full Set'!Q:AU, 1, 0)</f>
        <v>#N/A</v>
      </c>
      <c r="P54" t="e">
        <f>VLOOKUP(Table_EH_Pre_Survey_May_20__2023_08_229[[#This Row],[LocationLongitude - Location Longitude]], 'Post-Survey Full Set'!S:AV, 1, 0)</f>
        <v>#N/A</v>
      </c>
      <c r="Q54" t="s">
        <v>760</v>
      </c>
      <c r="R54" t="s">
        <v>111</v>
      </c>
      <c r="S54" t="s">
        <v>111</v>
      </c>
      <c r="T54" t="s">
        <v>111</v>
      </c>
      <c r="U54" t="s">
        <v>111</v>
      </c>
      <c r="V54" t="s">
        <v>761</v>
      </c>
      <c r="W54" t="str">
        <f>IF(COUNTIF($V$2:$V$103, Table_EH_Pre_Survey_May_20__2023_08_229[[#This Row],[LocationLatitude - Location Latitude]])=1, "Unique", "")</f>
        <v>Unique</v>
      </c>
      <c r="X54" t="e">
        <f>VLOOKUP(Table_EH_Pre_Survey_May_20__2023_08_229[[#This Row],[LocationLatitude - Location Latitude]], 'Post-Survey Full Set'!Q:AU, 2, 0)</f>
        <v>#N/A</v>
      </c>
      <c r="Y54" t="s">
        <v>762</v>
      </c>
      <c r="Z54" t="e">
        <f>VLOOKUP(Table_EH_Pre_Survey_May_20__2023_08_229[[#This Row],[ResponseId - Response ID]], 'Post-Survey Full Set'!L:AU, 1, 0)</f>
        <v>#N/A</v>
      </c>
      <c r="AA54" t="s">
        <v>127</v>
      </c>
      <c r="AB54" t="s">
        <v>117</v>
      </c>
      <c r="AC54" s="35" t="s">
        <v>763</v>
      </c>
      <c r="AD54" t="s">
        <v>1256</v>
      </c>
      <c r="AE54" t="str">
        <f>IF(ISTEXT(Table_EH_Pre_Survey_May_20__2023_08_229[[#This Row],[Post-Survey NetID''s]]) = TRUE, "Match", "")</f>
        <v>Match</v>
      </c>
      <c r="AF54" t="str">
        <f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f>
        <v>Eia16</v>
      </c>
      <c r="AG54" t="str">
        <f>IF(Table_EH_Pre_Survey_May_20__2023_08_229[[#This Row],[NetID Match]] = "Match",  "Match", IF(ISTEXT(Table_EH_Pre_Survey_May_20__2023_08_229[[#This Row],[IP Address Match]]) = TRUE, "Match", ""))</f>
        <v>Match</v>
      </c>
      <c r="AH54" s="8">
        <v>5</v>
      </c>
      <c r="AI54" s="8">
        <f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f>
        <v>5</v>
      </c>
      <c r="AJ54" s="4">
        <v>5</v>
      </c>
      <c r="AK54" s="4">
        <f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f>
        <v>5</v>
      </c>
      <c r="AL54" s="4">
        <v>3</v>
      </c>
      <c r="AM54" s="4">
        <f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f>
        <v>5</v>
      </c>
      <c r="AN54" s="4">
        <v>5</v>
      </c>
      <c r="AO54" s="4">
        <f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f>
        <v>5</v>
      </c>
      <c r="AP54" s="4">
        <v>4</v>
      </c>
      <c r="AQ54" s="4">
        <f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f>
        <v>5</v>
      </c>
      <c r="AR54" s="4">
        <v>5</v>
      </c>
      <c r="AS54" s="4">
        <f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f>
        <v>5</v>
      </c>
      <c r="AT54" s="4">
        <v>5</v>
      </c>
      <c r="AU54" s="4">
        <f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f>
        <v>5</v>
      </c>
      <c r="AV54" s="4">
        <v>3</v>
      </c>
      <c r="AW54" s="4">
        <f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f>
        <v>5</v>
      </c>
      <c r="AX54" s="2">
        <v>4</v>
      </c>
      <c r="AY54" s="2">
        <f>IF(Table_EH_Pre_Survey_May_20__2023_08_229[[#This Row],[Q4]] = 3, 1, IF(Table_EH_Pre_Survey_May_20__2023_08_229[[#This Row],[Q4]] = 2.5, 0.5, IF(Table_EH_Pre_Survey_May_20__2023_08_229[[#This Row],[Q4]] = 3.5, 0.5, 0)))</f>
        <v>0</v>
      </c>
      <c r="AZ54" s="2">
        <f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f>
        <v>3</v>
      </c>
      <c r="BA54" s="2">
        <f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f>
        <v>1</v>
      </c>
      <c r="BB54" t="s">
        <v>185</v>
      </c>
      <c r="BC54">
        <f>IF(Table_EH_Pre_Survey_May_20__2023_08_229[[#This Row],[Q5 ]]="PM &lt; 2.5 μm", 1, 0)</f>
        <v>0</v>
      </c>
      <c r="BD54" t="str">
        <f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f>
        <v>PM &lt; 0.05 μm</v>
      </c>
      <c r="BE54">
        <f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f>
        <v>0</v>
      </c>
      <c r="BF54" t="s">
        <v>131</v>
      </c>
      <c r="BG54">
        <f>IF(Table_EH_Pre_Survey_May_20__2023_08_229[[#This Row],[Q6]]="Particles of this size are generally absorbed in the respiratory tract and safely excreted in mucus.", 1, 0)</f>
        <v>0</v>
      </c>
      <c r="BH54" t="str">
        <f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f>
        <v>Particles of this size are generally absorbed in the respiratory tract and safely excreted in mucus.</v>
      </c>
      <c r="BI54">
        <f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f>
        <v>1</v>
      </c>
      <c r="BJ54" t="s">
        <v>186</v>
      </c>
      <c r="BK54">
        <f>IF(ISNUMBER(SEARCH("Trucks", Table_EH_Pre_Survey_May_20__2023_08_229[[#This Row],[Q7]])) = TRUE, 1, 0) + IF(ISNUMBER(SEARCH("Cars", Table_EH_Pre_Survey_May_20__2023_08_229[[#This Row],[Q7]])) = TRUE, 1, 0) + IF(ISNUMBER(SEARCH("Fireplaces", Table_EH_Pre_Survey_May_20__2023_08_229[[#This Row],[Q7]])) = TRUE, 1, 0) + IF(ISNUMBER(SEARCH("Dirt Roads", Table_EH_Pre_Survey_May_20__2023_08_229[[#This Row],[Q7]])) = TRUE, 1, 0) - IF(ISNUMBER(SEARCH("Electric Vehicles", Table_EH_Pre_Survey_May_20__2023_08_229[[#This Row],[Q7]])) = TRUE, 1, 0) - IF(ISNUMBER(SEARCH("Pollen", Table_EH_Pre_Survey_May_20__2023_08_229[[#This Row],[Q7]])) = TRUE, 1, 0)</f>
        <v>3</v>
      </c>
      <c r="BL54" t="str">
        <f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f>
        <v>Cars,Dirt Roads,Fireplaces,Trucks</v>
      </c>
      <c r="BM54">
        <f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f>
        <v>4</v>
      </c>
      <c r="BN54">
        <v>4</v>
      </c>
      <c r="BO54">
        <f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f>
        <v>5</v>
      </c>
      <c r="BP54">
        <v>2</v>
      </c>
      <c r="BQ54">
        <f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f>
        <v>3</v>
      </c>
      <c r="BR54">
        <v>4</v>
      </c>
      <c r="BS54">
        <f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f>
        <v>4</v>
      </c>
      <c r="BT54">
        <v>5</v>
      </c>
      <c r="BU54">
        <f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f>
        <v>4</v>
      </c>
      <c r="BV54">
        <v>5</v>
      </c>
      <c r="BW54">
        <f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f>
        <v>5</v>
      </c>
      <c r="BX54">
        <v>4</v>
      </c>
      <c r="BY54">
        <f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f>
        <v>5</v>
      </c>
      <c r="BZ54">
        <v>10</v>
      </c>
      <c r="CA54">
        <f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f>
        <v>10</v>
      </c>
      <c r="CB54" t="s">
        <v>764</v>
      </c>
      <c r="CC54" t="str">
        <f>IF(ISTEXT(VLOOKUP(Table_EH_Pre_Survey_May_20__2023_08_229[[#This Row],[Unique Identifier]], 'Post-Survey Full Set'!$D$1:$AU$72, 1, 0)), VLOOKUP(Table_EH_Pre_Survey_May_20__2023_08_229[[#This Row],[Unique Identifier]], 'Post-Survey Full Set'!$D$1:$AU$72, 43, 0), VLOOKUP(Table_EH_Pre_Survey_May_20__2023_08_229[[#This Row],[Unique Identifier]], 'Post-Survey Full Set'!$V$1:$AU$72, 25, 0))</f>
        <v xml:space="preserve">Common household animals that contribute </v>
      </c>
    </row>
    <row r="55" spans="1:81" hidden="1" x14ac:dyDescent="0.25">
      <c r="A55" t="s">
        <v>197</v>
      </c>
      <c r="B55" t="s">
        <v>198</v>
      </c>
      <c r="C55" t="s">
        <v>42</v>
      </c>
      <c r="D55" t="s">
        <v>199</v>
      </c>
      <c r="E55" t="str">
        <f>IF(COUNTIF($D$2:$D$103, Table_EH_Pre_Survey_May_20__2023_08_229[[#This Row],[IPAddress - IP Address]])=1, "Unique", "")</f>
        <v>Unique</v>
      </c>
      <c r="F55" t="e">
        <f>VLOOKUP(Table_EH_Pre_Survey_May_20__2023_08_229[[#This Row],[IPAddress - IP Address]], 'Post-Survey Full Set'!D:AU, 2, 0)</f>
        <v>#N/A</v>
      </c>
      <c r="G55" t="e">
        <f>VLOOKUP(Table_EH_Pre_Survey_May_20__2023_08_229[[#This Row],[IPAddress - IP Address]], 'Post-Survey Full Set'!$D$1:$AU$72, 1, 0)</f>
        <v>#N/A</v>
      </c>
      <c r="H55" s="35" t="e">
        <v>#N/A</v>
      </c>
      <c r="I55">
        <v>1</v>
      </c>
      <c r="J55" t="s">
        <v>112</v>
      </c>
      <c r="K55">
        <f>_xlfn.NUMBERVALUE(Table_EH_Pre_Survey_May_20__2023_08_229[[#This Row],[Duration (in seconds) - Duration (in seconds)2]])</f>
        <v>234</v>
      </c>
      <c r="L55" t="s">
        <v>200</v>
      </c>
      <c r="M55" t="s">
        <v>114</v>
      </c>
      <c r="N55" t="s">
        <v>201</v>
      </c>
      <c r="O55" t="e">
        <f>VLOOKUP(Table_EH_Pre_Survey_May_20__2023_08_229[[#This Row],[LocationLatitude - Location Latitude]], 'Post-Survey Full Set'!Q:AU, 1, 0)</f>
        <v>#N/A</v>
      </c>
      <c r="P55" t="str">
        <f>VLOOKUP(Table_EH_Pre_Survey_May_20__2023_08_229[[#This Row],[LocationLongitude - Location Longitude]], 'Post-Survey Full Set'!S:AV, 1, 0)</f>
        <v>-73.981</v>
      </c>
      <c r="Q55" t="s">
        <v>202</v>
      </c>
      <c r="R55" t="s">
        <v>111</v>
      </c>
      <c r="S55" t="s">
        <v>111</v>
      </c>
      <c r="T55" t="s">
        <v>111</v>
      </c>
      <c r="U55" t="s">
        <v>111</v>
      </c>
      <c r="V55" t="s">
        <v>203</v>
      </c>
      <c r="W55" t="str">
        <f>IF(COUNTIF($V$2:$V$103, Table_EH_Pre_Survey_May_20__2023_08_229[[#This Row],[LocationLatitude - Location Latitude]])=1, "Unique", "")</f>
        <v>Unique</v>
      </c>
      <c r="X55" t="e">
        <f>VLOOKUP(Table_EH_Pre_Survey_May_20__2023_08_229[[#This Row],[LocationLatitude - Location Latitude]], 'Post-Survey Full Set'!Q:AU, 2, 0)</f>
        <v>#N/A</v>
      </c>
      <c r="Y55" t="s">
        <v>204</v>
      </c>
      <c r="Z55" t="e">
        <f>VLOOKUP(Table_EH_Pre_Survey_May_20__2023_08_229[[#This Row],[ResponseId - Response ID]], 'Post-Survey Full Set'!L:AU, 1, 0)</f>
        <v>#N/A</v>
      </c>
      <c r="AA55" t="s">
        <v>127</v>
      </c>
      <c r="AB55" t="s">
        <v>117</v>
      </c>
      <c r="AC55" s="35" t="s">
        <v>205</v>
      </c>
      <c r="AD55" t="e">
        <v>#N/A</v>
      </c>
      <c r="AE55" t="str">
        <f>IF(ISTEXT(Table_EH_Pre_Survey_May_20__2023_08_229[[#This Row],[Post-Survey NetID''s]]) = TRUE, "Match", "")</f>
        <v/>
      </c>
      <c r="AF55" t="str">
        <f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f>
        <v/>
      </c>
      <c r="AG55" t="str">
        <f>IF(Table_EH_Pre_Survey_May_20__2023_08_229[[#This Row],[NetID Match]] = "Match",  "Match", IF(ISTEXT(Table_EH_Pre_Survey_May_20__2023_08_229[[#This Row],[IP Address Match]]) = TRUE, "Match", ""))</f>
        <v/>
      </c>
      <c r="AH55" s="8">
        <v>5</v>
      </c>
      <c r="AI55" s="8">
        <f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f>
        <v>3</v>
      </c>
      <c r="AJ55" s="4">
        <v>5</v>
      </c>
      <c r="AK55" s="4">
        <f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f>
        <v>4</v>
      </c>
      <c r="AL55" s="4">
        <v>5</v>
      </c>
      <c r="AM55" s="4">
        <f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f>
        <v>4</v>
      </c>
      <c r="AN55" s="4">
        <v>5</v>
      </c>
      <c r="AO55" s="4">
        <f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f>
        <v>4</v>
      </c>
      <c r="AP55" s="4">
        <v>4</v>
      </c>
      <c r="AQ55" s="4">
        <f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f>
        <v>4</v>
      </c>
      <c r="AR55" s="4">
        <v>4</v>
      </c>
      <c r="AS55" s="4">
        <f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f>
        <v>5</v>
      </c>
      <c r="AT55" s="4">
        <v>5</v>
      </c>
      <c r="AU55" s="4">
        <f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f>
        <v>4</v>
      </c>
      <c r="AV55" s="4">
        <v>5</v>
      </c>
      <c r="AW55" s="4">
        <f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f>
        <v>4</v>
      </c>
      <c r="AX55" s="2">
        <v>3.5</v>
      </c>
      <c r="AY55" s="2">
        <f>IF(Table_EH_Pre_Survey_May_20__2023_08_229[[#This Row],[Q4]] = 3, 1, IF(Table_EH_Pre_Survey_May_20__2023_08_229[[#This Row],[Q4]] = 2.5, 0.5, IF(Table_EH_Pre_Survey_May_20__2023_08_229[[#This Row],[Q4]] = 3.5, 0.5, 0)))</f>
        <v>0.5</v>
      </c>
      <c r="AZ55" s="2">
        <f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f>
        <v>4</v>
      </c>
      <c r="BA55" s="2">
        <f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f>
        <v>0</v>
      </c>
      <c r="BB55" t="s">
        <v>130</v>
      </c>
      <c r="BC55">
        <f>IF(Table_EH_Pre_Survey_May_20__2023_08_229[[#This Row],[Q5 ]]="PM &lt; 2.5 μm", 1, 0)</f>
        <v>0</v>
      </c>
      <c r="BD55" t="str">
        <f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f>
        <v>PM &lt; 0.25 μm</v>
      </c>
      <c r="BE55">
        <f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f>
        <v>0</v>
      </c>
      <c r="BF55" t="s">
        <v>141</v>
      </c>
      <c r="BG55">
        <f>IF(Table_EH_Pre_Survey_May_20__2023_08_229[[#This Row],[Q6]]="Particles of this size are generally absorbed in the respiratory tract and safely excreted in mucus.", 1, 0)</f>
        <v>0</v>
      </c>
      <c r="BH55" t="str">
        <f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f>
        <v>Particles of this size reach the bronchial tree where they corrode the alveolar parenchyma.</v>
      </c>
      <c r="BI55">
        <f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f>
        <v>0</v>
      </c>
      <c r="BJ55" t="s">
        <v>206</v>
      </c>
      <c r="BK55">
        <f>IF(ISNUMBER(SEARCH("Trucks", Table_EH_Pre_Survey_May_20__2023_08_229[[#This Row],[Q7]])) = TRUE, 1, 0) + IF(ISNUMBER(SEARCH("Cars", Table_EH_Pre_Survey_May_20__2023_08_229[[#This Row],[Q7]])) = TRUE, 1, 0) + IF(ISNUMBER(SEARCH("Fireplaces", Table_EH_Pre_Survey_May_20__2023_08_229[[#This Row],[Q7]])) = TRUE, 1, 0) + IF(ISNUMBER(SEARCH("Dirt Roads", Table_EH_Pre_Survey_May_20__2023_08_229[[#This Row],[Q7]])) = TRUE, 1, 0) - IF(ISNUMBER(SEARCH("Electric Vehicles", Table_EH_Pre_Survey_May_20__2023_08_229[[#This Row],[Q7]])) = TRUE, 1, 0) - IF(ISNUMBER(SEARCH("Pollen", Table_EH_Pre_Survey_May_20__2023_08_229[[#This Row],[Q7]])) = TRUE, 1, 0)</f>
        <v>2</v>
      </c>
      <c r="BL55" t="str">
        <f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f>
        <v>Cars,Dirt Roads,Electric Vehicles,Fireplaces,Trucks</v>
      </c>
      <c r="BM55">
        <f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f>
        <v>3</v>
      </c>
      <c r="BN55">
        <v>5</v>
      </c>
      <c r="BO55">
        <f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f>
        <v>5</v>
      </c>
      <c r="BP55">
        <v>4</v>
      </c>
      <c r="BQ55">
        <f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f>
        <v>5</v>
      </c>
      <c r="BR55">
        <v>5</v>
      </c>
      <c r="BS55">
        <f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f>
        <v>5</v>
      </c>
      <c r="BT55">
        <v>4</v>
      </c>
      <c r="BU55">
        <f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f>
        <v>5</v>
      </c>
      <c r="BV55">
        <v>5</v>
      </c>
      <c r="BW55">
        <f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f>
        <v>5</v>
      </c>
      <c r="BX55">
        <v>4</v>
      </c>
      <c r="BY55">
        <f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f>
        <v>5</v>
      </c>
      <c r="BZ55">
        <v>9</v>
      </c>
      <c r="CA55">
        <f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f>
        <v>10</v>
      </c>
      <c r="CB55" t="s">
        <v>208</v>
      </c>
      <c r="CC55" t="str">
        <f>IF(ISTEXT(VLOOKUP(Table_EH_Pre_Survey_May_20__2023_08_229[[#This Row],[Unique Identifier]], 'Post-Survey Full Set'!$D$1:$AU$72, 1, 0)), VLOOKUP(Table_EH_Pre_Survey_May_20__2023_08_229[[#This Row],[Unique Identifier]], 'Post-Survey Full Set'!$D$1:$AU$72, 43, 0), VLOOKUP(Table_EH_Pre_Survey_May_20__2023_08_229[[#This Row],[Unique Identifier]], 'Post-Survey Full Set'!$V$1:$AU$72, 25, 0))</f>
        <v/>
      </c>
    </row>
    <row r="56" spans="1:81" x14ac:dyDescent="0.25">
      <c r="A56" t="s">
        <v>727</v>
      </c>
      <c r="B56" t="s">
        <v>728</v>
      </c>
      <c r="C56" t="s">
        <v>42</v>
      </c>
      <c r="D56" t="s">
        <v>389</v>
      </c>
      <c r="E56" t="str">
        <f>IF(COUNTIF($D$2:$D$103, Table_EH_Pre_Survey_May_20__2023_08_229[[#This Row],[IPAddress - IP Address]])=1, "Unique", "")</f>
        <v/>
      </c>
      <c r="F56" t="str">
        <f>VLOOKUP(Table_EH_Pre_Survey_May_20__2023_08_229[[#This Row],[IPAddress - IP Address]], 'Post-Survey Full Set'!D:AU, 2, 0)</f>
        <v/>
      </c>
      <c r="G56" t="str">
        <f>VLOOKUP(Table_EH_Pre_Survey_May_20__2023_08_229[[#This Row],[IPAddress - IP Address]], 'Post-Survey Full Set'!$D$1:$AU$72, 1, 0)</f>
        <v>130.219.10.90</v>
      </c>
      <c r="I56">
        <v>1</v>
      </c>
      <c r="J56" t="s">
        <v>112</v>
      </c>
      <c r="K56">
        <f>_xlfn.NUMBERVALUE(Table_EH_Pre_Survey_May_20__2023_08_229[[#This Row],[Duration (in seconds) - Duration (in seconds)2]])</f>
        <v>81</v>
      </c>
      <c r="L56" t="s">
        <v>729</v>
      </c>
      <c r="M56" t="s">
        <v>114</v>
      </c>
      <c r="N56" t="s">
        <v>728</v>
      </c>
      <c r="O56" t="str">
        <f>VLOOKUP(Table_EH_Pre_Survey_May_20__2023_08_229[[#This Row],[LocationLatitude - Location Latitude]], 'Post-Survey Full Set'!Q:AU, 1, 0)</f>
        <v>40.7337</v>
      </c>
      <c r="P56" t="str">
        <f>VLOOKUP(Table_EH_Pre_Survey_May_20__2023_08_229[[#This Row],[LocationLongitude - Location Longitude]], 'Post-Survey Full Set'!S:AV, 1, 0)</f>
        <v>-74.1939</v>
      </c>
      <c r="Q56" t="s">
        <v>730</v>
      </c>
      <c r="R56" t="s">
        <v>111</v>
      </c>
      <c r="S56" t="s">
        <v>111</v>
      </c>
      <c r="T56" t="s">
        <v>111</v>
      </c>
      <c r="U56" t="s">
        <v>111</v>
      </c>
      <c r="V56" t="s">
        <v>392</v>
      </c>
      <c r="W56" t="str">
        <f>IF(COUNTIF($V$2:$V$103, Table_EH_Pre_Survey_May_20__2023_08_229[[#This Row],[LocationLatitude - Location Latitude]])=1, "Unique", "")</f>
        <v/>
      </c>
      <c r="X56" t="str">
        <f>VLOOKUP(Table_EH_Pre_Survey_May_20__2023_08_229[[#This Row],[LocationLatitude - Location Latitude]], 'Post-Survey Full Set'!Q:AU, 2, 0)</f>
        <v/>
      </c>
      <c r="Y56" t="s">
        <v>393</v>
      </c>
      <c r="Z56" t="e">
        <f>VLOOKUP(Table_EH_Pre_Survey_May_20__2023_08_229[[#This Row],[ResponseId - Response ID]], 'Post-Survey Full Set'!L:AU, 1, 0)</f>
        <v>#N/A</v>
      </c>
      <c r="AA56" t="s">
        <v>127</v>
      </c>
      <c r="AB56" t="s">
        <v>117</v>
      </c>
      <c r="AC56" s="35" t="s">
        <v>731</v>
      </c>
      <c r="AD56" t="s">
        <v>731</v>
      </c>
      <c r="AE56" t="str">
        <f>IF(ISTEXT(Table_EH_Pre_Survey_May_20__2023_08_229[[#This Row],[Post-Survey NetID''s]]) = TRUE, "Match", "")</f>
        <v>Match</v>
      </c>
      <c r="AF56" t="str">
        <f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f>
        <v>ebm87</v>
      </c>
      <c r="AG56" t="str">
        <f>IF(Table_EH_Pre_Survey_May_20__2023_08_229[[#This Row],[NetID Match]] = "Match",  "Match", IF(ISTEXT(Table_EH_Pre_Survey_May_20__2023_08_229[[#This Row],[IP Address Match]]) = TRUE, "Match", ""))</f>
        <v>Match</v>
      </c>
      <c r="AH56" s="8">
        <v>4</v>
      </c>
      <c r="AI56" s="8">
        <f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f>
        <v>5</v>
      </c>
      <c r="AJ56" s="4">
        <v>5</v>
      </c>
      <c r="AK56" s="4">
        <f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f>
        <v>5</v>
      </c>
      <c r="AL56" s="4">
        <v>4</v>
      </c>
      <c r="AM56" s="4">
        <f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f>
        <v>5</v>
      </c>
      <c r="AN56" s="4">
        <v>5</v>
      </c>
      <c r="AO56" s="4">
        <f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f>
        <v>5</v>
      </c>
      <c r="AP56" s="4">
        <v>4</v>
      </c>
      <c r="AQ56" s="4">
        <f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f>
        <v>5</v>
      </c>
      <c r="AR56" s="4">
        <v>3</v>
      </c>
      <c r="AS56" s="4">
        <f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f>
        <v>5</v>
      </c>
      <c r="AT56" s="4">
        <v>5</v>
      </c>
      <c r="AU56" s="4">
        <f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f>
        <v>5</v>
      </c>
      <c r="AV56" s="4">
        <v>4</v>
      </c>
      <c r="AW56" s="4">
        <f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f>
        <v>5</v>
      </c>
      <c r="AX56" s="2">
        <v>4</v>
      </c>
      <c r="AY56" s="2">
        <f>IF(Table_EH_Pre_Survey_May_20__2023_08_229[[#This Row],[Q4]] = 3, 1, IF(Table_EH_Pre_Survey_May_20__2023_08_229[[#This Row],[Q4]] = 2.5, 0.5, IF(Table_EH_Pre_Survey_May_20__2023_08_229[[#This Row],[Q4]] = 3.5, 0.5, 0)))</f>
        <v>0</v>
      </c>
      <c r="AZ56" s="2">
        <f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f>
        <v>3</v>
      </c>
      <c r="BA56" s="2">
        <f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f>
        <v>1</v>
      </c>
      <c r="BB56" t="s">
        <v>154</v>
      </c>
      <c r="BC56">
        <f>IF(Table_EH_Pre_Survey_May_20__2023_08_229[[#This Row],[Q5 ]]="PM &lt; 2.5 μm", 1, 0)</f>
        <v>0</v>
      </c>
      <c r="BD56" t="str">
        <f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f>
        <v>PM &lt; 2.5 μm</v>
      </c>
      <c r="BE56">
        <f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f>
        <v>1</v>
      </c>
      <c r="BF56" t="s">
        <v>141</v>
      </c>
      <c r="BG56">
        <f>IF(Table_EH_Pre_Survey_May_20__2023_08_229[[#This Row],[Q6]]="Particles of this size are generally absorbed in the respiratory tract and safely excreted in mucus.", 1, 0)</f>
        <v>0</v>
      </c>
      <c r="BH56" t="str">
        <f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f>
        <v>Particles of this size are generally absorbed in the respiratory tract and safely excreted in mucus.</v>
      </c>
      <c r="BI56">
        <f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f>
        <v>1</v>
      </c>
      <c r="BJ56" t="s">
        <v>280</v>
      </c>
      <c r="BK56">
        <f>IF(ISNUMBER(SEARCH("Trucks", Table_EH_Pre_Survey_May_20__2023_08_229[[#This Row],[Q7]])) = TRUE, 1, 0) + IF(ISNUMBER(SEARCH("Cars", Table_EH_Pre_Survey_May_20__2023_08_229[[#This Row],[Q7]])) = TRUE, 1, 0) + IF(ISNUMBER(SEARCH("Fireplaces", Table_EH_Pre_Survey_May_20__2023_08_229[[#This Row],[Q7]])) = TRUE, 1, 0) + IF(ISNUMBER(SEARCH("Dirt Roads", Table_EH_Pre_Survey_May_20__2023_08_229[[#This Row],[Q7]])) = TRUE, 1, 0) - IF(ISNUMBER(SEARCH("Electric Vehicles", Table_EH_Pre_Survey_May_20__2023_08_229[[#This Row],[Q7]])) = TRUE, 1, 0) - IF(ISNUMBER(SEARCH("Pollen", Table_EH_Pre_Survey_May_20__2023_08_229[[#This Row],[Q7]])) = TRUE, 1, 0)</f>
        <v>2</v>
      </c>
      <c r="BL56" t="str">
        <f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f>
        <v>Cars,Fireplaces,Trucks</v>
      </c>
      <c r="BM56">
        <f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f>
        <v>3</v>
      </c>
      <c r="BN56">
        <v>5</v>
      </c>
      <c r="BO56">
        <f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f>
        <v>5</v>
      </c>
      <c r="BP56">
        <v>3</v>
      </c>
      <c r="BQ56">
        <f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f>
        <v>5</v>
      </c>
      <c r="BR56">
        <v>5</v>
      </c>
      <c r="BS56">
        <f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f>
        <v>5</v>
      </c>
      <c r="BT56">
        <v>5</v>
      </c>
      <c r="BU56">
        <f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f>
        <v>5</v>
      </c>
      <c r="BV56">
        <v>5</v>
      </c>
      <c r="BW56">
        <f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f>
        <v>5</v>
      </c>
      <c r="BX56">
        <v>4</v>
      </c>
      <c r="BY56">
        <f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f>
        <v>5</v>
      </c>
      <c r="BZ56">
        <v>9</v>
      </c>
      <c r="CA56">
        <f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f>
        <v>10</v>
      </c>
      <c r="CB56" t="s">
        <v>111</v>
      </c>
      <c r="CC56" t="str">
        <f>IF(ISTEXT(VLOOKUP(Table_EH_Pre_Survey_May_20__2023_08_229[[#This Row],[Unique Identifier]], 'Post-Survey Full Set'!$D$1:$AU$72, 1, 0)), VLOOKUP(Table_EH_Pre_Survey_May_20__2023_08_229[[#This Row],[Unique Identifier]], 'Post-Survey Full Set'!$D$1:$AU$72, 43, 0), VLOOKUP(Table_EH_Pre_Survey_May_20__2023_08_229[[#This Row],[Unique Identifier]], 'Post-Survey Full Set'!$V$1:$AU$72, 25, 0))</f>
        <v/>
      </c>
    </row>
    <row r="57" spans="1:81" hidden="1" x14ac:dyDescent="0.25">
      <c r="A57" t="s">
        <v>672</v>
      </c>
      <c r="B57" t="s">
        <v>673</v>
      </c>
      <c r="C57" t="s">
        <v>42</v>
      </c>
      <c r="D57" t="s">
        <v>674</v>
      </c>
      <c r="E57" t="str">
        <f>IF(COUNTIF($D$2:$D$103, Table_EH_Pre_Survey_May_20__2023_08_229[[#This Row],[IPAddress - IP Address]])=1, "Unique", "")</f>
        <v>Unique</v>
      </c>
      <c r="F57" t="e">
        <f>VLOOKUP(Table_EH_Pre_Survey_May_20__2023_08_229[[#This Row],[IPAddress - IP Address]], 'Post-Survey Full Set'!D:AU, 2, 0)</f>
        <v>#N/A</v>
      </c>
      <c r="G57" t="e">
        <f>VLOOKUP(Table_EH_Pre_Survey_May_20__2023_08_229[[#This Row],[IPAddress - IP Address]], 'Post-Survey Full Set'!$D$1:$AU$72, 1, 0)</f>
        <v>#N/A</v>
      </c>
      <c r="H57" s="35" t="e">
        <v>#N/A</v>
      </c>
      <c r="I57">
        <v>1</v>
      </c>
      <c r="J57" t="s">
        <v>112</v>
      </c>
      <c r="K57">
        <f>_xlfn.NUMBERVALUE(Table_EH_Pre_Survey_May_20__2023_08_229[[#This Row],[Duration (in seconds) - Duration (in seconds)2]])</f>
        <v>320</v>
      </c>
      <c r="L57" t="s">
        <v>675</v>
      </c>
      <c r="M57" t="s">
        <v>114</v>
      </c>
      <c r="N57" t="s">
        <v>673</v>
      </c>
      <c r="O57" t="str">
        <f>VLOOKUP(Table_EH_Pre_Survey_May_20__2023_08_229[[#This Row],[LocationLatitude - Location Latitude]], 'Post-Survey Full Set'!Q:AU, 1, 0)</f>
        <v>40.488</v>
      </c>
      <c r="P57" t="str">
        <f>VLOOKUP(Table_EH_Pre_Survey_May_20__2023_08_229[[#This Row],[LocationLongitude - Location Longitude]], 'Post-Survey Full Set'!S:AV, 1, 0)</f>
        <v>-74.4544</v>
      </c>
      <c r="Q57" t="s">
        <v>676</v>
      </c>
      <c r="R57" t="s">
        <v>111</v>
      </c>
      <c r="S57" t="s">
        <v>111</v>
      </c>
      <c r="T57" t="s">
        <v>111</v>
      </c>
      <c r="U57" t="s">
        <v>111</v>
      </c>
      <c r="V57" t="s">
        <v>351</v>
      </c>
      <c r="W57" t="str">
        <f>IF(COUNTIF($V$2:$V$103, Table_EH_Pre_Survey_May_20__2023_08_229[[#This Row],[LocationLatitude - Location Latitude]])=1, "Unique", "")</f>
        <v/>
      </c>
      <c r="X57" t="str">
        <f>VLOOKUP(Table_EH_Pre_Survey_May_20__2023_08_229[[#This Row],[LocationLatitude - Location Latitude]], 'Post-Survey Full Set'!Q:AU, 2, 0)</f>
        <v/>
      </c>
      <c r="Y57" t="s">
        <v>352</v>
      </c>
      <c r="Z57" t="e">
        <f>VLOOKUP(Table_EH_Pre_Survey_May_20__2023_08_229[[#This Row],[ResponseId - Response ID]], 'Post-Survey Full Set'!L:AU, 1, 0)</f>
        <v>#N/A</v>
      </c>
      <c r="AA57" t="s">
        <v>487</v>
      </c>
      <c r="AB57" t="s">
        <v>117</v>
      </c>
      <c r="AC57" s="35" t="s">
        <v>677</v>
      </c>
      <c r="AD57" t="e">
        <v>#N/A</v>
      </c>
      <c r="AE57" t="str">
        <f>IF(ISTEXT(Table_EH_Pre_Survey_May_20__2023_08_229[[#This Row],[Post-Survey NetID''s]]) = TRUE, "Match", "")</f>
        <v/>
      </c>
      <c r="AF57" t="str">
        <f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f>
        <v/>
      </c>
      <c r="AG57" t="str">
        <f>IF(Table_EH_Pre_Survey_May_20__2023_08_229[[#This Row],[NetID Match]] = "Match",  "Match", IF(ISTEXT(Table_EH_Pre_Survey_May_20__2023_08_229[[#This Row],[IP Address Match]]) = TRUE, "Match", ""))</f>
        <v/>
      </c>
      <c r="AH57" s="8">
        <v>5</v>
      </c>
      <c r="AI57" s="8">
        <f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f>
        <v>3</v>
      </c>
      <c r="AJ57" s="4">
        <v>3</v>
      </c>
      <c r="AK57" s="4">
        <f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f>
        <v>4</v>
      </c>
      <c r="AL57" s="4">
        <v>5</v>
      </c>
      <c r="AM57" s="4">
        <f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f>
        <v>4</v>
      </c>
      <c r="AN57" s="4">
        <v>5</v>
      </c>
      <c r="AO57" s="4">
        <f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f>
        <v>4</v>
      </c>
      <c r="AP57" s="4">
        <v>3</v>
      </c>
      <c r="AQ57" s="4">
        <f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f>
        <v>4</v>
      </c>
      <c r="AR57" s="4">
        <v>4</v>
      </c>
      <c r="AS57" s="4">
        <f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f>
        <v>5</v>
      </c>
      <c r="AT57" s="4">
        <v>5</v>
      </c>
      <c r="AU57" s="4">
        <f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f>
        <v>4</v>
      </c>
      <c r="AV57" s="4">
        <v>5</v>
      </c>
      <c r="AW57" s="4">
        <f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f>
        <v>4</v>
      </c>
      <c r="AX57" s="2">
        <v>3</v>
      </c>
      <c r="AY57" s="2">
        <f>IF(Table_EH_Pre_Survey_May_20__2023_08_229[[#This Row],[Q4]] = 3, 1, IF(Table_EH_Pre_Survey_May_20__2023_08_229[[#This Row],[Q4]] = 2.5, 0.5, IF(Table_EH_Pre_Survey_May_20__2023_08_229[[#This Row],[Q4]] = 3.5, 0.5, 0)))</f>
        <v>1</v>
      </c>
      <c r="AZ57" s="2">
        <f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f>
        <v>4</v>
      </c>
      <c r="BA57" s="2">
        <f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f>
        <v>0</v>
      </c>
      <c r="BB57" t="s">
        <v>154</v>
      </c>
      <c r="BC57">
        <f>IF(Table_EH_Pre_Survey_May_20__2023_08_229[[#This Row],[Q5 ]]="PM &lt; 2.5 μm", 1, 0)</f>
        <v>0</v>
      </c>
      <c r="BD57" t="str">
        <f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f>
        <v>PM &lt; 0.25 μm</v>
      </c>
      <c r="BE57">
        <f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f>
        <v>0</v>
      </c>
      <c r="BF57" t="s">
        <v>175</v>
      </c>
      <c r="BG57">
        <f>IF(Table_EH_Pre_Survey_May_20__2023_08_229[[#This Row],[Q6]]="Particles of this size are generally absorbed in the respiratory tract and safely excreted in mucus.", 1, 0)</f>
        <v>1</v>
      </c>
      <c r="BH57" t="str">
        <f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f>
        <v>Particles of this size reach the bronchial tree where they corrode the alveolar parenchyma.</v>
      </c>
      <c r="BI57">
        <f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f>
        <v>0</v>
      </c>
      <c r="BJ57" t="s">
        <v>186</v>
      </c>
      <c r="BK57">
        <f>IF(ISNUMBER(SEARCH("Trucks", Table_EH_Pre_Survey_May_20__2023_08_229[[#This Row],[Q7]])) = TRUE, 1, 0) + IF(ISNUMBER(SEARCH("Cars", Table_EH_Pre_Survey_May_20__2023_08_229[[#This Row],[Q7]])) = TRUE, 1, 0) + IF(ISNUMBER(SEARCH("Fireplaces", Table_EH_Pre_Survey_May_20__2023_08_229[[#This Row],[Q7]])) = TRUE, 1, 0) + IF(ISNUMBER(SEARCH("Dirt Roads", Table_EH_Pre_Survey_May_20__2023_08_229[[#This Row],[Q7]])) = TRUE, 1, 0) - IF(ISNUMBER(SEARCH("Electric Vehicles", Table_EH_Pre_Survey_May_20__2023_08_229[[#This Row],[Q7]])) = TRUE, 1, 0) - IF(ISNUMBER(SEARCH("Pollen", Table_EH_Pre_Survey_May_20__2023_08_229[[#This Row],[Q7]])) = TRUE, 1, 0)</f>
        <v>3</v>
      </c>
      <c r="BL57" t="str">
        <f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f>
        <v>Cars,Dirt Roads,Electric Vehicles,Fireplaces,Trucks</v>
      </c>
      <c r="BM57">
        <f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f>
        <v>3</v>
      </c>
      <c r="BN57">
        <v>3</v>
      </c>
      <c r="BO57">
        <f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f>
        <v>5</v>
      </c>
      <c r="BP57">
        <v>4</v>
      </c>
      <c r="BQ57">
        <f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f>
        <v>5</v>
      </c>
      <c r="BR57">
        <v>4</v>
      </c>
      <c r="BS57">
        <f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f>
        <v>5</v>
      </c>
      <c r="BT57">
        <v>4</v>
      </c>
      <c r="BU57">
        <f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f>
        <v>5</v>
      </c>
      <c r="BV57">
        <v>4</v>
      </c>
      <c r="BW57">
        <f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f>
        <v>5</v>
      </c>
      <c r="BX57">
        <v>4</v>
      </c>
      <c r="BY57">
        <f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f>
        <v>5</v>
      </c>
      <c r="BZ57">
        <v>8</v>
      </c>
      <c r="CA57">
        <f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f>
        <v>10</v>
      </c>
      <c r="CB57" t="s">
        <v>678</v>
      </c>
      <c r="CC57" t="str">
        <f>IF(ISTEXT(VLOOKUP(Table_EH_Pre_Survey_May_20__2023_08_229[[#This Row],[Unique Identifier]], 'Post-Survey Full Set'!$D$1:$AU$72, 1, 0)), VLOOKUP(Table_EH_Pre_Survey_May_20__2023_08_229[[#This Row],[Unique Identifier]], 'Post-Survey Full Set'!$D$1:$AU$72, 43, 0), VLOOKUP(Table_EH_Pre_Survey_May_20__2023_08_229[[#This Row],[Unique Identifier]], 'Post-Survey Full Set'!$V$1:$AU$72, 25, 0))</f>
        <v/>
      </c>
    </row>
    <row r="58" spans="1:81" x14ac:dyDescent="0.25">
      <c r="A58" t="s">
        <v>443</v>
      </c>
      <c r="B58" t="s">
        <v>444</v>
      </c>
      <c r="C58" t="s">
        <v>42</v>
      </c>
      <c r="D58" t="s">
        <v>445</v>
      </c>
      <c r="E58" t="str">
        <f>IF(COUNTIF($D$2:$D$103, Table_EH_Pre_Survey_May_20__2023_08_229[[#This Row],[IPAddress - IP Address]])=1, "Unique", "")</f>
        <v>Unique</v>
      </c>
      <c r="F58" t="e">
        <f>VLOOKUP(Table_EH_Pre_Survey_May_20__2023_08_229[[#This Row],[IPAddress - IP Address]], 'Post-Survey Full Set'!D:AU, 2, 0)</f>
        <v>#N/A</v>
      </c>
      <c r="G58" t="e">
        <f>VLOOKUP(Table_EH_Pre_Survey_May_20__2023_08_229[[#This Row],[IPAddress - IP Address]], 'Post-Survey Full Set'!$D$1:$AU$72, 1, 0)</f>
        <v>#N/A</v>
      </c>
      <c r="H58" s="35" t="e">
        <v>#N/A</v>
      </c>
      <c r="I58">
        <v>1</v>
      </c>
      <c r="J58" t="s">
        <v>112</v>
      </c>
      <c r="K58">
        <f>_xlfn.NUMBERVALUE(Table_EH_Pre_Survey_May_20__2023_08_229[[#This Row],[Duration (in seconds) - Duration (in seconds)2]])</f>
        <v>77</v>
      </c>
      <c r="L58" t="s">
        <v>446</v>
      </c>
      <c r="M58" t="s">
        <v>114</v>
      </c>
      <c r="N58" t="s">
        <v>447</v>
      </c>
      <c r="O58" t="str">
        <f>VLOOKUP(Table_EH_Pre_Survey_May_20__2023_08_229[[#This Row],[LocationLatitude - Location Latitude]], 'Post-Survey Full Set'!Q:AU, 1, 0)</f>
        <v>40.488</v>
      </c>
      <c r="P58" t="str">
        <f>VLOOKUP(Table_EH_Pre_Survey_May_20__2023_08_229[[#This Row],[LocationLongitude - Location Longitude]], 'Post-Survey Full Set'!S:AV, 1, 0)</f>
        <v>-74.4544</v>
      </c>
      <c r="Q58" t="s">
        <v>448</v>
      </c>
      <c r="R58" t="s">
        <v>111</v>
      </c>
      <c r="S58" t="s">
        <v>111</v>
      </c>
      <c r="T58" t="s">
        <v>111</v>
      </c>
      <c r="U58" t="s">
        <v>111</v>
      </c>
      <c r="V58" t="s">
        <v>351</v>
      </c>
      <c r="W58" t="str">
        <f>IF(COUNTIF($V$2:$V$103, Table_EH_Pre_Survey_May_20__2023_08_229[[#This Row],[LocationLatitude - Location Latitude]])=1, "Unique", "")</f>
        <v/>
      </c>
      <c r="X58" t="str">
        <f>VLOOKUP(Table_EH_Pre_Survey_May_20__2023_08_229[[#This Row],[LocationLatitude - Location Latitude]], 'Post-Survey Full Set'!Q:AU, 2, 0)</f>
        <v/>
      </c>
      <c r="Y58" t="s">
        <v>352</v>
      </c>
      <c r="Z58" t="e">
        <f>VLOOKUP(Table_EH_Pre_Survey_May_20__2023_08_229[[#This Row],[ResponseId - Response ID]], 'Post-Survey Full Set'!L:AU, 1, 0)</f>
        <v>#N/A</v>
      </c>
      <c r="AA58" t="s">
        <v>127</v>
      </c>
      <c r="AB58" t="s">
        <v>117</v>
      </c>
      <c r="AC58" s="35" t="s">
        <v>449</v>
      </c>
      <c r="AD58" t="s">
        <v>449</v>
      </c>
      <c r="AE58" t="str">
        <f>IF(ISTEXT(Table_EH_Pre_Survey_May_20__2023_08_229[[#This Row],[Post-Survey NetID''s]]) = TRUE, "Match", "")</f>
        <v>Match</v>
      </c>
      <c r="AF58" t="str">
        <f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f>
        <v>djs481</v>
      </c>
      <c r="AG58" t="str">
        <f>IF(Table_EH_Pre_Survey_May_20__2023_08_229[[#This Row],[NetID Match]] = "Match",  "Match", IF(ISTEXT(Table_EH_Pre_Survey_May_20__2023_08_229[[#This Row],[IP Address Match]]) = TRUE, "Match", ""))</f>
        <v>Match</v>
      </c>
      <c r="AH58" s="8">
        <v>5</v>
      </c>
      <c r="AI58" s="8">
        <f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f>
        <v>5</v>
      </c>
      <c r="AJ58" s="4">
        <v>5</v>
      </c>
      <c r="AK58" s="4">
        <f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f>
        <v>4</v>
      </c>
      <c r="AL58" s="4">
        <v>5</v>
      </c>
      <c r="AM58" s="4">
        <f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f>
        <v>4</v>
      </c>
      <c r="AN58" s="4">
        <v>5</v>
      </c>
      <c r="AO58" s="4">
        <f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f>
        <v>5</v>
      </c>
      <c r="AP58" s="4">
        <v>3</v>
      </c>
      <c r="AQ58" s="4">
        <f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f>
        <v>3</v>
      </c>
      <c r="AR58" s="4">
        <v>3</v>
      </c>
      <c r="AS58" s="4">
        <f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f>
        <v>3</v>
      </c>
      <c r="AT58" s="4">
        <v>5</v>
      </c>
      <c r="AU58" s="4">
        <f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f>
        <v>5</v>
      </c>
      <c r="AV58" s="4">
        <v>2</v>
      </c>
      <c r="AW58" s="4">
        <f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f>
        <v>2</v>
      </c>
      <c r="AX58" s="2">
        <v>2.5</v>
      </c>
      <c r="AY58" s="2">
        <f>IF(Table_EH_Pre_Survey_May_20__2023_08_229[[#This Row],[Q4]] = 3, 1, IF(Table_EH_Pre_Survey_May_20__2023_08_229[[#This Row],[Q4]] = 2.5, 0.5, IF(Table_EH_Pre_Survey_May_20__2023_08_229[[#This Row],[Q4]] = 3.5, 0.5, 0)))</f>
        <v>0.5</v>
      </c>
      <c r="AZ58" s="2">
        <f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f>
        <v>3.5</v>
      </c>
      <c r="BA58" s="2">
        <f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f>
        <v>0.5</v>
      </c>
      <c r="BB58" t="s">
        <v>154</v>
      </c>
      <c r="BC58">
        <f>IF(Table_EH_Pre_Survey_May_20__2023_08_229[[#This Row],[Q5 ]]="PM &lt; 2.5 μm", 1, 0)</f>
        <v>0</v>
      </c>
      <c r="BD58" t="str">
        <f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f>
        <v>PM &lt; 0.25 μm</v>
      </c>
      <c r="BE58">
        <f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f>
        <v>0</v>
      </c>
      <c r="BF58" t="s">
        <v>141</v>
      </c>
      <c r="BG58">
        <f>IF(Table_EH_Pre_Survey_May_20__2023_08_229[[#This Row],[Q6]]="Particles of this size are generally absorbed in the respiratory tract and safely excreted in mucus.", 1, 0)</f>
        <v>0</v>
      </c>
      <c r="BH58" t="str">
        <f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f>
        <v>Particles of this size are generally absorbed in the respiratory tract and safely excreted in mucus.</v>
      </c>
      <c r="BI58">
        <f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f>
        <v>1</v>
      </c>
      <c r="BJ58" t="s">
        <v>450</v>
      </c>
      <c r="BK58">
        <f>IF(ISNUMBER(SEARCH("Trucks", Table_EH_Pre_Survey_May_20__2023_08_229[[#This Row],[Q7]])) = TRUE, 1, 0) + IF(ISNUMBER(SEARCH("Cars", Table_EH_Pre_Survey_May_20__2023_08_229[[#This Row],[Q7]])) = TRUE, 1, 0) + IF(ISNUMBER(SEARCH("Fireplaces", Table_EH_Pre_Survey_May_20__2023_08_229[[#This Row],[Q7]])) = TRUE, 1, 0) + IF(ISNUMBER(SEARCH("Dirt Roads", Table_EH_Pre_Survey_May_20__2023_08_229[[#This Row],[Q7]])) = TRUE, 1, 0) - IF(ISNUMBER(SEARCH("Electric Vehicles", Table_EH_Pre_Survey_May_20__2023_08_229[[#This Row],[Q7]])) = TRUE, 1, 0) - IF(ISNUMBER(SEARCH("Pollen", Table_EH_Pre_Survey_May_20__2023_08_229[[#This Row],[Q7]])) = TRUE, 1, 0)</f>
        <v>2</v>
      </c>
      <c r="BL58" t="str">
        <f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f>
        <v>Cars</v>
      </c>
      <c r="BM58">
        <f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f>
        <v>1</v>
      </c>
      <c r="BN58">
        <v>3</v>
      </c>
      <c r="BO58">
        <f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f>
        <v>2</v>
      </c>
      <c r="BP58">
        <v>4</v>
      </c>
      <c r="BQ58">
        <f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f>
        <v>2</v>
      </c>
      <c r="BS58">
        <f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f>
        <v>2</v>
      </c>
      <c r="BT58">
        <v>4</v>
      </c>
      <c r="BU58">
        <f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f>
        <v>1</v>
      </c>
      <c r="BV58">
        <v>4</v>
      </c>
      <c r="BW58">
        <f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f>
        <v>2</v>
      </c>
      <c r="BX58">
        <v>4</v>
      </c>
      <c r="BY58">
        <f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f>
        <v>3</v>
      </c>
      <c r="BZ58">
        <v>8</v>
      </c>
      <c r="CA58">
        <f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f>
        <v>6</v>
      </c>
      <c r="CB58" t="s">
        <v>111</v>
      </c>
      <c r="CC58" t="str">
        <f>IF(ISTEXT(VLOOKUP(Table_EH_Pre_Survey_May_20__2023_08_229[[#This Row],[Unique Identifier]], 'Post-Survey Full Set'!$D$1:$AU$72, 1, 0)), VLOOKUP(Table_EH_Pre_Survey_May_20__2023_08_229[[#This Row],[Unique Identifier]], 'Post-Survey Full Set'!$D$1:$AU$72, 43, 0), VLOOKUP(Table_EH_Pre_Survey_May_20__2023_08_229[[#This Row],[Unique Identifier]], 'Post-Survey Full Set'!$V$1:$AU$72, 25, 0))</f>
        <v/>
      </c>
    </row>
    <row r="59" spans="1:81" hidden="1" x14ac:dyDescent="0.25">
      <c r="A59" t="s">
        <v>233</v>
      </c>
      <c r="B59" t="s">
        <v>234</v>
      </c>
      <c r="C59" t="s">
        <v>42</v>
      </c>
      <c r="D59" t="s">
        <v>235</v>
      </c>
      <c r="E59" t="str">
        <f>IF(COUNTIF($D$2:$D$103, Table_EH_Pre_Survey_May_20__2023_08_229[[#This Row],[IPAddress - IP Address]])=1, "Unique", "")</f>
        <v>Unique</v>
      </c>
      <c r="F59" t="e">
        <f>VLOOKUP(Table_EH_Pre_Survey_May_20__2023_08_229[[#This Row],[IPAddress - IP Address]], 'Post-Survey Full Set'!D:AU, 2, 0)</f>
        <v>#N/A</v>
      </c>
      <c r="G59" t="e">
        <f>VLOOKUP(Table_EH_Pre_Survey_May_20__2023_08_229[[#This Row],[IPAddress - IP Address]], 'Post-Survey Full Set'!$D$1:$AU$72, 1, 0)</f>
        <v>#N/A</v>
      </c>
      <c r="H59" s="35" t="e">
        <v>#N/A</v>
      </c>
      <c r="I59">
        <v>1</v>
      </c>
      <c r="J59" t="s">
        <v>112</v>
      </c>
      <c r="K59">
        <f>_xlfn.NUMBERVALUE(Table_EH_Pre_Survey_May_20__2023_08_229[[#This Row],[Duration (in seconds) - Duration (in seconds)2]])</f>
        <v>174</v>
      </c>
      <c r="L59" t="s">
        <v>236</v>
      </c>
      <c r="M59" t="s">
        <v>114</v>
      </c>
      <c r="N59" t="s">
        <v>234</v>
      </c>
      <c r="O59" t="e">
        <f>VLOOKUP(Table_EH_Pre_Survey_May_20__2023_08_229[[#This Row],[LocationLatitude - Location Latitude]], 'Post-Survey Full Set'!Q:AU, 1, 0)</f>
        <v>#N/A</v>
      </c>
      <c r="P59" t="e">
        <f>VLOOKUP(Table_EH_Pre_Survey_May_20__2023_08_229[[#This Row],[LocationLongitude - Location Longitude]], 'Post-Survey Full Set'!S:AV, 1, 0)</f>
        <v>#N/A</v>
      </c>
      <c r="Q59" t="s">
        <v>237</v>
      </c>
      <c r="R59" t="s">
        <v>111</v>
      </c>
      <c r="S59" t="s">
        <v>111</v>
      </c>
      <c r="T59" t="s">
        <v>111</v>
      </c>
      <c r="U59" t="s">
        <v>111</v>
      </c>
      <c r="V59" t="s">
        <v>238</v>
      </c>
      <c r="W59" t="str">
        <f>IF(COUNTIF($V$2:$V$103, Table_EH_Pre_Survey_May_20__2023_08_229[[#This Row],[LocationLatitude - Location Latitude]])=1, "Unique", "")</f>
        <v>Unique</v>
      </c>
      <c r="X59" t="e">
        <f>VLOOKUP(Table_EH_Pre_Survey_May_20__2023_08_229[[#This Row],[LocationLatitude - Location Latitude]], 'Post-Survey Full Set'!Q:AU, 2, 0)</f>
        <v>#N/A</v>
      </c>
      <c r="Y59" t="s">
        <v>239</v>
      </c>
      <c r="Z59" t="e">
        <f>VLOOKUP(Table_EH_Pre_Survey_May_20__2023_08_229[[#This Row],[ResponseId - Response ID]], 'Post-Survey Full Set'!L:AU, 1, 0)</f>
        <v>#N/A</v>
      </c>
      <c r="AA59" t="s">
        <v>127</v>
      </c>
      <c r="AB59" t="s">
        <v>117</v>
      </c>
      <c r="AC59" s="35" t="s">
        <v>240</v>
      </c>
      <c r="AD59" t="e">
        <v>#N/A</v>
      </c>
      <c r="AE59" t="str">
        <f>IF(ISTEXT(Table_EH_Pre_Survey_May_20__2023_08_229[[#This Row],[Post-Survey NetID''s]]) = TRUE, "Match", "")</f>
        <v/>
      </c>
      <c r="AF59" t="str">
        <f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f>
        <v/>
      </c>
      <c r="AG59" t="str">
        <f>IF(Table_EH_Pre_Survey_May_20__2023_08_229[[#This Row],[NetID Match]] = "Match",  "Match", IF(ISTEXT(Table_EH_Pre_Survey_May_20__2023_08_229[[#This Row],[IP Address Match]]) = TRUE, "Match", ""))</f>
        <v/>
      </c>
      <c r="AH59" s="8">
        <v>5</v>
      </c>
      <c r="AI59" s="8">
        <f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f>
        <v>3</v>
      </c>
      <c r="AJ59" s="4">
        <v>4</v>
      </c>
      <c r="AK59" s="4">
        <f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f>
        <v>4</v>
      </c>
      <c r="AL59" s="4">
        <v>3</v>
      </c>
      <c r="AM59" s="4">
        <f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f>
        <v>4</v>
      </c>
      <c r="AN59" s="4">
        <v>4</v>
      </c>
      <c r="AO59" s="4">
        <f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f>
        <v>4</v>
      </c>
      <c r="AP59" s="4">
        <v>3</v>
      </c>
      <c r="AQ59" s="4">
        <f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f>
        <v>4</v>
      </c>
      <c r="AR59" s="4">
        <v>4</v>
      </c>
      <c r="AS59" s="4">
        <f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f>
        <v>5</v>
      </c>
      <c r="AT59" s="4">
        <v>5</v>
      </c>
      <c r="AU59" s="4">
        <f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f>
        <v>4</v>
      </c>
      <c r="AV59" s="4">
        <v>2</v>
      </c>
      <c r="AW59" s="4">
        <f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f>
        <v>4</v>
      </c>
      <c r="AX59" s="2">
        <v>4</v>
      </c>
      <c r="AY59" s="2">
        <f>IF(Table_EH_Pre_Survey_May_20__2023_08_229[[#This Row],[Q4]] = 3, 1, IF(Table_EH_Pre_Survey_May_20__2023_08_229[[#This Row],[Q4]] = 2.5, 0.5, IF(Table_EH_Pre_Survey_May_20__2023_08_229[[#This Row],[Q4]] = 3.5, 0.5, 0)))</f>
        <v>0</v>
      </c>
      <c r="AZ59" s="2">
        <f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f>
        <v>4</v>
      </c>
      <c r="BA59" s="2">
        <f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f>
        <v>0</v>
      </c>
      <c r="BB59" t="s">
        <v>130</v>
      </c>
      <c r="BC59">
        <f>IF(Table_EH_Pre_Survey_May_20__2023_08_229[[#This Row],[Q5 ]]="PM &lt; 2.5 μm", 1, 0)</f>
        <v>0</v>
      </c>
      <c r="BD59" t="str">
        <f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f>
        <v>PM &lt; 0.25 μm</v>
      </c>
      <c r="BE59">
        <f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f>
        <v>0</v>
      </c>
      <c r="BF59" t="s">
        <v>131</v>
      </c>
      <c r="BG59">
        <f>IF(Table_EH_Pre_Survey_May_20__2023_08_229[[#This Row],[Q6]]="Particles of this size are generally absorbed in the respiratory tract and safely excreted in mucus.", 1, 0)</f>
        <v>0</v>
      </c>
      <c r="BH59" t="str">
        <f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f>
        <v>Particles of this size reach the bronchial tree where they corrode the alveolar parenchyma.</v>
      </c>
      <c r="BI59">
        <f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f>
        <v>0</v>
      </c>
      <c r="BJ59" t="s">
        <v>167</v>
      </c>
      <c r="BK59">
        <f>IF(ISNUMBER(SEARCH("Trucks", Table_EH_Pre_Survey_May_20__2023_08_229[[#This Row],[Q7]])) = TRUE, 1, 0) + IF(ISNUMBER(SEARCH("Cars", Table_EH_Pre_Survey_May_20__2023_08_229[[#This Row],[Q7]])) = TRUE, 1, 0) + IF(ISNUMBER(SEARCH("Fireplaces", Table_EH_Pre_Survey_May_20__2023_08_229[[#This Row],[Q7]])) = TRUE, 1, 0) + IF(ISNUMBER(SEARCH("Dirt Roads", Table_EH_Pre_Survey_May_20__2023_08_229[[#This Row],[Q7]])) = TRUE, 1, 0) - IF(ISNUMBER(SEARCH("Electric Vehicles", Table_EH_Pre_Survey_May_20__2023_08_229[[#This Row],[Q7]])) = TRUE, 1, 0) - IF(ISNUMBER(SEARCH("Pollen", Table_EH_Pre_Survey_May_20__2023_08_229[[#This Row],[Q7]])) = TRUE, 1, 0)</f>
        <v>3</v>
      </c>
      <c r="BL59" t="str">
        <f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f>
        <v>Cars,Dirt Roads,Electric Vehicles,Fireplaces,Trucks</v>
      </c>
      <c r="BM59">
        <f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f>
        <v>3</v>
      </c>
      <c r="BN59">
        <v>4</v>
      </c>
      <c r="BO59">
        <f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f>
        <v>5</v>
      </c>
      <c r="BP59">
        <v>3</v>
      </c>
      <c r="BQ59">
        <f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f>
        <v>5</v>
      </c>
      <c r="BR59">
        <v>4</v>
      </c>
      <c r="BS59">
        <f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f>
        <v>5</v>
      </c>
      <c r="BT59">
        <v>3</v>
      </c>
      <c r="BU59">
        <f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f>
        <v>5</v>
      </c>
      <c r="BV59">
        <v>4</v>
      </c>
      <c r="BW59">
        <f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f>
        <v>5</v>
      </c>
      <c r="BX59">
        <v>4</v>
      </c>
      <c r="BY59">
        <f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f>
        <v>5</v>
      </c>
      <c r="BZ59">
        <v>8</v>
      </c>
      <c r="CA59">
        <f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f>
        <v>10</v>
      </c>
      <c r="CB59" t="s">
        <v>241</v>
      </c>
      <c r="CC59" t="str">
        <f>IF(ISTEXT(VLOOKUP(Table_EH_Pre_Survey_May_20__2023_08_229[[#This Row],[Unique Identifier]], 'Post-Survey Full Set'!$D$1:$AU$72, 1, 0)), VLOOKUP(Table_EH_Pre_Survey_May_20__2023_08_229[[#This Row],[Unique Identifier]], 'Post-Survey Full Set'!$D$1:$AU$72, 43, 0), VLOOKUP(Table_EH_Pre_Survey_May_20__2023_08_229[[#This Row],[Unique Identifier]], 'Post-Survey Full Set'!$V$1:$AU$72, 25, 0))</f>
        <v/>
      </c>
    </row>
    <row r="60" spans="1:81" x14ac:dyDescent="0.25">
      <c r="A60" t="s">
        <v>177</v>
      </c>
      <c r="B60" t="s">
        <v>178</v>
      </c>
      <c r="C60" t="s">
        <v>42</v>
      </c>
      <c r="D60" t="s">
        <v>179</v>
      </c>
      <c r="E60" t="str">
        <f>IF(COUNTIF($D$2:$D$103, Table_EH_Pre_Survey_May_20__2023_08_229[[#This Row],[IPAddress - IP Address]])=1, "Unique", "")</f>
        <v>Unique</v>
      </c>
      <c r="F60" t="e">
        <f>VLOOKUP(Table_EH_Pre_Survey_May_20__2023_08_229[[#This Row],[IPAddress - IP Address]], 'Post-Survey Full Set'!D:AU, 2, 0)</f>
        <v>#N/A</v>
      </c>
      <c r="G60" t="e">
        <f>VLOOKUP(Table_EH_Pre_Survey_May_20__2023_08_229[[#This Row],[IPAddress - IP Address]], 'Post-Survey Full Set'!$D$1:$AU$72, 1, 0)</f>
        <v>#N/A</v>
      </c>
      <c r="H60" s="35" t="e">
        <v>#N/A</v>
      </c>
      <c r="I60">
        <v>1</v>
      </c>
      <c r="J60" t="s">
        <v>112</v>
      </c>
      <c r="K60">
        <f>_xlfn.NUMBERVALUE(Table_EH_Pre_Survey_May_20__2023_08_229[[#This Row],[Duration (in seconds) - Duration (in seconds)2]])</f>
        <v>291</v>
      </c>
      <c r="L60" t="s">
        <v>180</v>
      </c>
      <c r="M60" t="s">
        <v>114</v>
      </c>
      <c r="N60" t="s">
        <v>178</v>
      </c>
      <c r="O60" t="e">
        <f>VLOOKUP(Table_EH_Pre_Survey_May_20__2023_08_229[[#This Row],[LocationLatitude - Location Latitude]], 'Post-Survey Full Set'!Q:AU, 1, 0)</f>
        <v>#N/A</v>
      </c>
      <c r="P60" t="e">
        <f>VLOOKUP(Table_EH_Pre_Survey_May_20__2023_08_229[[#This Row],[LocationLongitude - Location Longitude]], 'Post-Survey Full Set'!S:AV, 1, 0)</f>
        <v>#N/A</v>
      </c>
      <c r="Q60" t="s">
        <v>181</v>
      </c>
      <c r="R60" t="s">
        <v>111</v>
      </c>
      <c r="S60" t="s">
        <v>111</v>
      </c>
      <c r="T60" t="s">
        <v>111</v>
      </c>
      <c r="U60" t="s">
        <v>111</v>
      </c>
      <c r="V60" t="s">
        <v>182</v>
      </c>
      <c r="W60" t="str">
        <f>IF(COUNTIF($V$2:$V$103, Table_EH_Pre_Survey_May_20__2023_08_229[[#This Row],[LocationLatitude - Location Latitude]])=1, "Unique", "")</f>
        <v>Unique</v>
      </c>
      <c r="X60" t="e">
        <f>VLOOKUP(Table_EH_Pre_Survey_May_20__2023_08_229[[#This Row],[LocationLatitude - Location Latitude]], 'Post-Survey Full Set'!Q:AU, 2, 0)</f>
        <v>#N/A</v>
      </c>
      <c r="Y60" t="s">
        <v>183</v>
      </c>
      <c r="Z60" t="e">
        <f>VLOOKUP(Table_EH_Pre_Survey_May_20__2023_08_229[[#This Row],[ResponseId - Response ID]], 'Post-Survey Full Set'!L:AU, 1, 0)</f>
        <v>#N/A</v>
      </c>
      <c r="AA60" t="s">
        <v>127</v>
      </c>
      <c r="AB60" t="s">
        <v>117</v>
      </c>
      <c r="AC60" s="35" t="s">
        <v>184</v>
      </c>
      <c r="AD60" t="s">
        <v>1091</v>
      </c>
      <c r="AE60" t="str">
        <f>IF(ISTEXT(Table_EH_Pre_Survey_May_20__2023_08_229[[#This Row],[Post-Survey NetID''s]]) = TRUE, "Match", "")</f>
        <v>Match</v>
      </c>
      <c r="AF60" t="str">
        <f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f>
        <v>crk117</v>
      </c>
      <c r="AG60" t="str">
        <f>IF(Table_EH_Pre_Survey_May_20__2023_08_229[[#This Row],[NetID Match]] = "Match",  "Match", IF(ISTEXT(Table_EH_Pre_Survey_May_20__2023_08_229[[#This Row],[IP Address Match]]) = TRUE, "Match", ""))</f>
        <v>Match</v>
      </c>
      <c r="AH60" s="8">
        <v>5</v>
      </c>
      <c r="AI60" s="8">
        <f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f>
        <v>5</v>
      </c>
      <c r="AJ60" s="4">
        <v>4</v>
      </c>
      <c r="AK60" s="4">
        <f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f>
        <v>5</v>
      </c>
      <c r="AL60" s="4">
        <v>5</v>
      </c>
      <c r="AM60" s="4">
        <f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f>
        <v>5</v>
      </c>
      <c r="AN60" s="4">
        <v>5</v>
      </c>
      <c r="AO60" s="4">
        <f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f>
        <v>5</v>
      </c>
      <c r="AP60" s="4">
        <v>5</v>
      </c>
      <c r="AQ60" s="4">
        <f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f>
        <v>5</v>
      </c>
      <c r="AR60" s="4">
        <v>5</v>
      </c>
      <c r="AS60" s="4">
        <f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f>
        <v>5</v>
      </c>
      <c r="AT60" s="4">
        <v>5</v>
      </c>
      <c r="AU60" s="4">
        <f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f>
        <v>5</v>
      </c>
      <c r="AV60" s="4">
        <v>4</v>
      </c>
      <c r="AW60" s="4">
        <f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f>
        <v>4</v>
      </c>
      <c r="AX60" s="2">
        <v>4.5</v>
      </c>
      <c r="AY60" s="2">
        <f>IF(Table_EH_Pre_Survey_May_20__2023_08_229[[#This Row],[Q4]] = 3, 1, IF(Table_EH_Pre_Survey_May_20__2023_08_229[[#This Row],[Q4]] = 2.5, 0.5, IF(Table_EH_Pre_Survey_May_20__2023_08_229[[#This Row],[Q4]] = 3.5, 0.5, 0)))</f>
        <v>0</v>
      </c>
      <c r="AZ60" s="2">
        <f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f>
        <v>3</v>
      </c>
      <c r="BA60" s="2">
        <f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f>
        <v>1</v>
      </c>
      <c r="BB60" t="s">
        <v>185</v>
      </c>
      <c r="BC60">
        <f>IF(Table_EH_Pre_Survey_May_20__2023_08_229[[#This Row],[Q5 ]]="PM &lt; 2.5 μm", 1, 0)</f>
        <v>0</v>
      </c>
      <c r="BD60" t="str">
        <f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f>
        <v>PM &lt; 0.25 μm</v>
      </c>
      <c r="BE60">
        <f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f>
        <v>0</v>
      </c>
      <c r="BF60" t="s">
        <v>141</v>
      </c>
      <c r="BG60">
        <f>IF(Table_EH_Pre_Survey_May_20__2023_08_229[[#This Row],[Q6]]="Particles of this size are generally absorbed in the respiratory tract and safely excreted in mucus.", 1, 0)</f>
        <v>0</v>
      </c>
      <c r="BH60" t="str">
        <f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f>
        <v>Particles of this size are generally absorbed in the respiratory tract and safely excreted in mucus.</v>
      </c>
      <c r="BI60">
        <f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f>
        <v>1</v>
      </c>
      <c r="BJ60" t="s">
        <v>186</v>
      </c>
      <c r="BK60">
        <f>IF(ISNUMBER(SEARCH("Trucks", Table_EH_Pre_Survey_May_20__2023_08_229[[#This Row],[Q7]])) = TRUE, 1, 0) + IF(ISNUMBER(SEARCH("Cars", Table_EH_Pre_Survey_May_20__2023_08_229[[#This Row],[Q7]])) = TRUE, 1, 0) + IF(ISNUMBER(SEARCH("Fireplaces", Table_EH_Pre_Survey_May_20__2023_08_229[[#This Row],[Q7]])) = TRUE, 1, 0) + IF(ISNUMBER(SEARCH("Dirt Roads", Table_EH_Pre_Survey_May_20__2023_08_229[[#This Row],[Q7]])) = TRUE, 1, 0) - IF(ISNUMBER(SEARCH("Electric Vehicles", Table_EH_Pre_Survey_May_20__2023_08_229[[#This Row],[Q7]])) = TRUE, 1, 0) - IF(ISNUMBER(SEARCH("Pollen", Table_EH_Pre_Survey_May_20__2023_08_229[[#This Row],[Q7]])) = TRUE, 1, 0)</f>
        <v>3</v>
      </c>
      <c r="BL60" t="str">
        <f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f>
        <v>Cars,Electric Vehicles,Fireplaces,Trucks</v>
      </c>
      <c r="BM60">
        <f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f>
        <v>2</v>
      </c>
      <c r="BN60">
        <v>1</v>
      </c>
      <c r="BO60">
        <f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f>
        <v>4</v>
      </c>
      <c r="BP60">
        <v>1</v>
      </c>
      <c r="BQ60">
        <f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f>
        <v>5</v>
      </c>
      <c r="BR60">
        <v>2</v>
      </c>
      <c r="BS60">
        <f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f>
        <v>5</v>
      </c>
      <c r="BT60">
        <v>1</v>
      </c>
      <c r="BU60">
        <f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f>
        <v>4</v>
      </c>
      <c r="BV60">
        <v>2</v>
      </c>
      <c r="BW60">
        <f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f>
        <v>5</v>
      </c>
      <c r="BX60">
        <v>4</v>
      </c>
      <c r="BY60">
        <f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f>
        <v>5</v>
      </c>
      <c r="BZ60">
        <v>7</v>
      </c>
      <c r="CA60">
        <f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f>
        <v>10</v>
      </c>
      <c r="CB60" t="s">
        <v>187</v>
      </c>
      <c r="CC60" t="str">
        <f>IF(ISTEXT(VLOOKUP(Table_EH_Pre_Survey_May_20__2023_08_229[[#This Row],[Unique Identifier]], 'Post-Survey Full Set'!$D$1:$AU$72, 1, 0)), VLOOKUP(Table_EH_Pre_Survey_May_20__2023_08_229[[#This Row],[Unique Identifier]], 'Post-Survey Full Set'!$D$1:$AU$72, 43, 0), VLOOKUP(Table_EH_Pre_Survey_May_20__2023_08_229[[#This Row],[Unique Identifier]], 'Post-Survey Full Set'!$V$1:$AU$72, 25, 0))</f>
        <v>What poisons/toxins we are exposed to on a regular basis, such as Round-Up and other pesticides, and what we can do about it!</v>
      </c>
    </row>
    <row r="61" spans="1:81" hidden="1" x14ac:dyDescent="0.25">
      <c r="A61" t="s">
        <v>679</v>
      </c>
      <c r="B61" t="s">
        <v>680</v>
      </c>
      <c r="C61" t="s">
        <v>42</v>
      </c>
      <c r="D61" t="s">
        <v>681</v>
      </c>
      <c r="E61" t="str">
        <f>IF(COUNTIF($D$2:$D$103, Table_EH_Pre_Survey_May_20__2023_08_229[[#This Row],[IPAddress - IP Address]])=1, "Unique", "")</f>
        <v>Unique</v>
      </c>
      <c r="F61" t="e">
        <f>VLOOKUP(Table_EH_Pre_Survey_May_20__2023_08_229[[#This Row],[IPAddress - IP Address]], 'Post-Survey Full Set'!D:AU, 2, 0)</f>
        <v>#N/A</v>
      </c>
      <c r="G61" t="e">
        <f>VLOOKUP(Table_EH_Pre_Survey_May_20__2023_08_229[[#This Row],[IPAddress - IP Address]], 'Post-Survey Full Set'!$D$1:$AU$72, 1, 0)</f>
        <v>#N/A</v>
      </c>
      <c r="H61" s="35" t="e">
        <v>#N/A</v>
      </c>
      <c r="I61">
        <v>1</v>
      </c>
      <c r="J61" t="s">
        <v>112</v>
      </c>
      <c r="K61">
        <f>_xlfn.NUMBERVALUE(Table_EH_Pre_Survey_May_20__2023_08_229[[#This Row],[Duration (in seconds) - Duration (in seconds)2]])</f>
        <v>343</v>
      </c>
      <c r="L61" t="s">
        <v>682</v>
      </c>
      <c r="M61" t="s">
        <v>114</v>
      </c>
      <c r="N61" t="s">
        <v>680</v>
      </c>
      <c r="O61" t="str">
        <f>VLOOKUP(Table_EH_Pre_Survey_May_20__2023_08_229[[#This Row],[LocationLatitude - Location Latitude]], 'Post-Survey Full Set'!Q:AU, 1, 0)</f>
        <v>40.488</v>
      </c>
      <c r="P61" t="str">
        <f>VLOOKUP(Table_EH_Pre_Survey_May_20__2023_08_229[[#This Row],[LocationLongitude - Location Longitude]], 'Post-Survey Full Set'!S:AV, 1, 0)</f>
        <v>-74.4544</v>
      </c>
      <c r="Q61" t="s">
        <v>683</v>
      </c>
      <c r="R61" t="s">
        <v>111</v>
      </c>
      <c r="S61" t="s">
        <v>111</v>
      </c>
      <c r="T61" t="s">
        <v>111</v>
      </c>
      <c r="U61" t="s">
        <v>111</v>
      </c>
      <c r="V61" t="s">
        <v>351</v>
      </c>
      <c r="W61" t="str">
        <f>IF(COUNTIF($V$2:$V$103, Table_EH_Pre_Survey_May_20__2023_08_229[[#This Row],[LocationLatitude - Location Latitude]])=1, "Unique", "")</f>
        <v/>
      </c>
      <c r="X61" t="str">
        <f>VLOOKUP(Table_EH_Pre_Survey_May_20__2023_08_229[[#This Row],[LocationLatitude - Location Latitude]], 'Post-Survey Full Set'!Q:AU, 2, 0)</f>
        <v/>
      </c>
      <c r="Y61" t="s">
        <v>352</v>
      </c>
      <c r="Z61" t="e">
        <f>VLOOKUP(Table_EH_Pre_Survey_May_20__2023_08_229[[#This Row],[ResponseId - Response ID]], 'Post-Survey Full Set'!L:AU, 1, 0)</f>
        <v>#N/A</v>
      </c>
      <c r="AA61" t="s">
        <v>127</v>
      </c>
      <c r="AB61" t="s">
        <v>117</v>
      </c>
      <c r="AC61" s="35" t="s">
        <v>684</v>
      </c>
      <c r="AD61" t="e">
        <v>#N/A</v>
      </c>
      <c r="AE61" t="str">
        <f>IF(ISTEXT(Table_EH_Pre_Survey_May_20__2023_08_229[[#This Row],[Post-Survey NetID''s]]) = TRUE, "Match", "")</f>
        <v/>
      </c>
      <c r="AF61" t="str">
        <f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f>
        <v/>
      </c>
      <c r="AG61" t="str">
        <f>IF(Table_EH_Pre_Survey_May_20__2023_08_229[[#This Row],[NetID Match]] = "Match",  "Match", IF(ISTEXT(Table_EH_Pre_Survey_May_20__2023_08_229[[#This Row],[IP Address Match]]) = TRUE, "Match", ""))</f>
        <v/>
      </c>
      <c r="AH61" s="8">
        <v>3</v>
      </c>
      <c r="AI61" s="8">
        <f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f>
        <v>3</v>
      </c>
      <c r="AJ61" s="4">
        <v>4</v>
      </c>
      <c r="AK61" s="4">
        <f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f>
        <v>4</v>
      </c>
      <c r="AL61" s="4">
        <v>4</v>
      </c>
      <c r="AM61" s="4">
        <f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f>
        <v>4</v>
      </c>
      <c r="AN61" s="4">
        <v>3</v>
      </c>
      <c r="AO61" s="4">
        <f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f>
        <v>4</v>
      </c>
      <c r="AP61" s="4">
        <v>3</v>
      </c>
      <c r="AQ61" s="4">
        <f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f>
        <v>4</v>
      </c>
      <c r="AR61" s="4">
        <v>2</v>
      </c>
      <c r="AS61" s="4">
        <f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f>
        <v>5</v>
      </c>
      <c r="AT61" s="4">
        <v>5</v>
      </c>
      <c r="AU61" s="4">
        <f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f>
        <v>4</v>
      </c>
      <c r="AV61" s="4">
        <v>3</v>
      </c>
      <c r="AW61" s="4">
        <f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f>
        <v>4</v>
      </c>
      <c r="AX61" s="2">
        <v>3.5</v>
      </c>
      <c r="AY61" s="2">
        <f>IF(Table_EH_Pre_Survey_May_20__2023_08_229[[#This Row],[Q4]] = 3, 1, IF(Table_EH_Pre_Survey_May_20__2023_08_229[[#This Row],[Q4]] = 2.5, 0.5, IF(Table_EH_Pre_Survey_May_20__2023_08_229[[#This Row],[Q4]] = 3.5, 0.5, 0)))</f>
        <v>0.5</v>
      </c>
      <c r="AZ61" s="2">
        <f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f>
        <v>4</v>
      </c>
      <c r="BA61" s="2">
        <f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f>
        <v>0</v>
      </c>
      <c r="BB61" t="s">
        <v>130</v>
      </c>
      <c r="BC61">
        <f>IF(Table_EH_Pre_Survey_May_20__2023_08_229[[#This Row],[Q5 ]]="PM &lt; 2.5 μm", 1, 0)</f>
        <v>0</v>
      </c>
      <c r="BD61" t="str">
        <f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f>
        <v>PM &lt; 0.25 μm</v>
      </c>
      <c r="BE61">
        <f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f>
        <v>0</v>
      </c>
      <c r="BF61" t="s">
        <v>141</v>
      </c>
      <c r="BG61">
        <f>IF(Table_EH_Pre_Survey_May_20__2023_08_229[[#This Row],[Q6]]="Particles of this size are generally absorbed in the respiratory tract and safely excreted in mucus.", 1, 0)</f>
        <v>0</v>
      </c>
      <c r="BH61" t="str">
        <f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f>
        <v>Particles of this size reach the bronchial tree where they corrode the alveolar parenchyma.</v>
      </c>
      <c r="BI61">
        <f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f>
        <v>0</v>
      </c>
      <c r="BJ61" t="s">
        <v>258</v>
      </c>
      <c r="BK61">
        <f>IF(ISNUMBER(SEARCH("Trucks", Table_EH_Pre_Survey_May_20__2023_08_229[[#This Row],[Q7]])) = TRUE, 1, 0) + IF(ISNUMBER(SEARCH("Cars", Table_EH_Pre_Survey_May_20__2023_08_229[[#This Row],[Q7]])) = TRUE, 1, 0) + IF(ISNUMBER(SEARCH("Fireplaces", Table_EH_Pre_Survey_May_20__2023_08_229[[#This Row],[Q7]])) = TRUE, 1, 0) + IF(ISNUMBER(SEARCH("Dirt Roads", Table_EH_Pre_Survey_May_20__2023_08_229[[#This Row],[Q7]])) = TRUE, 1, 0) - IF(ISNUMBER(SEARCH("Electric Vehicles", Table_EH_Pre_Survey_May_20__2023_08_229[[#This Row],[Q7]])) = TRUE, 1, 0) - IF(ISNUMBER(SEARCH("Pollen", Table_EH_Pre_Survey_May_20__2023_08_229[[#This Row],[Q7]])) = TRUE, 1, 0)</f>
        <v>1</v>
      </c>
      <c r="BL61" t="str">
        <f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f>
        <v>Cars,Dirt Roads,Electric Vehicles,Fireplaces,Trucks</v>
      </c>
      <c r="BM61">
        <f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f>
        <v>3</v>
      </c>
      <c r="BN61">
        <v>3</v>
      </c>
      <c r="BO61">
        <f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f>
        <v>5</v>
      </c>
      <c r="BP61">
        <v>3</v>
      </c>
      <c r="BQ61">
        <f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f>
        <v>5</v>
      </c>
      <c r="BR61">
        <v>3</v>
      </c>
      <c r="BS61">
        <f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f>
        <v>5</v>
      </c>
      <c r="BT61">
        <v>3</v>
      </c>
      <c r="BU61">
        <f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f>
        <v>5</v>
      </c>
      <c r="BV61">
        <v>3</v>
      </c>
      <c r="BW61">
        <f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f>
        <v>5</v>
      </c>
      <c r="BX61">
        <v>3</v>
      </c>
      <c r="BY61">
        <f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f>
        <v>5</v>
      </c>
      <c r="BZ61">
        <v>5</v>
      </c>
      <c r="CA61">
        <f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f>
        <v>10</v>
      </c>
      <c r="CB61" t="s">
        <v>111</v>
      </c>
      <c r="CC61" t="str">
        <f>IF(ISTEXT(VLOOKUP(Table_EH_Pre_Survey_May_20__2023_08_229[[#This Row],[Unique Identifier]], 'Post-Survey Full Set'!$D$1:$AU$72, 1, 0)), VLOOKUP(Table_EH_Pre_Survey_May_20__2023_08_229[[#This Row],[Unique Identifier]], 'Post-Survey Full Set'!$D$1:$AU$72, 43, 0), VLOOKUP(Table_EH_Pre_Survey_May_20__2023_08_229[[#This Row],[Unique Identifier]], 'Post-Survey Full Set'!$V$1:$AU$72, 25, 0))</f>
        <v/>
      </c>
    </row>
    <row r="62" spans="1:81" x14ac:dyDescent="0.25">
      <c r="A62" t="s">
        <v>396</v>
      </c>
      <c r="B62" t="s">
        <v>397</v>
      </c>
      <c r="C62" t="s">
        <v>42</v>
      </c>
      <c r="D62" t="s">
        <v>398</v>
      </c>
      <c r="E62" t="str">
        <f>IF(COUNTIF($D$2:$D$103, Table_EH_Pre_Survey_May_20__2023_08_229[[#This Row],[IPAddress - IP Address]])=1, "Unique", "")</f>
        <v>Unique</v>
      </c>
      <c r="F62" t="str">
        <f>VLOOKUP(Table_EH_Pre_Survey_May_20__2023_08_229[[#This Row],[IPAddress - IP Address]], 'Post-Survey Full Set'!D:AU, 2, 0)</f>
        <v/>
      </c>
      <c r="G62" t="str">
        <f>VLOOKUP(Table_EH_Pre_Survey_May_20__2023_08_229[[#This Row],[IPAddress - IP Address]], 'Post-Survey Full Set'!$D$1:$AU$72, 1, 0)</f>
        <v>128.6.36.72</v>
      </c>
      <c r="I62">
        <v>1</v>
      </c>
      <c r="J62" t="s">
        <v>112</v>
      </c>
      <c r="K62">
        <f>_xlfn.NUMBERVALUE(Table_EH_Pre_Survey_May_20__2023_08_229[[#This Row],[Duration (in seconds) - Duration (in seconds)2]])</f>
        <v>123</v>
      </c>
      <c r="L62" t="s">
        <v>399</v>
      </c>
      <c r="M62" t="s">
        <v>114</v>
      </c>
      <c r="N62" t="s">
        <v>397</v>
      </c>
      <c r="O62" t="str">
        <f>VLOOKUP(Table_EH_Pre_Survey_May_20__2023_08_229[[#This Row],[LocationLatitude - Location Latitude]], 'Post-Survey Full Set'!Q:AU, 1, 0)</f>
        <v>40.488</v>
      </c>
      <c r="P62" t="str">
        <f>VLOOKUP(Table_EH_Pre_Survey_May_20__2023_08_229[[#This Row],[LocationLongitude - Location Longitude]], 'Post-Survey Full Set'!S:AV, 1, 0)</f>
        <v>-74.4544</v>
      </c>
      <c r="Q62" t="s">
        <v>400</v>
      </c>
      <c r="R62" t="s">
        <v>111</v>
      </c>
      <c r="S62" t="s">
        <v>111</v>
      </c>
      <c r="T62" t="s">
        <v>111</v>
      </c>
      <c r="U62" t="s">
        <v>111</v>
      </c>
      <c r="V62" t="s">
        <v>351</v>
      </c>
      <c r="W62" t="str">
        <f>IF(COUNTIF($V$2:$V$103, Table_EH_Pre_Survey_May_20__2023_08_229[[#This Row],[LocationLatitude - Location Latitude]])=1, "Unique", "")</f>
        <v/>
      </c>
      <c r="X62" t="str">
        <f>VLOOKUP(Table_EH_Pre_Survey_May_20__2023_08_229[[#This Row],[LocationLatitude - Location Latitude]], 'Post-Survey Full Set'!Q:AU, 2, 0)</f>
        <v/>
      </c>
      <c r="Y62" t="s">
        <v>352</v>
      </c>
      <c r="Z62" t="e">
        <f>VLOOKUP(Table_EH_Pre_Survey_May_20__2023_08_229[[#This Row],[ResponseId - Response ID]], 'Post-Survey Full Set'!L:AU, 1, 0)</f>
        <v>#N/A</v>
      </c>
      <c r="AA62" t="s">
        <v>127</v>
      </c>
      <c r="AB62" t="s">
        <v>117</v>
      </c>
      <c r="AC62" s="35" t="s">
        <v>401</v>
      </c>
      <c r="AD62" t="s">
        <v>401</v>
      </c>
      <c r="AE62" t="str">
        <f>IF(ISTEXT(Table_EH_Pre_Survey_May_20__2023_08_229[[#This Row],[Post-Survey NetID''s]]) = TRUE, "Match", "")</f>
        <v>Match</v>
      </c>
      <c r="AF62" t="str">
        <f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f>
        <v>ar1522</v>
      </c>
      <c r="AG62" t="str">
        <f>IF(Table_EH_Pre_Survey_May_20__2023_08_229[[#This Row],[NetID Match]] = "Match",  "Match", IF(ISTEXT(Table_EH_Pre_Survey_May_20__2023_08_229[[#This Row],[IP Address Match]]) = TRUE, "Match", ""))</f>
        <v>Match</v>
      </c>
      <c r="AH62" s="8">
        <v>5</v>
      </c>
      <c r="AI62" s="8">
        <f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f>
        <v>5</v>
      </c>
      <c r="AJ62" s="4">
        <v>3</v>
      </c>
      <c r="AK62" s="4">
        <f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f>
        <v>5</v>
      </c>
      <c r="AL62" s="4">
        <v>5</v>
      </c>
      <c r="AM62" s="4">
        <f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f>
        <v>5</v>
      </c>
      <c r="AN62" s="4">
        <v>5</v>
      </c>
      <c r="AO62" s="4">
        <f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f>
        <v>5</v>
      </c>
      <c r="AP62" s="4">
        <v>3</v>
      </c>
      <c r="AQ62" s="4">
        <f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f>
        <v>3</v>
      </c>
      <c r="AR62" s="4">
        <v>5</v>
      </c>
      <c r="AS62" s="4">
        <f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f>
        <v>3</v>
      </c>
      <c r="AT62" s="4">
        <v>5</v>
      </c>
      <c r="AU62" s="4">
        <f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f>
        <v>5</v>
      </c>
      <c r="AV62" s="4">
        <v>3</v>
      </c>
      <c r="AW62" s="4">
        <f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f>
        <v>3</v>
      </c>
      <c r="AX62" s="2">
        <v>4</v>
      </c>
      <c r="AY62" s="2">
        <f>IF(Table_EH_Pre_Survey_May_20__2023_08_229[[#This Row],[Q4]] = 3, 1, IF(Table_EH_Pre_Survey_May_20__2023_08_229[[#This Row],[Q4]] = 2.5, 0.5, IF(Table_EH_Pre_Survey_May_20__2023_08_229[[#This Row],[Q4]] = 3.5, 0.5, 0)))</f>
        <v>0</v>
      </c>
      <c r="AZ62" s="2">
        <f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f>
        <v>5</v>
      </c>
      <c r="BA62" s="2">
        <f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f>
        <v>0</v>
      </c>
      <c r="BB62" t="s">
        <v>130</v>
      </c>
      <c r="BC62">
        <f>IF(Table_EH_Pre_Survey_May_20__2023_08_229[[#This Row],[Q5 ]]="PM &lt; 2.5 μm", 1, 0)</f>
        <v>0</v>
      </c>
      <c r="BD62" t="str">
        <f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f>
        <v>PM &lt; 2.5 μm</v>
      </c>
      <c r="BE62">
        <f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f>
        <v>1</v>
      </c>
      <c r="BF62" t="s">
        <v>141</v>
      </c>
      <c r="BG62">
        <f>IF(Table_EH_Pre_Survey_May_20__2023_08_229[[#This Row],[Q6]]="Particles of this size are generally absorbed in the respiratory tract and safely excreted in mucus.", 1, 0)</f>
        <v>0</v>
      </c>
      <c r="BH62" t="str">
        <f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f>
        <v>Particles of this size are generally absorbed in the respiratory tract and safely excreted in mucus.</v>
      </c>
      <c r="BI62">
        <f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f>
        <v>1</v>
      </c>
      <c r="BJ62" t="s">
        <v>402</v>
      </c>
      <c r="BK62">
        <f>IF(ISNUMBER(SEARCH("Trucks", Table_EH_Pre_Survey_May_20__2023_08_229[[#This Row],[Q7]])) = TRUE, 1, 0) + IF(ISNUMBER(SEARCH("Cars", Table_EH_Pre_Survey_May_20__2023_08_229[[#This Row],[Q7]])) = TRUE, 1, 0) + IF(ISNUMBER(SEARCH("Fireplaces", Table_EH_Pre_Survey_May_20__2023_08_229[[#This Row],[Q7]])) = TRUE, 1, 0) + IF(ISNUMBER(SEARCH("Dirt Roads", Table_EH_Pre_Survey_May_20__2023_08_229[[#This Row],[Q7]])) = TRUE, 1, 0) - IF(ISNUMBER(SEARCH("Electric Vehicles", Table_EH_Pre_Survey_May_20__2023_08_229[[#This Row],[Q7]])) = TRUE, 1, 0) - IF(ISNUMBER(SEARCH("Pollen", Table_EH_Pre_Survey_May_20__2023_08_229[[#This Row],[Q7]])) = TRUE, 1, 0)</f>
        <v>1</v>
      </c>
      <c r="BL62" t="str">
        <f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f>
        <v>Cars,Dirt Roads,Electric Vehicles,Fireplaces,Pollen,Trucks</v>
      </c>
      <c r="BM62">
        <f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f>
        <v>2</v>
      </c>
      <c r="BN62">
        <v>5</v>
      </c>
      <c r="BO62">
        <f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f>
        <v>5</v>
      </c>
      <c r="BP62">
        <v>3</v>
      </c>
      <c r="BQ62">
        <f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f>
        <v>5</v>
      </c>
      <c r="BR62">
        <v>5</v>
      </c>
      <c r="BS62">
        <f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f>
        <v>5</v>
      </c>
      <c r="BT62">
        <v>3</v>
      </c>
      <c r="BU62">
        <f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f>
        <v>5</v>
      </c>
      <c r="BV62">
        <v>5</v>
      </c>
      <c r="BW62">
        <f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f>
        <v>5</v>
      </c>
      <c r="BX62">
        <v>5</v>
      </c>
      <c r="BY62">
        <f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f>
        <v>5</v>
      </c>
      <c r="BZ62">
        <v>8</v>
      </c>
      <c r="CA62">
        <f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f>
        <v>10</v>
      </c>
      <c r="CB62" t="s">
        <v>403</v>
      </c>
      <c r="CC62" t="str">
        <f>IF(ISTEXT(VLOOKUP(Table_EH_Pre_Survey_May_20__2023_08_229[[#This Row],[Unique Identifier]], 'Post-Survey Full Set'!$D$1:$AU$72, 1, 0)), VLOOKUP(Table_EH_Pre_Survey_May_20__2023_08_229[[#This Row],[Unique Identifier]], 'Post-Survey Full Set'!$D$1:$AU$72, 43, 0), VLOOKUP(Table_EH_Pre_Survey_May_20__2023_08_229[[#This Row],[Unique Identifier]], 'Post-Survey Full Set'!$V$1:$AU$72, 25, 0))</f>
        <v xml:space="preserve">Companies, government </v>
      </c>
    </row>
    <row r="63" spans="1:81" x14ac:dyDescent="0.25">
      <c r="A63" t="s">
        <v>488</v>
      </c>
      <c r="B63" t="s">
        <v>666</v>
      </c>
      <c r="C63" t="s">
        <v>42</v>
      </c>
      <c r="D63" t="s">
        <v>667</v>
      </c>
      <c r="E63" t="str">
        <f>IF(COUNTIF($D$2:$D$103, Table_EH_Pre_Survey_May_20__2023_08_229[[#This Row],[IPAddress - IP Address]])=1, "Unique", "")</f>
        <v>Unique</v>
      </c>
      <c r="F63" t="e">
        <f>VLOOKUP(Table_EH_Pre_Survey_May_20__2023_08_229[[#This Row],[IPAddress - IP Address]], 'Post-Survey Full Set'!D:AU, 2, 0)</f>
        <v>#N/A</v>
      </c>
      <c r="G63" t="e">
        <f>VLOOKUP(Table_EH_Pre_Survey_May_20__2023_08_229[[#This Row],[IPAddress - IP Address]], 'Post-Survey Full Set'!$D$1:$AU$72, 1, 0)</f>
        <v>#N/A</v>
      </c>
      <c r="H63" s="35" t="e">
        <v>#N/A</v>
      </c>
      <c r="I63">
        <v>1</v>
      </c>
      <c r="J63" t="s">
        <v>112</v>
      </c>
      <c r="K63">
        <f>_xlfn.NUMBERVALUE(Table_EH_Pre_Survey_May_20__2023_08_229[[#This Row],[Duration (in seconds) - Duration (in seconds)2]])</f>
        <v>329</v>
      </c>
      <c r="L63" t="s">
        <v>668</v>
      </c>
      <c r="M63" t="s">
        <v>114</v>
      </c>
      <c r="N63" t="s">
        <v>666</v>
      </c>
      <c r="O63" t="str">
        <f>VLOOKUP(Table_EH_Pre_Survey_May_20__2023_08_229[[#This Row],[LocationLatitude - Location Latitude]], 'Post-Survey Full Set'!Q:AU, 1, 0)</f>
        <v>40.5511</v>
      </c>
      <c r="P63" t="str">
        <f>VLOOKUP(Table_EH_Pre_Survey_May_20__2023_08_229[[#This Row],[LocationLongitude - Location Longitude]], 'Post-Survey Full Set'!S:AV, 1, 0)</f>
        <v>-74.4606</v>
      </c>
      <c r="Q63" t="s">
        <v>669</v>
      </c>
      <c r="R63" t="s">
        <v>111</v>
      </c>
      <c r="S63" t="s">
        <v>111</v>
      </c>
      <c r="T63" t="s">
        <v>111</v>
      </c>
      <c r="U63" t="s">
        <v>111</v>
      </c>
      <c r="V63" t="s">
        <v>115</v>
      </c>
      <c r="W63" t="str">
        <f>IF(COUNTIF($V$2:$V$103, Table_EH_Pre_Survey_May_20__2023_08_229[[#This Row],[LocationLatitude - Location Latitude]])=1, "Unique", "")</f>
        <v/>
      </c>
      <c r="X63" t="str">
        <f>VLOOKUP(Table_EH_Pre_Survey_May_20__2023_08_229[[#This Row],[LocationLatitude - Location Latitude]], 'Post-Survey Full Set'!Q:AU, 2, 0)</f>
        <v/>
      </c>
      <c r="Y63" t="s">
        <v>116</v>
      </c>
      <c r="Z63" t="e">
        <f>VLOOKUP(Table_EH_Pre_Survey_May_20__2023_08_229[[#This Row],[ResponseId - Response ID]], 'Post-Survey Full Set'!L:AU, 1, 0)</f>
        <v>#N/A</v>
      </c>
      <c r="AA63" t="s">
        <v>127</v>
      </c>
      <c r="AB63" t="s">
        <v>117</v>
      </c>
      <c r="AC63" s="35" t="s">
        <v>670</v>
      </c>
      <c r="AD63" t="s">
        <v>990</v>
      </c>
      <c r="AE63" t="str">
        <f>IF(ISTEXT(Table_EH_Pre_Survey_May_20__2023_08_229[[#This Row],[Post-Survey NetID''s]]) = TRUE, "Match", "")</f>
        <v>Match</v>
      </c>
      <c r="AF63" t="str">
        <f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f>
        <v>amc754</v>
      </c>
      <c r="AG63" t="str">
        <f>IF(Table_EH_Pre_Survey_May_20__2023_08_229[[#This Row],[NetID Match]] = "Match",  "Match", IF(ISTEXT(Table_EH_Pre_Survey_May_20__2023_08_229[[#This Row],[IP Address Match]]) = TRUE, "Match", ""))</f>
        <v>Match</v>
      </c>
      <c r="AH63" s="8">
        <v>5</v>
      </c>
      <c r="AI63" s="8">
        <f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f>
        <v>5</v>
      </c>
      <c r="AJ63" s="4">
        <v>4</v>
      </c>
      <c r="AK63" s="4">
        <f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f>
        <v>5</v>
      </c>
      <c r="AL63" s="4">
        <v>5</v>
      </c>
      <c r="AM63" s="4">
        <f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f>
        <v>5</v>
      </c>
      <c r="AN63" s="4">
        <v>5</v>
      </c>
      <c r="AO63" s="4">
        <f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f>
        <v>5</v>
      </c>
      <c r="AP63" s="4">
        <v>4</v>
      </c>
      <c r="AQ63" s="4">
        <f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f>
        <v>4</v>
      </c>
      <c r="AR63" s="4">
        <v>5</v>
      </c>
      <c r="AS63" s="4">
        <f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f>
        <v>4</v>
      </c>
      <c r="AT63" s="4">
        <v>5</v>
      </c>
      <c r="AU63" s="4">
        <f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f>
        <v>5</v>
      </c>
      <c r="AV63" s="4">
        <v>4</v>
      </c>
      <c r="AW63" s="4">
        <f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f>
        <v>4</v>
      </c>
      <c r="AX63" s="2">
        <v>2.5</v>
      </c>
      <c r="AY63" s="2">
        <f>IF(Table_EH_Pre_Survey_May_20__2023_08_229[[#This Row],[Q4]] = 3, 1, IF(Table_EH_Pre_Survey_May_20__2023_08_229[[#This Row],[Q4]] = 2.5, 0.5, IF(Table_EH_Pre_Survey_May_20__2023_08_229[[#This Row],[Q4]] = 3.5, 0.5, 0)))</f>
        <v>0.5</v>
      </c>
      <c r="AZ63" s="2">
        <f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f>
        <v>2.5</v>
      </c>
      <c r="BA63" s="2">
        <f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f>
        <v>0.5</v>
      </c>
      <c r="BB63" t="s">
        <v>154</v>
      </c>
      <c r="BC63">
        <f>IF(Table_EH_Pre_Survey_May_20__2023_08_229[[#This Row],[Q5 ]]="PM &lt; 2.5 μm", 1, 0)</f>
        <v>0</v>
      </c>
      <c r="BD63" t="str">
        <f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f>
        <v>PM &lt; 2.5 μm</v>
      </c>
      <c r="BE63">
        <f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f>
        <v>1</v>
      </c>
      <c r="BF63" t="s">
        <v>175</v>
      </c>
      <c r="BG63">
        <f>IF(Table_EH_Pre_Survey_May_20__2023_08_229[[#This Row],[Q6]]="Particles of this size are generally absorbed in the respiratory tract and safely excreted in mucus.", 1, 0)</f>
        <v>1</v>
      </c>
      <c r="BH63" t="str">
        <f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f>
        <v>Particles of this size are generally absorbed in the respiratory tract and safely excreted in mucus.</v>
      </c>
      <c r="BI63">
        <f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f>
        <v>1</v>
      </c>
      <c r="BJ63" t="s">
        <v>142</v>
      </c>
      <c r="BK63">
        <f>IF(ISNUMBER(SEARCH("Trucks", Table_EH_Pre_Survey_May_20__2023_08_229[[#This Row],[Q7]])) = TRUE, 1, 0) + IF(ISNUMBER(SEARCH("Cars", Table_EH_Pre_Survey_May_20__2023_08_229[[#This Row],[Q7]])) = TRUE, 1, 0) + IF(ISNUMBER(SEARCH("Fireplaces", Table_EH_Pre_Survey_May_20__2023_08_229[[#This Row],[Q7]])) = TRUE, 1, 0) + IF(ISNUMBER(SEARCH("Dirt Roads", Table_EH_Pre_Survey_May_20__2023_08_229[[#This Row],[Q7]])) = TRUE, 1, 0) - IF(ISNUMBER(SEARCH("Electric Vehicles", Table_EH_Pre_Survey_May_20__2023_08_229[[#This Row],[Q7]])) = TRUE, 1, 0) - IF(ISNUMBER(SEARCH("Pollen", Table_EH_Pre_Survey_May_20__2023_08_229[[#This Row],[Q7]])) = TRUE, 1, 0)</f>
        <v>2</v>
      </c>
      <c r="BL63" t="str">
        <f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f>
        <v>Cars,Dirt Roads,Electric Vehicles,Fireplaces,Pollen,Trucks</v>
      </c>
      <c r="BM63">
        <f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f>
        <v>2</v>
      </c>
      <c r="BN63">
        <v>2</v>
      </c>
      <c r="BO63">
        <f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f>
        <v>5</v>
      </c>
      <c r="BP63">
        <v>3</v>
      </c>
      <c r="BQ63">
        <f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f>
        <v>5</v>
      </c>
      <c r="BR63">
        <v>3</v>
      </c>
      <c r="BS63">
        <f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f>
        <v>5</v>
      </c>
      <c r="BT63">
        <v>2</v>
      </c>
      <c r="BU63">
        <f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f>
        <v>5</v>
      </c>
      <c r="BV63">
        <v>3</v>
      </c>
      <c r="BW63">
        <f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f>
        <v>5</v>
      </c>
      <c r="BX63">
        <v>4</v>
      </c>
      <c r="BY63">
        <f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f>
        <v>5</v>
      </c>
      <c r="BZ63">
        <v>10</v>
      </c>
      <c r="CA63">
        <f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f>
        <v>10</v>
      </c>
      <c r="CB63" t="s">
        <v>671</v>
      </c>
      <c r="CC63" t="str">
        <f>IF(ISTEXT(VLOOKUP(Table_EH_Pre_Survey_May_20__2023_08_229[[#This Row],[Unique Identifier]], 'Post-Survey Full Set'!$D$1:$AU$72, 1, 0)), VLOOKUP(Table_EH_Pre_Survey_May_20__2023_08_229[[#This Row],[Unique Identifier]], 'Post-Survey Full Set'!$D$1:$AU$72, 43, 0), VLOOKUP(Table_EH_Pre_Survey_May_20__2023_08_229[[#This Row],[Unique Identifier]], 'Post-Survey Full Set'!$V$1:$AU$72, 25, 0))</f>
        <v/>
      </c>
    </row>
    <row r="64" spans="1:81" hidden="1" x14ac:dyDescent="0.25">
      <c r="A64" t="s">
        <v>738</v>
      </c>
      <c r="B64" t="s">
        <v>739</v>
      </c>
      <c r="C64" t="s">
        <v>42</v>
      </c>
      <c r="D64" t="s">
        <v>389</v>
      </c>
      <c r="E64" t="str">
        <f>IF(COUNTIF($D$2:$D$103, Table_EH_Pre_Survey_May_20__2023_08_229[[#This Row],[IPAddress - IP Address]])=1, "Unique", "")</f>
        <v/>
      </c>
      <c r="F64" t="str">
        <f>VLOOKUP(Table_EH_Pre_Survey_May_20__2023_08_229[[#This Row],[IPAddress - IP Address]], 'Post-Survey Full Set'!D:AU, 2, 0)</f>
        <v/>
      </c>
      <c r="G64" t="str">
        <f>VLOOKUP(Table_EH_Pre_Survey_May_20__2023_08_229[[#This Row],[IPAddress - IP Address]], 'Post-Survey Full Set'!$D$1:$AU$72, 1, 0)</f>
        <v>130.219.10.90</v>
      </c>
      <c r="I64">
        <v>1</v>
      </c>
      <c r="J64" t="s">
        <v>112</v>
      </c>
      <c r="K64">
        <f>_xlfn.NUMBERVALUE(Table_EH_Pre_Survey_May_20__2023_08_229[[#This Row],[Duration (in seconds) - Duration (in seconds)2]])</f>
        <v>136</v>
      </c>
      <c r="L64" t="s">
        <v>740</v>
      </c>
      <c r="M64" t="s">
        <v>114</v>
      </c>
      <c r="N64" t="s">
        <v>739</v>
      </c>
      <c r="O64" t="str">
        <f>VLOOKUP(Table_EH_Pre_Survey_May_20__2023_08_229[[#This Row],[LocationLatitude - Location Latitude]], 'Post-Survey Full Set'!Q:AU, 1, 0)</f>
        <v>40.7337</v>
      </c>
      <c r="P64" t="str">
        <f>VLOOKUP(Table_EH_Pre_Survey_May_20__2023_08_229[[#This Row],[LocationLongitude - Location Longitude]], 'Post-Survey Full Set'!S:AV, 1, 0)</f>
        <v>-74.1939</v>
      </c>
      <c r="Q64" t="s">
        <v>741</v>
      </c>
      <c r="R64" t="s">
        <v>111</v>
      </c>
      <c r="S64" t="s">
        <v>111</v>
      </c>
      <c r="T64" t="s">
        <v>111</v>
      </c>
      <c r="U64" t="s">
        <v>111</v>
      </c>
      <c r="V64" t="s">
        <v>392</v>
      </c>
      <c r="W64" t="str">
        <f>IF(COUNTIF($V$2:$V$103, Table_EH_Pre_Survey_May_20__2023_08_229[[#This Row],[LocationLatitude - Location Latitude]])=1, "Unique", "")</f>
        <v/>
      </c>
      <c r="X64" t="str">
        <f>VLOOKUP(Table_EH_Pre_Survey_May_20__2023_08_229[[#This Row],[LocationLatitude - Location Latitude]], 'Post-Survey Full Set'!Q:AU, 2, 0)</f>
        <v/>
      </c>
      <c r="Y64" t="s">
        <v>393</v>
      </c>
      <c r="Z64" t="e">
        <f>VLOOKUP(Table_EH_Pre_Survey_May_20__2023_08_229[[#This Row],[ResponseId - Response ID]], 'Post-Survey Full Set'!L:AU, 1, 0)</f>
        <v>#N/A</v>
      </c>
      <c r="AA64" t="s">
        <v>127</v>
      </c>
      <c r="AB64" t="s">
        <v>117</v>
      </c>
      <c r="AC64" s="35" t="s">
        <v>742</v>
      </c>
      <c r="AD64" t="e">
        <v>#N/A</v>
      </c>
      <c r="AE64" t="str">
        <f>IF(ISTEXT(Table_EH_Pre_Survey_May_20__2023_08_229[[#This Row],[Post-Survey NetID''s]]) = TRUE, "Match", "")</f>
        <v/>
      </c>
      <c r="AF64" t="str">
        <f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f>
        <v/>
      </c>
      <c r="AG64" t="str">
        <f>IF(Table_EH_Pre_Survey_May_20__2023_08_229[[#This Row],[NetID Match]] = "Match",  "Match", IF(ISTEXT(Table_EH_Pre_Survey_May_20__2023_08_229[[#This Row],[IP Address Match]]) = TRUE, "Match", ""))</f>
        <v/>
      </c>
      <c r="AH64" s="8">
        <v>5</v>
      </c>
      <c r="AI64" s="8">
        <f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f>
        <v>3</v>
      </c>
      <c r="AJ64" s="4">
        <v>4</v>
      </c>
      <c r="AK64" s="4">
        <f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f>
        <v>4</v>
      </c>
      <c r="AL64" s="4">
        <v>5</v>
      </c>
      <c r="AM64" s="4">
        <f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f>
        <v>4</v>
      </c>
      <c r="AN64" s="4">
        <v>5</v>
      </c>
      <c r="AO64" s="4">
        <f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f>
        <v>4</v>
      </c>
      <c r="AP64" s="4">
        <v>5</v>
      </c>
      <c r="AQ64" s="4">
        <f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f>
        <v>4</v>
      </c>
      <c r="AR64" s="4">
        <v>5</v>
      </c>
      <c r="AS64" s="4">
        <f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f>
        <v>5</v>
      </c>
      <c r="AT64" s="4">
        <v>5</v>
      </c>
      <c r="AU64" s="4">
        <f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f>
        <v>4</v>
      </c>
      <c r="AV64" s="4">
        <v>3</v>
      </c>
      <c r="AW64" s="4">
        <f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f>
        <v>4</v>
      </c>
      <c r="AX64" s="2">
        <v>3.5</v>
      </c>
      <c r="AY64" s="2">
        <f>IF(Table_EH_Pre_Survey_May_20__2023_08_229[[#This Row],[Q4]] = 3, 1, IF(Table_EH_Pre_Survey_May_20__2023_08_229[[#This Row],[Q4]] = 2.5, 0.5, IF(Table_EH_Pre_Survey_May_20__2023_08_229[[#This Row],[Q4]] = 3.5, 0.5, 0)))</f>
        <v>0.5</v>
      </c>
      <c r="AZ64" s="2">
        <f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f>
        <v>4</v>
      </c>
      <c r="BA64" s="2">
        <f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f>
        <v>0</v>
      </c>
      <c r="BB64" t="s">
        <v>130</v>
      </c>
      <c r="BC64">
        <f>IF(Table_EH_Pre_Survey_May_20__2023_08_229[[#This Row],[Q5 ]]="PM &lt; 2.5 μm", 1, 0)</f>
        <v>0</v>
      </c>
      <c r="BD64" t="str">
        <f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f>
        <v>PM &lt; 0.25 μm</v>
      </c>
      <c r="BE64">
        <f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f>
        <v>0</v>
      </c>
      <c r="BF64" t="s">
        <v>131</v>
      </c>
      <c r="BG64">
        <f>IF(Table_EH_Pre_Survey_May_20__2023_08_229[[#This Row],[Q6]]="Particles of this size are generally absorbed in the respiratory tract and safely excreted in mucus.", 1, 0)</f>
        <v>0</v>
      </c>
      <c r="BH64" t="str">
        <f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f>
        <v>Particles of this size reach the bronchial tree where they corrode the alveolar parenchyma.</v>
      </c>
      <c r="BI64">
        <f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f>
        <v>0</v>
      </c>
      <c r="BJ64" t="s">
        <v>420</v>
      </c>
      <c r="BK64">
        <f>IF(ISNUMBER(SEARCH("Trucks", Table_EH_Pre_Survey_May_20__2023_08_229[[#This Row],[Q7]])) = TRUE, 1, 0) + IF(ISNUMBER(SEARCH("Cars", Table_EH_Pre_Survey_May_20__2023_08_229[[#This Row],[Q7]])) = TRUE, 1, 0) + IF(ISNUMBER(SEARCH("Fireplaces", Table_EH_Pre_Survey_May_20__2023_08_229[[#This Row],[Q7]])) = TRUE, 1, 0) + IF(ISNUMBER(SEARCH("Dirt Roads", Table_EH_Pre_Survey_May_20__2023_08_229[[#This Row],[Q7]])) = TRUE, 1, 0) - IF(ISNUMBER(SEARCH("Electric Vehicles", Table_EH_Pre_Survey_May_20__2023_08_229[[#This Row],[Q7]])) = TRUE, 1, 0) - IF(ISNUMBER(SEARCH("Pollen", Table_EH_Pre_Survey_May_20__2023_08_229[[#This Row],[Q7]])) = TRUE, 1, 0)</f>
        <v>1</v>
      </c>
      <c r="BL64" t="str">
        <f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f>
        <v>Cars,Dirt Roads,Electric Vehicles,Fireplaces,Trucks</v>
      </c>
      <c r="BM64">
        <f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f>
        <v>3</v>
      </c>
      <c r="BN64">
        <v>4</v>
      </c>
      <c r="BO64">
        <f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f>
        <v>5</v>
      </c>
      <c r="BP64">
        <v>3</v>
      </c>
      <c r="BQ64">
        <f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f>
        <v>5</v>
      </c>
      <c r="BR64">
        <v>3</v>
      </c>
      <c r="BS64">
        <f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f>
        <v>5</v>
      </c>
      <c r="BT64">
        <v>5</v>
      </c>
      <c r="BU64">
        <f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f>
        <v>5</v>
      </c>
      <c r="BV64">
        <v>5</v>
      </c>
      <c r="BW64">
        <f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f>
        <v>5</v>
      </c>
      <c r="BX64">
        <v>5</v>
      </c>
      <c r="BY64">
        <f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f>
        <v>5</v>
      </c>
      <c r="BZ64">
        <v>7</v>
      </c>
      <c r="CA64">
        <f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f>
        <v>10</v>
      </c>
      <c r="CB64" t="s">
        <v>111</v>
      </c>
      <c r="CC64" t="str">
        <f>IF(ISTEXT(VLOOKUP(Table_EH_Pre_Survey_May_20__2023_08_229[[#This Row],[Unique Identifier]], 'Post-Survey Full Set'!$D$1:$AU$72, 1, 0)), VLOOKUP(Table_EH_Pre_Survey_May_20__2023_08_229[[#This Row],[Unique Identifier]], 'Post-Survey Full Set'!$D$1:$AU$72, 43, 0), VLOOKUP(Table_EH_Pre_Survey_May_20__2023_08_229[[#This Row],[Unique Identifier]], 'Post-Survey Full Set'!$V$1:$AU$72, 25, 0))</f>
        <v/>
      </c>
    </row>
    <row r="65" spans="1:81" x14ac:dyDescent="0.25">
      <c r="A65" t="s">
        <v>412</v>
      </c>
      <c r="B65" t="s">
        <v>413</v>
      </c>
      <c r="C65" t="s">
        <v>42</v>
      </c>
      <c r="D65" t="s">
        <v>307</v>
      </c>
      <c r="E65" t="str">
        <f>IF(COUNTIF($D$2:$D$103, Table_EH_Pre_Survey_May_20__2023_08_229[[#This Row],[IPAddress - IP Address]])=1, "Unique", "")</f>
        <v/>
      </c>
      <c r="F65" t="str">
        <f>VLOOKUP(Table_EH_Pre_Survey_May_20__2023_08_229[[#This Row],[IPAddress - IP Address]], 'Post-Survey Full Set'!D:AU, 2, 0)</f>
        <v/>
      </c>
      <c r="G65" t="str">
        <f>VLOOKUP(Table_EH_Pre_Survey_May_20__2023_08_229[[#This Row],[IPAddress - IP Address]], 'Post-Survey Full Set'!$D$1:$AU$72, 1, 0)</f>
        <v>69.113.82.163</v>
      </c>
      <c r="I65">
        <v>1</v>
      </c>
      <c r="J65" t="s">
        <v>112</v>
      </c>
      <c r="K65">
        <f>_xlfn.NUMBERVALUE(Table_EH_Pre_Survey_May_20__2023_08_229[[#This Row],[Duration (in seconds) - Duration (in seconds)2]])</f>
        <v>56</v>
      </c>
      <c r="L65" t="s">
        <v>414</v>
      </c>
      <c r="M65" t="s">
        <v>114</v>
      </c>
      <c r="N65" t="s">
        <v>413</v>
      </c>
      <c r="O65" t="str">
        <f>VLOOKUP(Table_EH_Pre_Survey_May_20__2023_08_229[[#This Row],[LocationLatitude - Location Latitude]], 'Post-Survey Full Set'!Q:AU, 1, 0)</f>
        <v>40.5269</v>
      </c>
      <c r="P65" t="str">
        <f>VLOOKUP(Table_EH_Pre_Survey_May_20__2023_08_229[[#This Row],[LocationLongitude - Location Longitude]], 'Post-Survey Full Set'!S:AV, 1, 0)</f>
        <v>-74.3374</v>
      </c>
      <c r="Q65" t="s">
        <v>415</v>
      </c>
      <c r="R65" t="s">
        <v>111</v>
      </c>
      <c r="S65" t="s">
        <v>111</v>
      </c>
      <c r="T65" t="s">
        <v>111</v>
      </c>
      <c r="U65" t="s">
        <v>111</v>
      </c>
      <c r="V65" t="s">
        <v>311</v>
      </c>
      <c r="W65" t="str">
        <f>IF(COUNTIF($V$2:$V$103, Table_EH_Pre_Survey_May_20__2023_08_229[[#This Row],[LocationLatitude - Location Latitude]])=1, "Unique", "")</f>
        <v/>
      </c>
      <c r="X65" t="str">
        <f>VLOOKUP(Table_EH_Pre_Survey_May_20__2023_08_229[[#This Row],[LocationLatitude - Location Latitude]], 'Post-Survey Full Set'!Q:AU, 2, 0)</f>
        <v/>
      </c>
      <c r="Y65" t="s">
        <v>312</v>
      </c>
      <c r="Z65" t="e">
        <f>VLOOKUP(Table_EH_Pre_Survey_May_20__2023_08_229[[#This Row],[ResponseId - Response ID]], 'Post-Survey Full Set'!L:AU, 1, 0)</f>
        <v>#N/A</v>
      </c>
      <c r="AA65" t="s">
        <v>127</v>
      </c>
      <c r="AB65" t="s">
        <v>117</v>
      </c>
      <c r="AC65" s="35" t="s">
        <v>416</v>
      </c>
      <c r="AD65" t="s">
        <v>1135</v>
      </c>
      <c r="AE65" t="str">
        <f>IF(ISTEXT(Table_EH_Pre_Survey_May_20__2023_08_229[[#This Row],[Post-Survey NetID''s]]) = TRUE, "Match", "")</f>
        <v>Match</v>
      </c>
      <c r="AF65" t="str">
        <f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f>
        <v>Agg108</v>
      </c>
      <c r="AG65" t="str">
        <f>IF(Table_EH_Pre_Survey_May_20__2023_08_229[[#This Row],[NetID Match]] = "Match",  "Match", IF(ISTEXT(Table_EH_Pre_Survey_May_20__2023_08_229[[#This Row],[IP Address Match]]) = TRUE, "Match", ""))</f>
        <v>Match</v>
      </c>
      <c r="AH65" s="8">
        <v>4</v>
      </c>
      <c r="AI65" s="8">
        <f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f>
        <v>5</v>
      </c>
      <c r="AJ65" s="4">
        <v>4</v>
      </c>
      <c r="AK65" s="4">
        <f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f>
        <v>3</v>
      </c>
      <c r="AL65" s="4">
        <v>5</v>
      </c>
      <c r="AM65" s="4">
        <f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f>
        <v>4</v>
      </c>
      <c r="AN65" s="4">
        <v>5</v>
      </c>
      <c r="AO65" s="4">
        <f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f>
        <v>4</v>
      </c>
      <c r="AP65" s="4"/>
      <c r="AQ65" s="4">
        <f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f>
        <v>2</v>
      </c>
      <c r="AR65" s="4"/>
      <c r="AS65" s="4">
        <f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f>
        <v>2</v>
      </c>
      <c r="AT65" s="4">
        <v>5</v>
      </c>
      <c r="AU65" s="4">
        <f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f>
        <v>5</v>
      </c>
      <c r="AV65" s="4"/>
      <c r="AW65" s="4">
        <f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f>
        <v>2</v>
      </c>
      <c r="AX65" s="2">
        <v>2.5</v>
      </c>
      <c r="AY65" s="2">
        <f>IF(Table_EH_Pre_Survey_May_20__2023_08_229[[#This Row],[Q4]] = 3, 1, IF(Table_EH_Pre_Survey_May_20__2023_08_229[[#This Row],[Q4]] = 2.5, 0.5, IF(Table_EH_Pre_Survey_May_20__2023_08_229[[#This Row],[Q4]] = 3.5, 0.5, 0)))</f>
        <v>0.5</v>
      </c>
      <c r="AZ65" s="2">
        <f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f>
        <v>2.5</v>
      </c>
      <c r="BA65" s="2">
        <f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f>
        <v>0.5</v>
      </c>
      <c r="BB65" t="s">
        <v>130</v>
      </c>
      <c r="BC65">
        <f>IF(Table_EH_Pre_Survey_May_20__2023_08_229[[#This Row],[Q5 ]]="PM &lt; 2.5 μm", 1, 0)</f>
        <v>0</v>
      </c>
      <c r="BD65" t="str">
        <f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f>
        <v>PM &lt; 0.05 μm</v>
      </c>
      <c r="BE65">
        <f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f>
        <v>0</v>
      </c>
      <c r="BF65" t="s">
        <v>175</v>
      </c>
      <c r="BG65">
        <f>IF(Table_EH_Pre_Survey_May_20__2023_08_229[[#This Row],[Q6]]="Particles of this size are generally absorbed in the respiratory tract and safely excreted in mucus.", 1, 0)</f>
        <v>1</v>
      </c>
      <c r="BH65" t="str">
        <f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f>
        <v>Particles of this size are generally absorbed in the respiratory tract and safely excreted in mucus.</v>
      </c>
      <c r="BI65">
        <f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f>
        <v>1</v>
      </c>
      <c r="BJ65" t="s">
        <v>142</v>
      </c>
      <c r="BK65">
        <f>IF(ISNUMBER(SEARCH("Trucks", Table_EH_Pre_Survey_May_20__2023_08_229[[#This Row],[Q7]])) = TRUE, 1, 0) + IF(ISNUMBER(SEARCH("Cars", Table_EH_Pre_Survey_May_20__2023_08_229[[#This Row],[Q7]])) = TRUE, 1, 0) + IF(ISNUMBER(SEARCH("Fireplaces", Table_EH_Pre_Survey_May_20__2023_08_229[[#This Row],[Q7]])) = TRUE, 1, 0) + IF(ISNUMBER(SEARCH("Dirt Roads", Table_EH_Pre_Survey_May_20__2023_08_229[[#This Row],[Q7]])) = TRUE, 1, 0) - IF(ISNUMBER(SEARCH("Electric Vehicles", Table_EH_Pre_Survey_May_20__2023_08_229[[#This Row],[Q7]])) = TRUE, 1, 0) - IF(ISNUMBER(SEARCH("Pollen", Table_EH_Pre_Survey_May_20__2023_08_229[[#This Row],[Q7]])) = TRUE, 1, 0)</f>
        <v>2</v>
      </c>
      <c r="BL65" t="str">
        <f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f>
        <v>Cars,Dirt Roads,Electric Vehicles,Fireplaces,Pollen,Trucks</v>
      </c>
      <c r="BM65">
        <f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f>
        <v>2</v>
      </c>
      <c r="BN65">
        <v>4</v>
      </c>
      <c r="BO65">
        <f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f>
        <v>4</v>
      </c>
      <c r="BP65">
        <v>5</v>
      </c>
      <c r="BQ65">
        <f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f>
        <v>4</v>
      </c>
      <c r="BR65">
        <v>4</v>
      </c>
      <c r="BS65">
        <f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f>
        <v>4</v>
      </c>
      <c r="BT65">
        <v>3</v>
      </c>
      <c r="BU65">
        <f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f>
        <v>4</v>
      </c>
      <c r="BV65">
        <v>5</v>
      </c>
      <c r="BW65">
        <f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f>
        <v>4</v>
      </c>
      <c r="BX65">
        <v>5</v>
      </c>
      <c r="BY65">
        <f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f>
        <v>4</v>
      </c>
      <c r="BZ65">
        <v>4</v>
      </c>
      <c r="CA65">
        <f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f>
        <v>8</v>
      </c>
      <c r="CB65" t="s">
        <v>111</v>
      </c>
      <c r="CC65" t="str">
        <f>IF(ISTEXT(VLOOKUP(Table_EH_Pre_Survey_May_20__2023_08_229[[#This Row],[Unique Identifier]], 'Post-Survey Full Set'!$D$1:$AU$72, 1, 0)), VLOOKUP(Table_EH_Pre_Survey_May_20__2023_08_229[[#This Row],[Unique Identifier]], 'Post-Survey Full Set'!$D$1:$AU$72, 43, 0), VLOOKUP(Table_EH_Pre_Survey_May_20__2023_08_229[[#This Row],[Unique Identifier]], 'Post-Survey Full Set'!$V$1:$AU$72, 25, 0))</f>
        <v>thank u!</v>
      </c>
    </row>
    <row r="66" spans="1:81" hidden="1" x14ac:dyDescent="0.25">
      <c r="A66" t="s">
        <v>632</v>
      </c>
      <c r="B66" t="s">
        <v>633</v>
      </c>
      <c r="C66" t="s">
        <v>42</v>
      </c>
      <c r="D66" t="s">
        <v>389</v>
      </c>
      <c r="E66" t="str">
        <f>IF(COUNTIF($D$2:$D$103, Table_EH_Pre_Survey_May_20__2023_08_229[[#This Row],[IPAddress - IP Address]])=1, "Unique", "")</f>
        <v/>
      </c>
      <c r="F66" t="str">
        <f>VLOOKUP(Table_EH_Pre_Survey_May_20__2023_08_229[[#This Row],[IPAddress - IP Address]], 'Post-Survey Full Set'!D:AU, 2, 0)</f>
        <v/>
      </c>
      <c r="G66" t="str">
        <f>VLOOKUP(Table_EH_Pre_Survey_May_20__2023_08_229[[#This Row],[IPAddress - IP Address]], 'Post-Survey Full Set'!$D$1:$AU$72, 1, 0)</f>
        <v>130.219.10.90</v>
      </c>
      <c r="I66">
        <v>1</v>
      </c>
      <c r="J66" t="s">
        <v>112</v>
      </c>
      <c r="K66">
        <f>_xlfn.NUMBERVALUE(Table_EH_Pre_Survey_May_20__2023_08_229[[#This Row],[Duration (in seconds) - Duration (in seconds)2]])</f>
        <v>267</v>
      </c>
      <c r="L66" t="s">
        <v>634</v>
      </c>
      <c r="M66" t="s">
        <v>114</v>
      </c>
      <c r="N66" t="s">
        <v>635</v>
      </c>
      <c r="O66" t="str">
        <f>VLOOKUP(Table_EH_Pre_Survey_May_20__2023_08_229[[#This Row],[LocationLatitude - Location Latitude]], 'Post-Survey Full Set'!Q:AU, 1, 0)</f>
        <v>40.7337</v>
      </c>
      <c r="P66" t="str">
        <f>VLOOKUP(Table_EH_Pre_Survey_May_20__2023_08_229[[#This Row],[LocationLongitude - Location Longitude]], 'Post-Survey Full Set'!S:AV, 1, 0)</f>
        <v>-74.1939</v>
      </c>
      <c r="Q66" t="s">
        <v>636</v>
      </c>
      <c r="R66" t="s">
        <v>111</v>
      </c>
      <c r="S66" t="s">
        <v>111</v>
      </c>
      <c r="T66" t="s">
        <v>111</v>
      </c>
      <c r="U66" t="s">
        <v>111</v>
      </c>
      <c r="V66" t="s">
        <v>392</v>
      </c>
      <c r="W66" t="str">
        <f>IF(COUNTIF($V$2:$V$103, Table_EH_Pre_Survey_May_20__2023_08_229[[#This Row],[LocationLatitude - Location Latitude]])=1, "Unique", "")</f>
        <v/>
      </c>
      <c r="X66" t="str">
        <f>VLOOKUP(Table_EH_Pre_Survey_May_20__2023_08_229[[#This Row],[LocationLatitude - Location Latitude]], 'Post-Survey Full Set'!Q:AU, 2, 0)</f>
        <v/>
      </c>
      <c r="Y66" t="s">
        <v>393</v>
      </c>
      <c r="Z66" t="e">
        <f>VLOOKUP(Table_EH_Pre_Survey_May_20__2023_08_229[[#This Row],[ResponseId - Response ID]], 'Post-Survey Full Set'!L:AU, 1, 0)</f>
        <v>#N/A</v>
      </c>
      <c r="AA66" t="s">
        <v>487</v>
      </c>
      <c r="AB66" t="s">
        <v>117</v>
      </c>
      <c r="AC66" s="35" t="s">
        <v>637</v>
      </c>
      <c r="AD66" t="e">
        <v>#N/A</v>
      </c>
      <c r="AE66" t="str">
        <f>IF(ISTEXT(Table_EH_Pre_Survey_May_20__2023_08_229[[#This Row],[Post-Survey NetID''s]]) = TRUE, "Match", "")</f>
        <v/>
      </c>
      <c r="AF66" t="str">
        <f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f>
        <v/>
      </c>
      <c r="AG66" t="str">
        <f>IF(Table_EH_Pre_Survey_May_20__2023_08_229[[#This Row],[NetID Match]] = "Match",  "Match", IF(ISTEXT(Table_EH_Pre_Survey_May_20__2023_08_229[[#This Row],[IP Address Match]]) = TRUE, "Match", ""))</f>
        <v/>
      </c>
      <c r="AH66" s="8">
        <v>4</v>
      </c>
      <c r="AI66" s="8">
        <f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f>
        <v>3</v>
      </c>
      <c r="AJ66" s="4">
        <v>4</v>
      </c>
      <c r="AK66" s="4">
        <f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f>
        <v>4</v>
      </c>
      <c r="AL66" s="4">
        <v>3</v>
      </c>
      <c r="AM66" s="4">
        <f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f>
        <v>4</v>
      </c>
      <c r="AN66" s="4">
        <v>5</v>
      </c>
      <c r="AO66" s="4">
        <f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f>
        <v>4</v>
      </c>
      <c r="AP66" s="4">
        <v>3</v>
      </c>
      <c r="AQ66" s="4">
        <f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f>
        <v>4</v>
      </c>
      <c r="AR66" s="4">
        <v>3</v>
      </c>
      <c r="AS66" s="4">
        <f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f>
        <v>5</v>
      </c>
      <c r="AT66" s="4">
        <v>4</v>
      </c>
      <c r="AU66" s="4">
        <f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f>
        <v>4</v>
      </c>
      <c r="AV66" s="4">
        <v>3</v>
      </c>
      <c r="AW66" s="4">
        <f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f>
        <v>4</v>
      </c>
      <c r="AX66" s="2">
        <v>4</v>
      </c>
      <c r="AY66" s="2">
        <f>IF(Table_EH_Pre_Survey_May_20__2023_08_229[[#This Row],[Q4]] = 3, 1, IF(Table_EH_Pre_Survey_May_20__2023_08_229[[#This Row],[Q4]] = 2.5, 0.5, IF(Table_EH_Pre_Survey_May_20__2023_08_229[[#This Row],[Q4]] = 3.5, 0.5, 0)))</f>
        <v>0</v>
      </c>
      <c r="AZ66" s="2">
        <f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f>
        <v>4</v>
      </c>
      <c r="BA66" s="2">
        <f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f>
        <v>0</v>
      </c>
      <c r="BB66" t="s">
        <v>130</v>
      </c>
      <c r="BC66">
        <f>IF(Table_EH_Pre_Survey_May_20__2023_08_229[[#This Row],[Q5 ]]="PM &lt; 2.5 μm", 1, 0)</f>
        <v>0</v>
      </c>
      <c r="BD66" t="str">
        <f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f>
        <v>PM &lt; 0.25 μm</v>
      </c>
      <c r="BE66">
        <f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f>
        <v>0</v>
      </c>
      <c r="BF66" t="s">
        <v>175</v>
      </c>
      <c r="BG66">
        <f>IF(Table_EH_Pre_Survey_May_20__2023_08_229[[#This Row],[Q6]]="Particles of this size are generally absorbed in the respiratory tract and safely excreted in mucus.", 1, 0)</f>
        <v>1</v>
      </c>
      <c r="BH66" t="str">
        <f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f>
        <v>Particles of this size reach the bronchial tree where they corrode the alveolar parenchyma.</v>
      </c>
      <c r="BI66">
        <f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f>
        <v>0</v>
      </c>
      <c r="BJ66" t="s">
        <v>327</v>
      </c>
      <c r="BK66">
        <f>IF(ISNUMBER(SEARCH("Trucks", Table_EH_Pre_Survey_May_20__2023_08_229[[#This Row],[Q7]])) = TRUE, 1, 0) + IF(ISNUMBER(SEARCH("Cars", Table_EH_Pre_Survey_May_20__2023_08_229[[#This Row],[Q7]])) = TRUE, 1, 0) + IF(ISNUMBER(SEARCH("Fireplaces", Table_EH_Pre_Survey_May_20__2023_08_229[[#This Row],[Q7]])) = TRUE, 1, 0) + IF(ISNUMBER(SEARCH("Dirt Roads", Table_EH_Pre_Survey_May_20__2023_08_229[[#This Row],[Q7]])) = TRUE, 1, 0) - IF(ISNUMBER(SEARCH("Electric Vehicles", Table_EH_Pre_Survey_May_20__2023_08_229[[#This Row],[Q7]])) = TRUE, 1, 0) - IF(ISNUMBER(SEARCH("Pollen", Table_EH_Pre_Survey_May_20__2023_08_229[[#This Row],[Q7]])) = TRUE, 1, 0)</f>
        <v>1</v>
      </c>
      <c r="BL66" t="str">
        <f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f>
        <v>Cars,Dirt Roads,Electric Vehicles,Fireplaces,Trucks</v>
      </c>
      <c r="BM66">
        <f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f>
        <v>3</v>
      </c>
      <c r="BN66">
        <v>5</v>
      </c>
      <c r="BO66">
        <f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f>
        <v>5</v>
      </c>
      <c r="BP66">
        <v>3</v>
      </c>
      <c r="BQ66">
        <f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f>
        <v>5</v>
      </c>
      <c r="BR66">
        <v>2</v>
      </c>
      <c r="BS66">
        <f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f>
        <v>5</v>
      </c>
      <c r="BT66">
        <v>2</v>
      </c>
      <c r="BU66">
        <f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f>
        <v>5</v>
      </c>
      <c r="BV66">
        <v>4</v>
      </c>
      <c r="BW66">
        <f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f>
        <v>5</v>
      </c>
      <c r="BX66">
        <v>3</v>
      </c>
      <c r="BY66">
        <f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f>
        <v>5</v>
      </c>
      <c r="BZ66">
        <v>6</v>
      </c>
      <c r="CA66">
        <f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f>
        <v>10</v>
      </c>
      <c r="CB66" t="s">
        <v>638</v>
      </c>
      <c r="CC66" t="str">
        <f>IF(ISTEXT(VLOOKUP(Table_EH_Pre_Survey_May_20__2023_08_229[[#This Row],[Unique Identifier]], 'Post-Survey Full Set'!$D$1:$AU$72, 1, 0)), VLOOKUP(Table_EH_Pre_Survey_May_20__2023_08_229[[#This Row],[Unique Identifier]], 'Post-Survey Full Set'!$D$1:$AU$72, 43, 0), VLOOKUP(Table_EH_Pre_Survey_May_20__2023_08_229[[#This Row],[Unique Identifier]], 'Post-Survey Full Set'!$V$1:$AU$72, 25, 0))</f>
        <v/>
      </c>
    </row>
    <row r="67" spans="1:81" x14ac:dyDescent="0.25">
      <c r="A67" t="s">
        <v>305</v>
      </c>
      <c r="B67" t="s">
        <v>306</v>
      </c>
      <c r="C67" t="s">
        <v>42</v>
      </c>
      <c r="D67" t="s">
        <v>307</v>
      </c>
      <c r="E67" t="str">
        <f>IF(COUNTIF($D$2:$D$103, Table_EH_Pre_Survey_May_20__2023_08_229[[#This Row],[IPAddress - IP Address]])=1, "Unique", "")</f>
        <v/>
      </c>
      <c r="F67" t="str">
        <f>VLOOKUP(Table_EH_Pre_Survey_May_20__2023_08_229[[#This Row],[IPAddress - IP Address]], 'Post-Survey Full Set'!D:AU, 2, 0)</f>
        <v/>
      </c>
      <c r="G67" t="str">
        <f>VLOOKUP(Table_EH_Pre_Survey_May_20__2023_08_229[[#This Row],[IPAddress - IP Address]], 'Post-Survey Full Set'!$D$1:$AU$72, 1, 0)</f>
        <v>69.113.82.163</v>
      </c>
      <c r="I67">
        <v>1</v>
      </c>
      <c r="J67" t="s">
        <v>112</v>
      </c>
      <c r="K67">
        <f>_xlfn.NUMBERVALUE(Table_EH_Pre_Survey_May_20__2023_08_229[[#This Row],[Duration (in seconds) - Duration (in seconds)2]])</f>
        <v>107</v>
      </c>
      <c r="L67" t="s">
        <v>308</v>
      </c>
      <c r="M67" t="s">
        <v>114</v>
      </c>
      <c r="N67" t="s">
        <v>309</v>
      </c>
      <c r="O67" t="str">
        <f>VLOOKUP(Table_EH_Pre_Survey_May_20__2023_08_229[[#This Row],[LocationLatitude - Location Latitude]], 'Post-Survey Full Set'!Q:AU, 1, 0)</f>
        <v>40.5269</v>
      </c>
      <c r="P67" t="str">
        <f>VLOOKUP(Table_EH_Pre_Survey_May_20__2023_08_229[[#This Row],[LocationLongitude - Location Longitude]], 'Post-Survey Full Set'!S:AV, 1, 0)</f>
        <v>-74.3374</v>
      </c>
      <c r="Q67" t="s">
        <v>310</v>
      </c>
      <c r="R67" t="s">
        <v>111</v>
      </c>
      <c r="S67" t="s">
        <v>111</v>
      </c>
      <c r="T67" t="s">
        <v>111</v>
      </c>
      <c r="U67" t="s">
        <v>111</v>
      </c>
      <c r="V67" t="s">
        <v>311</v>
      </c>
      <c r="W67" t="str">
        <f>IF(COUNTIF($V$2:$V$103, Table_EH_Pre_Survey_May_20__2023_08_229[[#This Row],[LocationLatitude - Location Latitude]])=1, "Unique", "")</f>
        <v/>
      </c>
      <c r="X67" t="str">
        <f>VLOOKUP(Table_EH_Pre_Survey_May_20__2023_08_229[[#This Row],[LocationLatitude - Location Latitude]], 'Post-Survey Full Set'!Q:AU, 2, 0)</f>
        <v/>
      </c>
      <c r="Y67" t="s">
        <v>312</v>
      </c>
      <c r="Z67" t="e">
        <f>VLOOKUP(Table_EH_Pre_Survey_May_20__2023_08_229[[#This Row],[ResponseId - Response ID]], 'Post-Survey Full Set'!L:AU, 1, 0)</f>
        <v>#N/A</v>
      </c>
      <c r="AA67" t="s">
        <v>127</v>
      </c>
      <c r="AB67" t="s">
        <v>117</v>
      </c>
      <c r="AC67" s="35" t="s">
        <v>313</v>
      </c>
      <c r="AD67" t="s">
        <v>313</v>
      </c>
      <c r="AE67" t="str">
        <f>IF(ISTEXT(Table_EH_Pre_Survey_May_20__2023_08_229[[#This Row],[Post-Survey NetID''s]]) = TRUE, "Match", "")</f>
        <v>Match</v>
      </c>
      <c r="AF67" t="str">
        <f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f>
        <v>aar258</v>
      </c>
      <c r="AG67" t="str">
        <f>IF(Table_EH_Pre_Survey_May_20__2023_08_229[[#This Row],[NetID Match]] = "Match",  "Match", IF(ISTEXT(Table_EH_Pre_Survey_May_20__2023_08_229[[#This Row],[IP Address Match]]) = TRUE, "Match", ""))</f>
        <v>Match</v>
      </c>
      <c r="AH67" s="8">
        <v>4</v>
      </c>
      <c r="AI67" s="8">
        <f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f>
        <v>5</v>
      </c>
      <c r="AJ67" s="4">
        <v>4</v>
      </c>
      <c r="AK67" s="4">
        <f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f>
        <v>5</v>
      </c>
      <c r="AL67" s="4">
        <v>4</v>
      </c>
      <c r="AM67" s="4">
        <f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f>
        <v>5</v>
      </c>
      <c r="AN67" s="4">
        <v>4</v>
      </c>
      <c r="AO67" s="4">
        <f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f>
        <v>5</v>
      </c>
      <c r="AP67" s="4">
        <v>4</v>
      </c>
      <c r="AQ67" s="4">
        <f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f>
        <v>5</v>
      </c>
      <c r="AR67" s="4">
        <v>4</v>
      </c>
      <c r="AS67" s="4">
        <f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f>
        <v>5</v>
      </c>
      <c r="AT67" s="4">
        <v>4</v>
      </c>
      <c r="AU67" s="4">
        <f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f>
        <v>5</v>
      </c>
      <c r="AV67" s="4">
        <v>3</v>
      </c>
      <c r="AW67" s="4">
        <f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f>
        <v>5</v>
      </c>
      <c r="AX67" s="2">
        <v>3</v>
      </c>
      <c r="AY67" s="2">
        <f>IF(Table_EH_Pre_Survey_May_20__2023_08_229[[#This Row],[Q4]] = 3, 1, IF(Table_EH_Pre_Survey_May_20__2023_08_229[[#This Row],[Q4]] = 2.5, 0.5, IF(Table_EH_Pre_Survey_May_20__2023_08_229[[#This Row],[Q4]] = 3.5, 0.5, 0)))</f>
        <v>1</v>
      </c>
      <c r="AZ67" s="2">
        <f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f>
        <v>4.5</v>
      </c>
      <c r="BA67" s="2">
        <f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f>
        <v>0</v>
      </c>
      <c r="BB67" t="s">
        <v>130</v>
      </c>
      <c r="BC67">
        <f>IF(Table_EH_Pre_Survey_May_20__2023_08_229[[#This Row],[Q5 ]]="PM &lt; 2.5 μm", 1, 0)</f>
        <v>0</v>
      </c>
      <c r="BD67" t="str">
        <f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f>
        <v>PM &lt; 2.5 μm</v>
      </c>
      <c r="BE67">
        <f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f>
        <v>1</v>
      </c>
      <c r="BF67" t="s">
        <v>141</v>
      </c>
      <c r="BG67">
        <f>IF(Table_EH_Pre_Survey_May_20__2023_08_229[[#This Row],[Q6]]="Particles of this size are generally absorbed in the respiratory tract and safely excreted in mucus.", 1, 0)</f>
        <v>0</v>
      </c>
      <c r="BH67" t="str">
        <f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f>
        <v>Particles of this size include dust and pollen and are the main source of seasonal rhinitis</v>
      </c>
      <c r="BI67">
        <f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f>
        <v>0</v>
      </c>
      <c r="BJ67" t="s">
        <v>167</v>
      </c>
      <c r="BK67">
        <f>IF(ISNUMBER(SEARCH("Trucks", Table_EH_Pre_Survey_May_20__2023_08_229[[#This Row],[Q7]])) = TRUE, 1, 0) + IF(ISNUMBER(SEARCH("Cars", Table_EH_Pre_Survey_May_20__2023_08_229[[#This Row],[Q7]])) = TRUE, 1, 0) + IF(ISNUMBER(SEARCH("Fireplaces", Table_EH_Pre_Survey_May_20__2023_08_229[[#This Row],[Q7]])) = TRUE, 1, 0) + IF(ISNUMBER(SEARCH("Dirt Roads", Table_EH_Pre_Survey_May_20__2023_08_229[[#This Row],[Q7]])) = TRUE, 1, 0) - IF(ISNUMBER(SEARCH("Electric Vehicles", Table_EH_Pre_Survey_May_20__2023_08_229[[#This Row],[Q7]])) = TRUE, 1, 0) - IF(ISNUMBER(SEARCH("Pollen", Table_EH_Pre_Survey_May_20__2023_08_229[[#This Row],[Q7]])) = TRUE, 1, 0)</f>
        <v>3</v>
      </c>
      <c r="BL67" t="str">
        <f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f>
        <v>Cars,Dirt Roads,Fireplaces,Pollen,Trucks</v>
      </c>
      <c r="BM67">
        <f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f>
        <v>3</v>
      </c>
      <c r="BN67">
        <v>2</v>
      </c>
      <c r="BO67">
        <f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f>
        <v>5</v>
      </c>
      <c r="BP67">
        <v>1</v>
      </c>
      <c r="BQ67">
        <f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f>
        <v>5</v>
      </c>
      <c r="BR67">
        <v>3</v>
      </c>
      <c r="BS67">
        <f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f>
        <v>5</v>
      </c>
      <c r="BT67">
        <v>1</v>
      </c>
      <c r="BU67">
        <f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f>
        <v>5</v>
      </c>
      <c r="BV67">
        <v>3</v>
      </c>
      <c r="BW67">
        <f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f>
        <v>5</v>
      </c>
      <c r="BX67">
        <v>3</v>
      </c>
      <c r="BY67">
        <f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f>
        <v>5</v>
      </c>
      <c r="BZ67">
        <v>8</v>
      </c>
      <c r="CA67">
        <f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f>
        <v>10</v>
      </c>
      <c r="CB67" t="s">
        <v>314</v>
      </c>
      <c r="CC67" t="str">
        <f>IF(ISTEXT(VLOOKUP(Table_EH_Pre_Survey_May_20__2023_08_229[[#This Row],[Unique Identifier]], 'Post-Survey Full Set'!$D$1:$AU$72, 1, 0)), VLOOKUP(Table_EH_Pre_Survey_May_20__2023_08_229[[#This Row],[Unique Identifier]], 'Post-Survey Full Set'!$D$1:$AU$72, 43, 0), VLOOKUP(Table_EH_Pre_Survey_May_20__2023_08_229[[#This Row],[Unique Identifier]], 'Post-Survey Full Set'!$V$1:$AU$72, 25, 0))</f>
        <v>Pesticides and Glyphosate in the Agriculture Industry</v>
      </c>
    </row>
    <row r="68" spans="1:81" x14ac:dyDescent="0.25">
      <c r="A68" t="s">
        <v>475</v>
      </c>
      <c r="B68" t="s">
        <v>476</v>
      </c>
      <c r="C68" t="s">
        <v>42</v>
      </c>
      <c r="D68" t="s">
        <v>389</v>
      </c>
      <c r="E68" t="str">
        <f>IF(COUNTIF($D$2:$D$103, Table_EH_Pre_Survey_May_20__2023_08_229[[#This Row],[IPAddress - IP Address]])=1, "Unique", "")</f>
        <v/>
      </c>
      <c r="F68" t="str">
        <f>VLOOKUP(Table_EH_Pre_Survey_May_20__2023_08_229[[#This Row],[IPAddress - IP Address]], 'Post-Survey Full Set'!D:AU, 2, 0)</f>
        <v/>
      </c>
      <c r="G68" t="str">
        <f>VLOOKUP(Table_EH_Pre_Survey_May_20__2023_08_229[[#This Row],[IPAddress - IP Address]], 'Post-Survey Full Set'!$D$1:$AU$72, 1, 0)</f>
        <v>130.219.10.90</v>
      </c>
      <c r="I68">
        <v>1</v>
      </c>
      <c r="J68" t="s">
        <v>112</v>
      </c>
      <c r="K68">
        <f>_xlfn.NUMBERVALUE(Table_EH_Pre_Survey_May_20__2023_08_229[[#This Row],[Duration (in seconds) - Duration (in seconds)2]])</f>
        <v>207</v>
      </c>
      <c r="L68" t="s">
        <v>477</v>
      </c>
      <c r="M68" t="s">
        <v>114</v>
      </c>
      <c r="N68" t="s">
        <v>478</v>
      </c>
      <c r="O68" t="str">
        <f>VLOOKUP(Table_EH_Pre_Survey_May_20__2023_08_229[[#This Row],[LocationLatitude - Location Latitude]], 'Post-Survey Full Set'!Q:AU, 1, 0)</f>
        <v>40.7337</v>
      </c>
      <c r="P68" t="str">
        <f>VLOOKUP(Table_EH_Pre_Survey_May_20__2023_08_229[[#This Row],[LocationLongitude - Location Longitude]], 'Post-Survey Full Set'!S:AV, 1, 0)</f>
        <v>-74.1939</v>
      </c>
      <c r="Q68" t="s">
        <v>479</v>
      </c>
      <c r="R68" t="s">
        <v>111</v>
      </c>
      <c r="S68" t="s">
        <v>111</v>
      </c>
      <c r="T68" t="s">
        <v>111</v>
      </c>
      <c r="U68" t="s">
        <v>111</v>
      </c>
      <c r="V68" t="s">
        <v>392</v>
      </c>
      <c r="W68" t="str">
        <f>IF(COUNTIF($V$2:$V$103, Table_EH_Pre_Survey_May_20__2023_08_229[[#This Row],[LocationLatitude - Location Latitude]])=1, "Unique", "")</f>
        <v/>
      </c>
      <c r="X68" t="str">
        <f>VLOOKUP(Table_EH_Pre_Survey_May_20__2023_08_229[[#This Row],[LocationLatitude - Location Latitude]], 'Post-Survey Full Set'!Q:AU, 2, 0)</f>
        <v/>
      </c>
      <c r="Y68" t="s">
        <v>393</v>
      </c>
      <c r="Z68" t="e">
        <f>VLOOKUP(Table_EH_Pre_Survey_May_20__2023_08_229[[#This Row],[ResponseId - Response ID]], 'Post-Survey Full Set'!L:AU, 1, 0)</f>
        <v>#N/A</v>
      </c>
      <c r="AA68" t="s">
        <v>127</v>
      </c>
      <c r="AB68" t="s">
        <v>117</v>
      </c>
      <c r="AC68" s="35" t="s">
        <v>480</v>
      </c>
      <c r="AD68" t="s">
        <v>480</v>
      </c>
      <c r="AE68" t="str">
        <f>IF(ISTEXT(Table_EH_Pre_Survey_May_20__2023_08_229[[#This Row],[Post-Survey NetID''s]]) = TRUE, "Match", "")</f>
        <v>Match</v>
      </c>
      <c r="AF68" t="str">
        <f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f>
        <v>aac195</v>
      </c>
      <c r="AG68" t="str">
        <f>IF(Table_EH_Pre_Survey_May_20__2023_08_229[[#This Row],[NetID Match]] = "Match",  "Match", IF(ISTEXT(Table_EH_Pre_Survey_May_20__2023_08_229[[#This Row],[IP Address Match]]) = TRUE, "Match", ""))</f>
        <v>Match</v>
      </c>
      <c r="AH68" s="8">
        <v>4</v>
      </c>
      <c r="AI68" s="8">
        <f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f>
        <v>5</v>
      </c>
      <c r="AJ68" s="4">
        <v>1</v>
      </c>
      <c r="AK68" s="4">
        <f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f>
        <v>4</v>
      </c>
      <c r="AL68" s="4">
        <v>3</v>
      </c>
      <c r="AM68" s="4">
        <f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f>
        <v>5</v>
      </c>
      <c r="AN68" s="4">
        <v>5</v>
      </c>
      <c r="AO68" s="4">
        <f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f>
        <v>5</v>
      </c>
      <c r="AP68" s="4">
        <v>1</v>
      </c>
      <c r="AQ68" s="4">
        <f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f>
        <v>2</v>
      </c>
      <c r="AR68" s="4">
        <v>3</v>
      </c>
      <c r="AS68" s="4">
        <f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f>
        <v>4</v>
      </c>
      <c r="AT68" s="4">
        <v>4</v>
      </c>
      <c r="AU68" s="4">
        <f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f>
        <v>5</v>
      </c>
      <c r="AV68" s="4">
        <v>1</v>
      </c>
      <c r="AW68" s="4">
        <f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f>
        <v>4</v>
      </c>
      <c r="AX68" s="2">
        <v>4.5</v>
      </c>
      <c r="AY68" s="2">
        <f>IF(Table_EH_Pre_Survey_May_20__2023_08_229[[#This Row],[Q4]] = 3, 1, IF(Table_EH_Pre_Survey_May_20__2023_08_229[[#This Row],[Q4]] = 2.5, 0.5, IF(Table_EH_Pre_Survey_May_20__2023_08_229[[#This Row],[Q4]] = 3.5, 0.5, 0)))</f>
        <v>0</v>
      </c>
      <c r="AZ68" s="2">
        <f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f>
        <v>3</v>
      </c>
      <c r="BA68" s="2">
        <f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f>
        <v>1</v>
      </c>
      <c r="BB68" t="s">
        <v>185</v>
      </c>
      <c r="BC68">
        <f>IF(Table_EH_Pre_Survey_May_20__2023_08_229[[#This Row],[Q5 ]]="PM &lt; 2.5 μm", 1, 0)</f>
        <v>0</v>
      </c>
      <c r="BD68" t="str">
        <f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f>
        <v>PM &lt; 0.25 μm</v>
      </c>
      <c r="BE68">
        <f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f>
        <v>0</v>
      </c>
      <c r="BF68" t="s">
        <v>175</v>
      </c>
      <c r="BG68">
        <f>IF(Table_EH_Pre_Survey_May_20__2023_08_229[[#This Row],[Q6]]="Particles of this size are generally absorbed in the respiratory tract and safely excreted in mucus.", 1, 0)</f>
        <v>1</v>
      </c>
      <c r="BH68" t="str">
        <f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f>
        <v>Particles of this size are generally absorbed in the respiratory tract and safely excreted in mucus.</v>
      </c>
      <c r="BI68">
        <f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f>
        <v>1</v>
      </c>
      <c r="BJ68" t="s">
        <v>232</v>
      </c>
      <c r="BK68">
        <f>IF(ISNUMBER(SEARCH("Trucks", Table_EH_Pre_Survey_May_20__2023_08_229[[#This Row],[Q7]])) = TRUE, 1, 0) + IF(ISNUMBER(SEARCH("Cars", Table_EH_Pre_Survey_May_20__2023_08_229[[#This Row],[Q7]])) = TRUE, 1, 0) + IF(ISNUMBER(SEARCH("Fireplaces", Table_EH_Pre_Survey_May_20__2023_08_229[[#This Row],[Q7]])) = TRUE, 1, 0) + IF(ISNUMBER(SEARCH("Dirt Roads", Table_EH_Pre_Survey_May_20__2023_08_229[[#This Row],[Q7]])) = TRUE, 1, 0) - IF(ISNUMBER(SEARCH("Electric Vehicles", Table_EH_Pre_Survey_May_20__2023_08_229[[#This Row],[Q7]])) = TRUE, 1, 0) - IF(ISNUMBER(SEARCH("Pollen", Table_EH_Pre_Survey_May_20__2023_08_229[[#This Row],[Q7]])) = TRUE, 1, 0)</f>
        <v>1</v>
      </c>
      <c r="BL68" t="str">
        <f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f>
        <v>Cars,Dirt Roads,Pollen,Trucks</v>
      </c>
      <c r="BM68">
        <f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f>
        <v>2</v>
      </c>
      <c r="BN68">
        <v>3</v>
      </c>
      <c r="BO68">
        <f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f>
        <v>4</v>
      </c>
      <c r="BP68">
        <v>2</v>
      </c>
      <c r="BQ68">
        <f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f>
        <v>4</v>
      </c>
      <c r="BR68">
        <v>4</v>
      </c>
      <c r="BS68">
        <f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f>
        <v>5</v>
      </c>
      <c r="BT68">
        <v>4</v>
      </c>
      <c r="BU68">
        <f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f>
        <v>4</v>
      </c>
      <c r="BV68">
        <v>5</v>
      </c>
      <c r="BW68">
        <f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f>
        <v>5</v>
      </c>
      <c r="BX68">
        <v>2</v>
      </c>
      <c r="BY68">
        <f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f>
        <v>5</v>
      </c>
      <c r="BZ68">
        <v>5</v>
      </c>
      <c r="CA68">
        <f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f>
        <v>10</v>
      </c>
      <c r="CB68" t="s">
        <v>481</v>
      </c>
      <c r="CC68" t="str">
        <f>IF(ISTEXT(VLOOKUP(Table_EH_Pre_Survey_May_20__2023_08_229[[#This Row],[Unique Identifier]], 'Post-Survey Full Set'!$D$1:$AU$72, 1, 0)), VLOOKUP(Table_EH_Pre_Survey_May_20__2023_08_229[[#This Row],[Unique Identifier]], 'Post-Survey Full Set'!$D$1:$AU$72, 43, 0), VLOOKUP(Table_EH_Pre_Survey_May_20__2023_08_229[[#This Row],[Unique Identifier]], 'Post-Survey Full Set'!$V$1:$AU$72, 25, 0))</f>
        <v xml:space="preserve">Environmental justice and how physicians can be on the preventative side rather than reactive </v>
      </c>
    </row>
    <row r="69" spans="1:81" hidden="1" x14ac:dyDescent="0.25">
      <c r="A69" t="s">
        <v>158</v>
      </c>
      <c r="B69" t="s">
        <v>159</v>
      </c>
      <c r="C69" t="s">
        <v>42</v>
      </c>
      <c r="D69" t="s">
        <v>160</v>
      </c>
      <c r="E69" t="str">
        <f>IF(COUNTIF($D$2:$D$103, Table_EH_Pre_Survey_May_20__2023_08_229[[#This Row],[IPAddress - IP Address]])=1, "Unique", "")</f>
        <v>Unique</v>
      </c>
      <c r="F69" t="e">
        <f>VLOOKUP(Table_EH_Pre_Survey_May_20__2023_08_229[[#This Row],[IPAddress - IP Address]], 'Post-Survey Full Set'!D:AU, 2, 0)</f>
        <v>#N/A</v>
      </c>
      <c r="G69" t="e">
        <f>VLOOKUP(Table_EH_Pre_Survey_May_20__2023_08_229[[#This Row],[IPAddress - IP Address]], 'Post-Survey Full Set'!$D$1:$AU$72, 1, 0)</f>
        <v>#N/A</v>
      </c>
      <c r="H69" s="35" t="e">
        <v>#N/A</v>
      </c>
      <c r="I69">
        <v>1</v>
      </c>
      <c r="J69" t="s">
        <v>112</v>
      </c>
      <c r="K69">
        <f>_xlfn.NUMBERVALUE(Table_EH_Pre_Survey_May_20__2023_08_229[[#This Row],[Duration (in seconds) - Duration (in seconds)2]])</f>
        <v>224</v>
      </c>
      <c r="L69" t="s">
        <v>161</v>
      </c>
      <c r="M69" t="s">
        <v>114</v>
      </c>
      <c r="N69" t="s">
        <v>162</v>
      </c>
      <c r="O69" t="str">
        <f>VLOOKUP(Table_EH_Pre_Survey_May_20__2023_08_229[[#This Row],[LocationLatitude - Location Latitude]], 'Post-Survey Full Set'!Q:AU, 1, 0)</f>
        <v>40.4992</v>
      </c>
      <c r="P69" t="str">
        <f>VLOOKUP(Table_EH_Pre_Survey_May_20__2023_08_229[[#This Row],[LocationLongitude - Location Longitude]], 'Post-Survey Full Set'!S:AV, 1, 0)</f>
        <v>-74.4996</v>
      </c>
      <c r="Q69" t="s">
        <v>163</v>
      </c>
      <c r="R69" t="s">
        <v>111</v>
      </c>
      <c r="S69" t="s">
        <v>111</v>
      </c>
      <c r="T69" t="s">
        <v>111</v>
      </c>
      <c r="U69" t="s">
        <v>111</v>
      </c>
      <c r="V69" t="s">
        <v>164</v>
      </c>
      <c r="W69" t="str">
        <f>IF(COUNTIF($V$2:$V$103, Table_EH_Pre_Survey_May_20__2023_08_229[[#This Row],[LocationLatitude - Location Latitude]])=1, "Unique", "")</f>
        <v/>
      </c>
      <c r="X69" t="str">
        <f>VLOOKUP(Table_EH_Pre_Survey_May_20__2023_08_229[[#This Row],[LocationLatitude - Location Latitude]], 'Post-Survey Full Set'!Q:AU, 2, 0)</f>
        <v>Unique</v>
      </c>
      <c r="Y69" t="s">
        <v>165</v>
      </c>
      <c r="Z69" t="e">
        <f>VLOOKUP(Table_EH_Pre_Survey_May_20__2023_08_229[[#This Row],[ResponseId - Response ID]], 'Post-Survey Full Set'!L:AU, 1, 0)</f>
        <v>#N/A</v>
      </c>
      <c r="AA69" t="s">
        <v>127</v>
      </c>
      <c r="AB69" t="s">
        <v>117</v>
      </c>
      <c r="AC69" s="35" t="s">
        <v>111</v>
      </c>
      <c r="AE69" t="str">
        <f>IF(ISTEXT(Table_EH_Pre_Survey_May_20__2023_08_229[[#This Row],[Post-Survey NetID''s]]) = TRUE, "Match", "")</f>
        <v/>
      </c>
      <c r="AF69" t="str">
        <f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f>
        <v/>
      </c>
      <c r="AG69" t="str">
        <f>IF(Table_EH_Pre_Survey_May_20__2023_08_229[[#This Row],[NetID Match]] = "Match",  "Match", IF(ISTEXT(Table_EH_Pre_Survey_May_20__2023_08_229[[#This Row],[IP Address Match]]) = TRUE, "Match", ""))</f>
        <v/>
      </c>
      <c r="AH69" s="8">
        <v>4</v>
      </c>
      <c r="AI69" s="8">
        <f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f>
        <v>3</v>
      </c>
      <c r="AJ69" s="4">
        <v>4</v>
      </c>
      <c r="AK69" s="4">
        <f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f>
        <v>4</v>
      </c>
      <c r="AL69" s="4">
        <v>4</v>
      </c>
      <c r="AM69" s="4">
        <f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f>
        <v>4</v>
      </c>
      <c r="AN69" s="4">
        <v>5</v>
      </c>
      <c r="AO69" s="4">
        <f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f>
        <v>4</v>
      </c>
      <c r="AP69" s="4">
        <v>2</v>
      </c>
      <c r="AQ69" s="4">
        <f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f>
        <v>4</v>
      </c>
      <c r="AR69" s="4">
        <v>2</v>
      </c>
      <c r="AS69" s="4">
        <f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f>
        <v>5</v>
      </c>
      <c r="AT69" s="4">
        <v>5</v>
      </c>
      <c r="AU69" s="4">
        <f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f>
        <v>4</v>
      </c>
      <c r="AV69" s="4">
        <v>3</v>
      </c>
      <c r="AW69" s="4">
        <f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f>
        <v>4</v>
      </c>
      <c r="AX69" s="2">
        <v>3</v>
      </c>
      <c r="AY69" s="2">
        <f>IF(Table_EH_Pre_Survey_May_20__2023_08_229[[#This Row],[Q4]] = 3, 1, IF(Table_EH_Pre_Survey_May_20__2023_08_229[[#This Row],[Q4]] = 2.5, 0.5, IF(Table_EH_Pre_Survey_May_20__2023_08_229[[#This Row],[Q4]] = 3.5, 0.5, 0)))</f>
        <v>1</v>
      </c>
      <c r="AZ69" s="2">
        <f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f>
        <v>4</v>
      </c>
      <c r="BA69" s="2">
        <f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f>
        <v>0</v>
      </c>
      <c r="BB69" t="s">
        <v>166</v>
      </c>
      <c r="BC69">
        <f>IF(Table_EH_Pre_Survey_May_20__2023_08_229[[#This Row],[Q5 ]]="PM &lt; 2.5 μm", 1, 0)</f>
        <v>0</v>
      </c>
      <c r="BD69" t="str">
        <f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f>
        <v>PM &lt; 0.25 μm</v>
      </c>
      <c r="BE69">
        <f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f>
        <v>0</v>
      </c>
      <c r="BF69" t="s">
        <v>141</v>
      </c>
      <c r="BG69">
        <f>IF(Table_EH_Pre_Survey_May_20__2023_08_229[[#This Row],[Q6]]="Particles of this size are generally absorbed in the respiratory tract and safely excreted in mucus.", 1, 0)</f>
        <v>0</v>
      </c>
      <c r="BH69" t="str">
        <f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f>
        <v>Particles of this size reach the bronchial tree where they corrode the alveolar parenchyma.</v>
      </c>
      <c r="BI69">
        <f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f>
        <v>0</v>
      </c>
      <c r="BJ69" t="s">
        <v>167</v>
      </c>
      <c r="BK69">
        <f>IF(ISNUMBER(SEARCH("Trucks", Table_EH_Pre_Survey_May_20__2023_08_229[[#This Row],[Q7]])) = TRUE, 1, 0) + IF(ISNUMBER(SEARCH("Cars", Table_EH_Pre_Survey_May_20__2023_08_229[[#This Row],[Q7]])) = TRUE, 1, 0) + IF(ISNUMBER(SEARCH("Fireplaces", Table_EH_Pre_Survey_May_20__2023_08_229[[#This Row],[Q7]])) = TRUE, 1, 0) + IF(ISNUMBER(SEARCH("Dirt Roads", Table_EH_Pre_Survey_May_20__2023_08_229[[#This Row],[Q7]])) = TRUE, 1, 0) - IF(ISNUMBER(SEARCH("Electric Vehicles", Table_EH_Pre_Survey_May_20__2023_08_229[[#This Row],[Q7]])) = TRUE, 1, 0) - IF(ISNUMBER(SEARCH("Pollen", Table_EH_Pre_Survey_May_20__2023_08_229[[#This Row],[Q7]])) = TRUE, 1, 0)</f>
        <v>3</v>
      </c>
      <c r="BL69" t="str">
        <f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f>
        <v>Cars,Dirt Roads,Electric Vehicles,Fireplaces,Trucks</v>
      </c>
      <c r="BM69">
        <f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f>
        <v>3</v>
      </c>
      <c r="BN69">
        <v>4</v>
      </c>
      <c r="BO69">
        <f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f>
        <v>5</v>
      </c>
      <c r="BP69">
        <v>0</v>
      </c>
      <c r="BQ69">
        <f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f>
        <v>5</v>
      </c>
      <c r="BR69">
        <v>2</v>
      </c>
      <c r="BS69">
        <f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f>
        <v>5</v>
      </c>
      <c r="BT69">
        <v>2</v>
      </c>
      <c r="BU69">
        <f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f>
        <v>5</v>
      </c>
      <c r="BV69">
        <v>4</v>
      </c>
      <c r="BW69">
        <f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f>
        <v>5</v>
      </c>
      <c r="BX69">
        <v>3</v>
      </c>
      <c r="BY69">
        <f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f>
        <v>5</v>
      </c>
      <c r="BZ69">
        <v>6</v>
      </c>
      <c r="CA69">
        <f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f>
        <v>10</v>
      </c>
      <c r="CB69" t="s">
        <v>168</v>
      </c>
      <c r="CC69" t="str">
        <f>IF(ISTEXT(VLOOKUP(Table_EH_Pre_Survey_May_20__2023_08_229[[#This Row],[Unique Identifier]], 'Post-Survey Full Set'!$D$1:$AU$72, 1, 0)), VLOOKUP(Table_EH_Pre_Survey_May_20__2023_08_229[[#This Row],[Unique Identifier]], 'Post-Survey Full Set'!$D$1:$AU$72, 43, 0), VLOOKUP(Table_EH_Pre_Survey_May_20__2023_08_229[[#This Row],[Unique Identifier]], 'Post-Survey Full Set'!$V$1:$AU$72, 25, 0))</f>
        <v/>
      </c>
    </row>
    <row r="70" spans="1:81" hidden="1" x14ac:dyDescent="0.25">
      <c r="A70" t="s">
        <v>169</v>
      </c>
      <c r="B70" t="s">
        <v>170</v>
      </c>
      <c r="C70" t="s">
        <v>42</v>
      </c>
      <c r="D70" t="s">
        <v>171</v>
      </c>
      <c r="E70" t="str">
        <f>IF(COUNTIF($D$2:$D$103, Table_EH_Pre_Survey_May_20__2023_08_229[[#This Row],[IPAddress - IP Address]])=1, "Unique", "")</f>
        <v>Unique</v>
      </c>
      <c r="F70" t="e">
        <f>VLOOKUP(Table_EH_Pre_Survey_May_20__2023_08_229[[#This Row],[IPAddress - IP Address]], 'Post-Survey Full Set'!D:AU, 2, 0)</f>
        <v>#N/A</v>
      </c>
      <c r="G70" t="e">
        <f>VLOOKUP(Table_EH_Pre_Survey_May_20__2023_08_229[[#This Row],[IPAddress - IP Address]], 'Post-Survey Full Set'!$D$1:$AU$72, 1, 0)</f>
        <v>#N/A</v>
      </c>
      <c r="H70" s="35" t="e">
        <v>#N/A</v>
      </c>
      <c r="I70">
        <v>1</v>
      </c>
      <c r="J70" t="s">
        <v>112</v>
      </c>
      <c r="K70">
        <f>_xlfn.NUMBERVALUE(Table_EH_Pre_Survey_May_20__2023_08_229[[#This Row],[Duration (in seconds) - Duration (in seconds)2]])</f>
        <v>84</v>
      </c>
      <c r="L70" t="s">
        <v>148</v>
      </c>
      <c r="M70" t="s">
        <v>114</v>
      </c>
      <c r="N70" t="s">
        <v>170</v>
      </c>
      <c r="O70" t="e">
        <f>VLOOKUP(Table_EH_Pre_Survey_May_20__2023_08_229[[#This Row],[LocationLatitude - Location Latitude]], 'Post-Survey Full Set'!Q:AU, 1, 0)</f>
        <v>#N/A</v>
      </c>
      <c r="P70" t="e">
        <f>VLOOKUP(Table_EH_Pre_Survey_May_20__2023_08_229[[#This Row],[LocationLongitude - Location Longitude]], 'Post-Survey Full Set'!S:AV, 1, 0)</f>
        <v>#N/A</v>
      </c>
      <c r="Q70" t="s">
        <v>172</v>
      </c>
      <c r="R70" t="s">
        <v>111</v>
      </c>
      <c r="S70" t="s">
        <v>111</v>
      </c>
      <c r="T70" t="s">
        <v>111</v>
      </c>
      <c r="U70" t="s">
        <v>111</v>
      </c>
      <c r="V70" t="s">
        <v>173</v>
      </c>
      <c r="W70" t="str">
        <f>IF(COUNTIF($V$2:$V$103, Table_EH_Pre_Survey_May_20__2023_08_229[[#This Row],[LocationLatitude - Location Latitude]])=1, "Unique", "")</f>
        <v>Unique</v>
      </c>
      <c r="X70" t="e">
        <f>VLOOKUP(Table_EH_Pre_Survey_May_20__2023_08_229[[#This Row],[LocationLatitude - Location Latitude]], 'Post-Survey Full Set'!Q:AU, 2, 0)</f>
        <v>#N/A</v>
      </c>
      <c r="Y70" t="s">
        <v>174</v>
      </c>
      <c r="Z70" t="e">
        <f>VLOOKUP(Table_EH_Pre_Survey_May_20__2023_08_229[[#This Row],[ResponseId - Response ID]], 'Post-Survey Full Set'!L:AU, 1, 0)</f>
        <v>#N/A</v>
      </c>
      <c r="AA70" t="s">
        <v>127</v>
      </c>
      <c r="AB70" t="s">
        <v>117</v>
      </c>
      <c r="AC70" s="35" t="s">
        <v>111</v>
      </c>
      <c r="AE70" t="str">
        <f>IF(ISTEXT(Table_EH_Pre_Survey_May_20__2023_08_229[[#This Row],[Post-Survey NetID''s]]) = TRUE, "Match", "")</f>
        <v/>
      </c>
      <c r="AF70" t="str">
        <f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f>
        <v/>
      </c>
      <c r="AG70" t="str">
        <f>IF(Table_EH_Pre_Survey_May_20__2023_08_229[[#This Row],[NetID Match]] = "Match",  "Match", IF(ISTEXT(Table_EH_Pre_Survey_May_20__2023_08_229[[#This Row],[IP Address Match]]) = TRUE, "Match", ""))</f>
        <v/>
      </c>
      <c r="AH70" s="8">
        <v>4</v>
      </c>
      <c r="AI70" s="8">
        <f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f>
        <v>3</v>
      </c>
      <c r="AJ70" s="4">
        <v>4</v>
      </c>
      <c r="AK70" s="4">
        <f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f>
        <v>4</v>
      </c>
      <c r="AL70" s="4">
        <v>3</v>
      </c>
      <c r="AM70" s="4">
        <f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f>
        <v>4</v>
      </c>
      <c r="AN70" s="4">
        <v>4</v>
      </c>
      <c r="AO70" s="4">
        <f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f>
        <v>4</v>
      </c>
      <c r="AP70" s="4">
        <v>2</v>
      </c>
      <c r="AQ70" s="4">
        <f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f>
        <v>4</v>
      </c>
      <c r="AR70" s="4">
        <v>1</v>
      </c>
      <c r="AS70" s="4">
        <f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f>
        <v>5</v>
      </c>
      <c r="AT70" s="4">
        <v>4</v>
      </c>
      <c r="AU70" s="4">
        <f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f>
        <v>4</v>
      </c>
      <c r="AV70" s="4">
        <v>1</v>
      </c>
      <c r="AW70" s="4">
        <f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f>
        <v>4</v>
      </c>
      <c r="AX70" s="2">
        <v>5</v>
      </c>
      <c r="AY70" s="2">
        <f>IF(Table_EH_Pre_Survey_May_20__2023_08_229[[#This Row],[Q4]] = 3, 1, IF(Table_EH_Pre_Survey_May_20__2023_08_229[[#This Row],[Q4]] = 2.5, 0.5, IF(Table_EH_Pre_Survey_May_20__2023_08_229[[#This Row],[Q4]] = 3.5, 0.5, 0)))</f>
        <v>0</v>
      </c>
      <c r="AZ70" s="2">
        <f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f>
        <v>4</v>
      </c>
      <c r="BA70" s="2">
        <f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f>
        <v>0</v>
      </c>
      <c r="BB70" t="s">
        <v>130</v>
      </c>
      <c r="BC70">
        <f>IF(Table_EH_Pre_Survey_May_20__2023_08_229[[#This Row],[Q5 ]]="PM &lt; 2.5 μm", 1, 0)</f>
        <v>0</v>
      </c>
      <c r="BD70" t="str">
        <f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f>
        <v>PM &lt; 0.25 μm</v>
      </c>
      <c r="BE70">
        <f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f>
        <v>0</v>
      </c>
      <c r="BF70" t="s">
        <v>175</v>
      </c>
      <c r="BG70">
        <f>IF(Table_EH_Pre_Survey_May_20__2023_08_229[[#This Row],[Q6]]="Particles of this size are generally absorbed in the respiratory tract and safely excreted in mucus.", 1, 0)</f>
        <v>1</v>
      </c>
      <c r="BH70" t="str">
        <f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f>
        <v>Particles of this size reach the bronchial tree where they corrode the alveolar parenchyma.</v>
      </c>
      <c r="BI70">
        <f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f>
        <v>0</v>
      </c>
      <c r="BJ70" t="s">
        <v>176</v>
      </c>
      <c r="BK70">
        <f>IF(ISNUMBER(SEARCH("Trucks", Table_EH_Pre_Survey_May_20__2023_08_229[[#This Row],[Q7]])) = TRUE, 1, 0) + IF(ISNUMBER(SEARCH("Cars", Table_EH_Pre_Survey_May_20__2023_08_229[[#This Row],[Q7]])) = TRUE, 1, 0) + IF(ISNUMBER(SEARCH("Fireplaces", Table_EH_Pre_Survey_May_20__2023_08_229[[#This Row],[Q7]])) = TRUE, 1, 0) + IF(ISNUMBER(SEARCH("Dirt Roads", Table_EH_Pre_Survey_May_20__2023_08_229[[#This Row],[Q7]])) = TRUE, 1, 0) - IF(ISNUMBER(SEARCH("Electric Vehicles", Table_EH_Pre_Survey_May_20__2023_08_229[[#This Row],[Q7]])) = TRUE, 1, 0) - IF(ISNUMBER(SEARCH("Pollen", Table_EH_Pre_Survey_May_20__2023_08_229[[#This Row],[Q7]])) = TRUE, 1, 0)</f>
        <v>1</v>
      </c>
      <c r="BL70" t="str">
        <f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f>
        <v>Cars,Dirt Roads,Electric Vehicles,Fireplaces,Trucks</v>
      </c>
      <c r="BM70">
        <f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f>
        <v>3</v>
      </c>
      <c r="BN70">
        <v>5</v>
      </c>
      <c r="BO70">
        <f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f>
        <v>5</v>
      </c>
      <c r="BP70">
        <v>4</v>
      </c>
      <c r="BQ70">
        <f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f>
        <v>5</v>
      </c>
      <c r="BR70">
        <v>5</v>
      </c>
      <c r="BS70">
        <f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f>
        <v>5</v>
      </c>
      <c r="BT70">
        <v>4</v>
      </c>
      <c r="BU70">
        <f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f>
        <v>5</v>
      </c>
      <c r="BV70">
        <v>5</v>
      </c>
      <c r="BW70">
        <f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f>
        <v>5</v>
      </c>
      <c r="BX70">
        <v>5</v>
      </c>
      <c r="BY70">
        <f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f>
        <v>5</v>
      </c>
      <c r="BZ70">
        <v>8</v>
      </c>
      <c r="CA70">
        <f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f>
        <v>10</v>
      </c>
      <c r="CB70" t="s">
        <v>111</v>
      </c>
      <c r="CC70" t="str">
        <f>IF(ISTEXT(VLOOKUP(Table_EH_Pre_Survey_May_20__2023_08_229[[#This Row],[Unique Identifier]], 'Post-Survey Full Set'!$D$1:$AU$72, 1, 0)), VLOOKUP(Table_EH_Pre_Survey_May_20__2023_08_229[[#This Row],[Unique Identifier]], 'Post-Survey Full Set'!$D$1:$AU$72, 43, 0), VLOOKUP(Table_EH_Pre_Survey_May_20__2023_08_229[[#This Row],[Unique Identifier]], 'Post-Survey Full Set'!$V$1:$AU$72, 25, 0))</f>
        <v/>
      </c>
    </row>
    <row r="71" spans="1:81" x14ac:dyDescent="0.25">
      <c r="A71" t="s">
        <v>188</v>
      </c>
      <c r="B71" t="s">
        <v>189</v>
      </c>
      <c r="C71" t="s">
        <v>42</v>
      </c>
      <c r="D71" t="s">
        <v>190</v>
      </c>
      <c r="E71" t="str">
        <f>IF(COUNTIF($D$2:$D$103, Table_EH_Pre_Survey_May_20__2023_08_229[[#This Row],[IPAddress - IP Address]])=1, "Unique", "")</f>
        <v/>
      </c>
      <c r="F71" t="str">
        <f>VLOOKUP(Table_EH_Pre_Survey_May_20__2023_08_229[[#This Row],[IPAddress - IP Address]], 'Post-Survey Full Set'!D:AU, 2, 0)</f>
        <v/>
      </c>
      <c r="G71" t="str">
        <f>VLOOKUP(Table_EH_Pre_Survey_May_20__2023_08_229[[#This Row],[IPAddress - IP Address]], 'Post-Survey Full Set'!$D$1:$AU$72, 1, 0)</f>
        <v>72.88.214.37</v>
      </c>
      <c r="I71">
        <v>1</v>
      </c>
      <c r="J71" t="s">
        <v>112</v>
      </c>
      <c r="K71">
        <f>_xlfn.NUMBERVALUE(Table_EH_Pre_Survey_May_20__2023_08_229[[#This Row],[Duration (in seconds) - Duration (in seconds)2]])</f>
        <v>163</v>
      </c>
      <c r="L71" t="s">
        <v>191</v>
      </c>
      <c r="M71" t="s">
        <v>114</v>
      </c>
      <c r="N71" t="s">
        <v>189</v>
      </c>
      <c r="O71" t="str">
        <f>VLOOKUP(Table_EH_Pre_Survey_May_20__2023_08_229[[#This Row],[LocationLatitude - Location Latitude]], 'Post-Survey Full Set'!Q:AU, 1, 0)</f>
        <v>40.4999</v>
      </c>
      <c r="P71" t="str">
        <f>VLOOKUP(Table_EH_Pre_Survey_May_20__2023_08_229[[#This Row],[LocationLongitude - Location Longitude]], 'Post-Survey Full Set'!S:AV, 1, 0)</f>
        <v>-74.4247</v>
      </c>
      <c r="Q71" t="s">
        <v>192</v>
      </c>
      <c r="R71" t="s">
        <v>111</v>
      </c>
      <c r="S71" t="s">
        <v>111</v>
      </c>
      <c r="T71" t="s">
        <v>111</v>
      </c>
      <c r="U71" t="s">
        <v>111</v>
      </c>
      <c r="V71" t="s">
        <v>193</v>
      </c>
      <c r="W71" t="str">
        <f>IF(COUNTIF($V$2:$V$103, Table_EH_Pre_Survey_May_20__2023_08_229[[#This Row],[LocationLatitude - Location Latitude]])=1, "Unique", "")</f>
        <v/>
      </c>
      <c r="X71" t="str">
        <f>VLOOKUP(Table_EH_Pre_Survey_May_20__2023_08_229[[#This Row],[LocationLatitude - Location Latitude]], 'Post-Survey Full Set'!Q:AU, 2, 0)</f>
        <v/>
      </c>
      <c r="Y71" t="s">
        <v>194</v>
      </c>
      <c r="Z71" t="e">
        <f>VLOOKUP(Table_EH_Pre_Survey_May_20__2023_08_229[[#This Row],[ResponseId - Response ID]], 'Post-Survey Full Set'!L:AU, 1, 0)</f>
        <v>#N/A</v>
      </c>
      <c r="AA71" t="s">
        <v>127</v>
      </c>
      <c r="AB71" t="s">
        <v>117</v>
      </c>
      <c r="AC71" t="s">
        <v>1271</v>
      </c>
      <c r="AD71" t="s">
        <v>1271</v>
      </c>
      <c r="AE71" t="str">
        <f>IF(ISTEXT(Table_EH_Pre_Survey_May_20__2023_08_229[[#This Row],[Post-Survey NetID''s]]) = TRUE, "Match", "")</f>
        <v>Match</v>
      </c>
      <c r="AF71" t="str">
        <f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f>
        <v>pmg128</v>
      </c>
      <c r="AG71" t="str">
        <f>IF(Table_EH_Pre_Survey_May_20__2023_08_229[[#This Row],[NetID Match]] = "Match",  "Match", IF(ISTEXT(Table_EH_Pre_Survey_May_20__2023_08_229[[#This Row],[IP Address Match]]) = TRUE, "Match", ""))</f>
        <v>Match</v>
      </c>
      <c r="AH71" s="8">
        <v>3</v>
      </c>
      <c r="AI71" s="8">
        <f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f>
        <v>5</v>
      </c>
      <c r="AJ71" s="4">
        <v>1</v>
      </c>
      <c r="AK71" s="4">
        <f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f>
        <v>5</v>
      </c>
      <c r="AL71" s="4">
        <v>3</v>
      </c>
      <c r="AM71" s="4">
        <f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f>
        <v>5</v>
      </c>
      <c r="AN71" s="4">
        <v>3</v>
      </c>
      <c r="AO71" s="4">
        <f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f>
        <v>5</v>
      </c>
      <c r="AP71" s="4">
        <v>1</v>
      </c>
      <c r="AQ71" s="4">
        <f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f>
        <v>4</v>
      </c>
      <c r="AR71" s="4">
        <v>5</v>
      </c>
      <c r="AS71" s="4">
        <f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f>
        <v>5</v>
      </c>
      <c r="AT71" s="4">
        <v>5</v>
      </c>
      <c r="AU71" s="4">
        <f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f>
        <v>5</v>
      </c>
      <c r="AV71" s="4">
        <v>1</v>
      </c>
      <c r="AW71" s="4">
        <f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f>
        <v>5</v>
      </c>
      <c r="AX71" s="2">
        <v>2</v>
      </c>
      <c r="AY71" s="2">
        <f>IF(Table_EH_Pre_Survey_May_20__2023_08_229[[#This Row],[Q4]] = 3, 1, IF(Table_EH_Pre_Survey_May_20__2023_08_229[[#This Row],[Q4]] = 2.5, 0.5, IF(Table_EH_Pre_Survey_May_20__2023_08_229[[#This Row],[Q4]] = 3.5, 0.5, 0)))</f>
        <v>0</v>
      </c>
      <c r="AZ71" s="2">
        <f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f>
        <v>3</v>
      </c>
      <c r="BA71" s="2">
        <f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f>
        <v>1</v>
      </c>
      <c r="BB71" t="s">
        <v>185</v>
      </c>
      <c r="BC71">
        <f>IF(Table_EH_Pre_Survey_May_20__2023_08_229[[#This Row],[Q5 ]]="PM &lt; 2.5 μm", 1, 0)</f>
        <v>0</v>
      </c>
      <c r="BD71" t="str">
        <f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f>
        <v>PM &lt; 2.5 μm</v>
      </c>
      <c r="BE71">
        <f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f>
        <v>1</v>
      </c>
      <c r="BF71" t="s">
        <v>155</v>
      </c>
      <c r="BG71">
        <f>IF(Table_EH_Pre_Survey_May_20__2023_08_229[[#This Row],[Q6]]="Particles of this size are generally absorbed in the respiratory tract and safely excreted in mucus.", 1, 0)</f>
        <v>0</v>
      </c>
      <c r="BH71" t="str">
        <f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f>
        <v>Particles of this size are generally absorbed in the respiratory tract and safely excreted in mucus.</v>
      </c>
      <c r="BI71">
        <f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f>
        <v>1</v>
      </c>
      <c r="BJ71" t="s">
        <v>195</v>
      </c>
      <c r="BK71">
        <f>IF(ISNUMBER(SEARCH("Trucks", Table_EH_Pre_Survey_May_20__2023_08_229[[#This Row],[Q7]])) = TRUE, 1, 0) + IF(ISNUMBER(SEARCH("Cars", Table_EH_Pre_Survey_May_20__2023_08_229[[#This Row],[Q7]])) = TRUE, 1, 0) + IF(ISNUMBER(SEARCH("Fireplaces", Table_EH_Pre_Survey_May_20__2023_08_229[[#This Row],[Q7]])) = TRUE, 1, 0) + IF(ISNUMBER(SEARCH("Dirt Roads", Table_EH_Pre_Survey_May_20__2023_08_229[[#This Row],[Q7]])) = TRUE, 1, 0) - IF(ISNUMBER(SEARCH("Electric Vehicles", Table_EH_Pre_Survey_May_20__2023_08_229[[#This Row],[Q7]])) = TRUE, 1, 0) - IF(ISNUMBER(SEARCH("Pollen", Table_EH_Pre_Survey_May_20__2023_08_229[[#This Row],[Q7]])) = TRUE, 1, 0)</f>
        <v>0</v>
      </c>
      <c r="BL71" t="str">
        <f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f>
        <v>Cars,Dirt Roads,Electric Vehicles,Fireplaces,Pollen,Trucks</v>
      </c>
      <c r="BM71">
        <f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f>
        <v>2</v>
      </c>
      <c r="BN71">
        <v>1</v>
      </c>
      <c r="BO71">
        <f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f>
        <v>5</v>
      </c>
      <c r="BP71">
        <v>2</v>
      </c>
      <c r="BQ71">
        <f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f>
        <v>2</v>
      </c>
      <c r="BR71">
        <v>2</v>
      </c>
      <c r="BS71">
        <f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f>
        <v>3</v>
      </c>
      <c r="BU71">
        <f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f>
        <v>3</v>
      </c>
      <c r="BV71">
        <v>2</v>
      </c>
      <c r="BW71">
        <f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f>
        <v>5</v>
      </c>
      <c r="BX71">
        <v>2</v>
      </c>
      <c r="BY71">
        <f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f>
        <v>4</v>
      </c>
      <c r="BZ71">
        <v>7</v>
      </c>
      <c r="CA71">
        <f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f>
        <v>9</v>
      </c>
      <c r="CB71" t="s">
        <v>196</v>
      </c>
      <c r="CC71" t="str">
        <f>IF(ISTEXT(VLOOKUP(Table_EH_Pre_Survey_May_20__2023_08_229[[#This Row],[Unique Identifier]], 'Post-Survey Full Set'!$D$1:$AU$72, 1, 0)), VLOOKUP(Table_EH_Pre_Survey_May_20__2023_08_229[[#This Row],[Unique Identifier]], 'Post-Survey Full Set'!$D$1:$AU$72, 43, 0), VLOOKUP(Table_EH_Pre_Survey_May_20__2023_08_229[[#This Row],[Unique Identifier]], 'Post-Survey Full Set'!$V$1:$AU$72, 25, 0))</f>
        <v/>
      </c>
    </row>
    <row r="72" spans="1:81" hidden="1" x14ac:dyDescent="0.25">
      <c r="A72" t="s">
        <v>217</v>
      </c>
      <c r="B72" t="s">
        <v>218</v>
      </c>
      <c r="C72" t="s">
        <v>42</v>
      </c>
      <c r="D72" t="s">
        <v>219</v>
      </c>
      <c r="E72" t="str">
        <f>IF(COUNTIF($D$2:$D$103, Table_EH_Pre_Survey_May_20__2023_08_229[[#This Row],[IPAddress - IP Address]])=1, "Unique", "")</f>
        <v>Unique</v>
      </c>
      <c r="F72" t="e">
        <f>VLOOKUP(Table_EH_Pre_Survey_May_20__2023_08_229[[#This Row],[IPAddress - IP Address]], 'Post-Survey Full Set'!D:AU, 2, 0)</f>
        <v>#N/A</v>
      </c>
      <c r="G72" t="e">
        <f>VLOOKUP(Table_EH_Pre_Survey_May_20__2023_08_229[[#This Row],[IPAddress - IP Address]], 'Post-Survey Full Set'!$D$1:$AU$72, 1, 0)</f>
        <v>#N/A</v>
      </c>
      <c r="H72" s="35" t="e">
        <v>#N/A</v>
      </c>
      <c r="I72">
        <v>1</v>
      </c>
      <c r="J72" t="s">
        <v>112</v>
      </c>
      <c r="K72">
        <f>_xlfn.NUMBERVALUE(Table_EH_Pre_Survey_May_20__2023_08_229[[#This Row],[Duration (in seconds) - Duration (in seconds)2]])</f>
        <v>139</v>
      </c>
      <c r="L72" t="s">
        <v>220</v>
      </c>
      <c r="M72" t="s">
        <v>114</v>
      </c>
      <c r="N72" t="s">
        <v>218</v>
      </c>
      <c r="O72" t="e">
        <f>VLOOKUP(Table_EH_Pre_Survey_May_20__2023_08_229[[#This Row],[LocationLatitude - Location Latitude]], 'Post-Survey Full Set'!Q:AU, 1, 0)</f>
        <v>#N/A</v>
      </c>
      <c r="P72" t="e">
        <f>VLOOKUP(Table_EH_Pre_Survey_May_20__2023_08_229[[#This Row],[LocationLongitude - Location Longitude]], 'Post-Survey Full Set'!S:AV, 1, 0)</f>
        <v>#N/A</v>
      </c>
      <c r="Q72" t="s">
        <v>221</v>
      </c>
      <c r="R72" t="s">
        <v>111</v>
      </c>
      <c r="S72" t="s">
        <v>111</v>
      </c>
      <c r="T72" t="s">
        <v>111</v>
      </c>
      <c r="U72" t="s">
        <v>111</v>
      </c>
      <c r="V72" t="s">
        <v>222</v>
      </c>
      <c r="W72" t="str">
        <f>IF(COUNTIF($V$2:$V$103, Table_EH_Pre_Survey_May_20__2023_08_229[[#This Row],[LocationLatitude - Location Latitude]])=1, "Unique", "")</f>
        <v>Unique</v>
      </c>
      <c r="X72" t="e">
        <f>VLOOKUP(Table_EH_Pre_Survey_May_20__2023_08_229[[#This Row],[LocationLatitude - Location Latitude]], 'Post-Survey Full Set'!Q:AU, 2, 0)</f>
        <v>#N/A</v>
      </c>
      <c r="Y72" t="s">
        <v>223</v>
      </c>
      <c r="Z72" t="e">
        <f>VLOOKUP(Table_EH_Pre_Survey_May_20__2023_08_229[[#This Row],[ResponseId - Response ID]], 'Post-Survey Full Set'!L:AU, 1, 0)</f>
        <v>#N/A</v>
      </c>
      <c r="AA72" t="s">
        <v>127</v>
      </c>
      <c r="AB72" t="s">
        <v>117</v>
      </c>
      <c r="AC72" s="35" t="s">
        <v>111</v>
      </c>
      <c r="AE72" t="str">
        <f>IF(ISTEXT(Table_EH_Pre_Survey_May_20__2023_08_229[[#This Row],[Post-Survey NetID''s]]) = TRUE, "Match", "")</f>
        <v/>
      </c>
      <c r="AF72" t="str">
        <f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f>
        <v/>
      </c>
      <c r="AG72" t="str">
        <f>IF(Table_EH_Pre_Survey_May_20__2023_08_229[[#This Row],[NetID Match]] = "Match",  "Match", IF(ISTEXT(Table_EH_Pre_Survey_May_20__2023_08_229[[#This Row],[IP Address Match]]) = TRUE, "Match", ""))</f>
        <v/>
      </c>
      <c r="AH72" s="8">
        <v>5</v>
      </c>
      <c r="AI72" s="8">
        <f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f>
        <v>3</v>
      </c>
      <c r="AJ72" s="4">
        <v>4</v>
      </c>
      <c r="AK72" s="4">
        <f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f>
        <v>4</v>
      </c>
      <c r="AL72" s="4">
        <v>5</v>
      </c>
      <c r="AM72" s="4">
        <f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f>
        <v>4</v>
      </c>
      <c r="AN72" s="4">
        <v>5</v>
      </c>
      <c r="AO72" s="4">
        <f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f>
        <v>4</v>
      </c>
      <c r="AP72" s="4">
        <v>1</v>
      </c>
      <c r="AQ72" s="4">
        <f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f>
        <v>4</v>
      </c>
      <c r="AR72" s="4">
        <v>3</v>
      </c>
      <c r="AS72" s="4">
        <f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f>
        <v>5</v>
      </c>
      <c r="AT72" s="4">
        <v>5</v>
      </c>
      <c r="AU72" s="4">
        <f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f>
        <v>4</v>
      </c>
      <c r="AV72" s="4">
        <v>3</v>
      </c>
      <c r="AW72" s="4">
        <f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f>
        <v>4</v>
      </c>
      <c r="AX72" s="2">
        <v>4</v>
      </c>
      <c r="AY72" s="2">
        <f>IF(Table_EH_Pre_Survey_May_20__2023_08_229[[#This Row],[Q4]] = 3, 1, IF(Table_EH_Pre_Survey_May_20__2023_08_229[[#This Row],[Q4]] = 2.5, 0.5, IF(Table_EH_Pre_Survey_May_20__2023_08_229[[#This Row],[Q4]] = 3.5, 0.5, 0)))</f>
        <v>0</v>
      </c>
      <c r="AZ72" s="2">
        <f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f>
        <v>4</v>
      </c>
      <c r="BA72" s="2">
        <f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f>
        <v>0</v>
      </c>
      <c r="BB72" t="s">
        <v>185</v>
      </c>
      <c r="BC72">
        <f>IF(Table_EH_Pre_Survey_May_20__2023_08_229[[#This Row],[Q5 ]]="PM &lt; 2.5 μm", 1, 0)</f>
        <v>0</v>
      </c>
      <c r="BD72" t="str">
        <f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f>
        <v>PM &lt; 0.25 μm</v>
      </c>
      <c r="BE72">
        <f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f>
        <v>0</v>
      </c>
      <c r="BF72" t="s">
        <v>175</v>
      </c>
      <c r="BG72">
        <f>IF(Table_EH_Pre_Survey_May_20__2023_08_229[[#This Row],[Q6]]="Particles of this size are generally absorbed in the respiratory tract and safely excreted in mucus.", 1, 0)</f>
        <v>1</v>
      </c>
      <c r="BH72" t="str">
        <f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f>
        <v>Particles of this size reach the bronchial tree where they corrode the alveolar parenchyma.</v>
      </c>
      <c r="BI72">
        <f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f>
        <v>0</v>
      </c>
      <c r="BJ72" t="s">
        <v>224</v>
      </c>
      <c r="BK72">
        <f>IF(ISNUMBER(SEARCH("Trucks", Table_EH_Pre_Survey_May_20__2023_08_229[[#This Row],[Q7]])) = TRUE, 1, 0) + IF(ISNUMBER(SEARCH("Cars", Table_EH_Pre_Survey_May_20__2023_08_229[[#This Row],[Q7]])) = TRUE, 1, 0) + IF(ISNUMBER(SEARCH("Fireplaces", Table_EH_Pre_Survey_May_20__2023_08_229[[#This Row],[Q7]])) = TRUE, 1, 0) + IF(ISNUMBER(SEARCH("Dirt Roads", Table_EH_Pre_Survey_May_20__2023_08_229[[#This Row],[Q7]])) = TRUE, 1, 0) - IF(ISNUMBER(SEARCH("Electric Vehicles", Table_EH_Pre_Survey_May_20__2023_08_229[[#This Row],[Q7]])) = TRUE, 1, 0) - IF(ISNUMBER(SEARCH("Pollen", Table_EH_Pre_Survey_May_20__2023_08_229[[#This Row],[Q7]])) = TRUE, 1, 0)</f>
        <v>1</v>
      </c>
      <c r="BL72" t="str">
        <f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f>
        <v>Cars,Dirt Roads,Electric Vehicles,Fireplaces,Trucks</v>
      </c>
      <c r="BM72">
        <f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f>
        <v>3</v>
      </c>
      <c r="BN72">
        <v>0</v>
      </c>
      <c r="BO72">
        <f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f>
        <v>5</v>
      </c>
      <c r="BP72">
        <v>0</v>
      </c>
      <c r="BQ72">
        <f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f>
        <v>5</v>
      </c>
      <c r="BR72">
        <v>0</v>
      </c>
      <c r="BS72">
        <f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f>
        <v>5</v>
      </c>
      <c r="BT72">
        <v>0</v>
      </c>
      <c r="BU72">
        <f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f>
        <v>5</v>
      </c>
      <c r="BV72">
        <v>0</v>
      </c>
      <c r="BW72">
        <f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f>
        <v>5</v>
      </c>
      <c r="BX72">
        <v>3</v>
      </c>
      <c r="BY72">
        <f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f>
        <v>5</v>
      </c>
      <c r="BZ72">
        <v>10</v>
      </c>
      <c r="CA72">
        <f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f>
        <v>10</v>
      </c>
      <c r="CB72" t="s">
        <v>111</v>
      </c>
      <c r="CC72" t="str">
        <f>IF(ISTEXT(VLOOKUP(Table_EH_Pre_Survey_May_20__2023_08_229[[#This Row],[Unique Identifier]], 'Post-Survey Full Set'!$D$1:$AU$72, 1, 0)), VLOOKUP(Table_EH_Pre_Survey_May_20__2023_08_229[[#This Row],[Unique Identifier]], 'Post-Survey Full Set'!$D$1:$AU$72, 43, 0), VLOOKUP(Table_EH_Pre_Survey_May_20__2023_08_229[[#This Row],[Unique Identifier]], 'Post-Survey Full Set'!$V$1:$AU$72, 25, 0))</f>
        <v/>
      </c>
    </row>
    <row r="73" spans="1:81" x14ac:dyDescent="0.25">
      <c r="A73" t="s">
        <v>252</v>
      </c>
      <c r="B73" t="s">
        <v>253</v>
      </c>
      <c r="C73" t="s">
        <v>42</v>
      </c>
      <c r="D73" t="s">
        <v>254</v>
      </c>
      <c r="E73" t="str">
        <f>IF(COUNTIF($D$2:$D$103, Table_EH_Pre_Survey_May_20__2023_08_229[[#This Row],[IPAddress - IP Address]])=1, "Unique", "")</f>
        <v>Unique</v>
      </c>
      <c r="F73" t="str">
        <f>VLOOKUP(Table_EH_Pre_Survey_May_20__2023_08_229[[#This Row],[IPAddress - IP Address]], 'Post-Survey Full Set'!D:AU, 2, 0)</f>
        <v>Unique</v>
      </c>
      <c r="G73" t="str">
        <f>VLOOKUP(Table_EH_Pre_Survey_May_20__2023_08_229[[#This Row],[IPAddress - IP Address]], 'Post-Survey Full Set'!$D$1:$AU$72, 1, 0)</f>
        <v>174.44.123.186</v>
      </c>
      <c r="H73" s="35" t="s">
        <v>254</v>
      </c>
      <c r="I73">
        <v>1</v>
      </c>
      <c r="J73" t="s">
        <v>112</v>
      </c>
      <c r="K73">
        <f>_xlfn.NUMBERVALUE(Table_EH_Pre_Survey_May_20__2023_08_229[[#This Row],[Duration (in seconds) - Duration (in seconds)2]])</f>
        <v>140</v>
      </c>
      <c r="L73" t="s">
        <v>122</v>
      </c>
      <c r="M73" t="s">
        <v>114</v>
      </c>
      <c r="N73" t="s">
        <v>253</v>
      </c>
      <c r="O73" t="str">
        <f>VLOOKUP(Table_EH_Pre_Survey_May_20__2023_08_229[[#This Row],[LocationLatitude - Location Latitude]], 'Post-Survey Full Set'!Q:AU, 1, 0)</f>
        <v>40.5859</v>
      </c>
      <c r="P73" t="str">
        <f>VLOOKUP(Table_EH_Pre_Survey_May_20__2023_08_229[[#This Row],[LocationLongitude - Location Longitude]], 'Post-Survey Full Set'!S:AV, 1, 0)</f>
        <v>-74.6832</v>
      </c>
      <c r="Q73" t="s">
        <v>255</v>
      </c>
      <c r="R73" t="s">
        <v>111</v>
      </c>
      <c r="S73" t="s">
        <v>111</v>
      </c>
      <c r="T73" t="s">
        <v>111</v>
      </c>
      <c r="U73" t="s">
        <v>111</v>
      </c>
      <c r="V73" t="s">
        <v>256</v>
      </c>
      <c r="W73" t="str">
        <f>IF(COUNTIF($V$2:$V$103, Table_EH_Pre_Survey_May_20__2023_08_229[[#This Row],[LocationLatitude - Location Latitude]])=1, "Unique", "")</f>
        <v>Unique</v>
      </c>
      <c r="X73" t="str">
        <f>VLOOKUP(Table_EH_Pre_Survey_May_20__2023_08_229[[#This Row],[LocationLatitude - Location Latitude]], 'Post-Survey Full Set'!Q:AU, 2, 0)</f>
        <v>Unique</v>
      </c>
      <c r="Y73" t="s">
        <v>257</v>
      </c>
      <c r="Z73" t="e">
        <f>VLOOKUP(Table_EH_Pre_Survey_May_20__2023_08_229[[#This Row],[ResponseId - Response ID]], 'Post-Survey Full Set'!L:AU, 1, 0)</f>
        <v>#N/A</v>
      </c>
      <c r="AA73" t="s">
        <v>127</v>
      </c>
      <c r="AB73" t="s">
        <v>117</v>
      </c>
      <c r="AC73" s="35" t="s">
        <v>111</v>
      </c>
      <c r="AE73" t="str">
        <f>IF(ISTEXT(Table_EH_Pre_Survey_May_20__2023_08_229[[#This Row],[Post-Survey NetID''s]]) = TRUE, "Match", "")</f>
        <v/>
      </c>
      <c r="AF73" t="str">
        <f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f>
        <v>174.44.123.186</v>
      </c>
      <c r="AG73" t="str">
        <f>IF(Table_EH_Pre_Survey_May_20__2023_08_229[[#This Row],[NetID Match]] = "Match",  "Match", IF(ISTEXT(Table_EH_Pre_Survey_May_20__2023_08_229[[#This Row],[IP Address Match]]) = TRUE, "Match", ""))</f>
        <v>Match</v>
      </c>
      <c r="AH73" s="8">
        <v>5</v>
      </c>
      <c r="AI73" s="8">
        <f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f>
        <v>5</v>
      </c>
      <c r="AJ73" s="4">
        <v>5</v>
      </c>
      <c r="AK73" s="4">
        <f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f>
        <v>5</v>
      </c>
      <c r="AL73" s="4">
        <v>2</v>
      </c>
      <c r="AM73" s="4">
        <f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f>
        <v>4</v>
      </c>
      <c r="AN73" s="4">
        <v>3</v>
      </c>
      <c r="AO73" s="4">
        <f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f>
        <v>3</v>
      </c>
      <c r="AP73" s="4">
        <v>5</v>
      </c>
      <c r="AQ73" s="4">
        <f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f>
        <v>4</v>
      </c>
      <c r="AR73" s="4">
        <v>5</v>
      </c>
      <c r="AS73" s="4">
        <f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f>
        <v>5</v>
      </c>
      <c r="AT73" s="4">
        <v>5</v>
      </c>
      <c r="AU73" s="4">
        <f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f>
        <v>5</v>
      </c>
      <c r="AV73" s="4">
        <v>3</v>
      </c>
      <c r="AW73" s="4">
        <f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f>
        <v>3</v>
      </c>
      <c r="AX73" s="2">
        <v>3</v>
      </c>
      <c r="AY73" s="2">
        <f>IF(Table_EH_Pre_Survey_May_20__2023_08_229[[#This Row],[Q4]] = 3, 1, IF(Table_EH_Pre_Survey_May_20__2023_08_229[[#This Row],[Q4]] = 2.5, 0.5, IF(Table_EH_Pre_Survey_May_20__2023_08_229[[#This Row],[Q4]] = 3.5, 0.5, 0)))</f>
        <v>1</v>
      </c>
      <c r="AZ73" s="2">
        <f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f>
        <v>1.5</v>
      </c>
      <c r="BA73" s="2">
        <f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f>
        <v>0</v>
      </c>
      <c r="BB73" t="s">
        <v>140</v>
      </c>
      <c r="BC73">
        <f>IF(Table_EH_Pre_Survey_May_20__2023_08_229[[#This Row],[Q5 ]]="PM &lt; 2.5 μm", 1, 0)</f>
        <v>1</v>
      </c>
      <c r="BD73" t="str">
        <f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f>
        <v>PM &lt; 2.5 μm</v>
      </c>
      <c r="BE73">
        <f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f>
        <v>1</v>
      </c>
      <c r="BF73" t="s">
        <v>141</v>
      </c>
      <c r="BG73">
        <f>IF(Table_EH_Pre_Survey_May_20__2023_08_229[[#This Row],[Q6]]="Particles of this size are generally absorbed in the respiratory tract and safely excreted in mucus.", 1, 0)</f>
        <v>0</v>
      </c>
      <c r="BH73" t="str">
        <f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f>
        <v>Particles of this size are generally absorbed in the respiratory tract and safely excreted in mucus.</v>
      </c>
      <c r="BI73">
        <f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f>
        <v>1</v>
      </c>
      <c r="BJ73" t="s">
        <v>258</v>
      </c>
      <c r="BK73">
        <f>IF(ISNUMBER(SEARCH("Trucks", Table_EH_Pre_Survey_May_20__2023_08_229[[#This Row],[Q7]])) = TRUE, 1, 0) + IF(ISNUMBER(SEARCH("Cars", Table_EH_Pre_Survey_May_20__2023_08_229[[#This Row],[Q7]])) = TRUE, 1, 0) + IF(ISNUMBER(SEARCH("Fireplaces", Table_EH_Pre_Survey_May_20__2023_08_229[[#This Row],[Q7]])) = TRUE, 1, 0) + IF(ISNUMBER(SEARCH("Dirt Roads", Table_EH_Pre_Survey_May_20__2023_08_229[[#This Row],[Q7]])) = TRUE, 1, 0) - IF(ISNUMBER(SEARCH("Electric Vehicles", Table_EH_Pre_Survey_May_20__2023_08_229[[#This Row],[Q7]])) = TRUE, 1, 0) - IF(ISNUMBER(SEARCH("Pollen", Table_EH_Pre_Survey_May_20__2023_08_229[[#This Row],[Q7]])) = TRUE, 1, 0)</f>
        <v>1</v>
      </c>
      <c r="BL73" t="str">
        <f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f>
        <v>Cars,Fireplaces,Trucks</v>
      </c>
      <c r="BM73">
        <f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f>
        <v>3</v>
      </c>
      <c r="BN73">
        <v>3</v>
      </c>
      <c r="BO73">
        <f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f>
        <v>1</v>
      </c>
      <c r="BP73">
        <v>3</v>
      </c>
      <c r="BQ73">
        <f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f>
        <v>3</v>
      </c>
      <c r="BR73">
        <v>1</v>
      </c>
      <c r="BS73">
        <f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f>
        <v>5</v>
      </c>
      <c r="BT73">
        <v>1</v>
      </c>
      <c r="BU73">
        <f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f>
        <v>3</v>
      </c>
      <c r="BV73">
        <v>5</v>
      </c>
      <c r="BW73">
        <f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f>
        <v>4</v>
      </c>
      <c r="BX73">
        <v>5</v>
      </c>
      <c r="BY73">
        <f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f>
        <v>5</v>
      </c>
      <c r="BZ73">
        <v>9</v>
      </c>
      <c r="CA73">
        <f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f>
        <v>8</v>
      </c>
      <c r="CB73" t="s">
        <v>259</v>
      </c>
      <c r="CC73" t="str">
        <f>IF(ISTEXT(VLOOKUP(Table_EH_Pre_Survey_May_20__2023_08_229[[#This Row],[Unique Identifier]], 'Post-Survey Full Set'!$D$1:$AU$72, 1, 0)), VLOOKUP(Table_EH_Pre_Survey_May_20__2023_08_229[[#This Row],[Unique Identifier]], 'Post-Survey Full Set'!$D$1:$AU$72, 43, 0), VLOOKUP(Table_EH_Pre_Survey_May_20__2023_08_229[[#This Row],[Unique Identifier]], 'Post-Survey Full Set'!$V$1:$AU$72, 25, 0))</f>
        <v>Air quality within homes: gas oven vs. electric, education to provide patients on quickly recognizing if mold, carbon monoxide, radon, etc. is present in their homes.</v>
      </c>
    </row>
    <row r="74" spans="1:81" hidden="1" x14ac:dyDescent="0.25">
      <c r="A74" t="s">
        <v>274</v>
      </c>
      <c r="B74" t="s">
        <v>275</v>
      </c>
      <c r="C74" t="s">
        <v>42</v>
      </c>
      <c r="D74" t="s">
        <v>276</v>
      </c>
      <c r="E74" t="str">
        <f>IF(COUNTIF($D$2:$D$103, Table_EH_Pre_Survey_May_20__2023_08_229[[#This Row],[IPAddress - IP Address]])=1, "Unique", "")</f>
        <v>Unique</v>
      </c>
      <c r="F74" t="e">
        <f>VLOOKUP(Table_EH_Pre_Survey_May_20__2023_08_229[[#This Row],[IPAddress - IP Address]], 'Post-Survey Full Set'!D:AU, 2, 0)</f>
        <v>#N/A</v>
      </c>
      <c r="G74" t="e">
        <f>VLOOKUP(Table_EH_Pre_Survey_May_20__2023_08_229[[#This Row],[IPAddress - IP Address]], 'Post-Survey Full Set'!$D$1:$AU$72, 1, 0)</f>
        <v>#N/A</v>
      </c>
      <c r="H74" s="35" t="e">
        <v>#N/A</v>
      </c>
      <c r="I74">
        <v>1</v>
      </c>
      <c r="J74" t="s">
        <v>112</v>
      </c>
      <c r="K74">
        <f>_xlfn.NUMBERVALUE(Table_EH_Pre_Survey_May_20__2023_08_229[[#This Row],[Duration (in seconds) - Duration (in seconds)2]])</f>
        <v>163</v>
      </c>
      <c r="L74" t="s">
        <v>191</v>
      </c>
      <c r="M74" t="s">
        <v>114</v>
      </c>
      <c r="N74" t="s">
        <v>275</v>
      </c>
      <c r="O74" t="e">
        <f>VLOOKUP(Table_EH_Pre_Survey_May_20__2023_08_229[[#This Row],[LocationLatitude - Location Latitude]], 'Post-Survey Full Set'!Q:AU, 1, 0)</f>
        <v>#N/A</v>
      </c>
      <c r="P74" t="e">
        <f>VLOOKUP(Table_EH_Pre_Survey_May_20__2023_08_229[[#This Row],[LocationLongitude - Location Longitude]], 'Post-Survey Full Set'!S:AV, 1, 0)</f>
        <v>#N/A</v>
      </c>
      <c r="Q74" t="s">
        <v>277</v>
      </c>
      <c r="R74" t="s">
        <v>111</v>
      </c>
      <c r="S74" t="s">
        <v>111</v>
      </c>
      <c r="T74" t="s">
        <v>111</v>
      </c>
      <c r="U74" t="s">
        <v>111</v>
      </c>
      <c r="V74" t="s">
        <v>278</v>
      </c>
      <c r="W74" t="str">
        <f>IF(COUNTIF($V$2:$V$103, Table_EH_Pre_Survey_May_20__2023_08_229[[#This Row],[LocationLatitude - Location Latitude]])=1, "Unique", "")</f>
        <v>Unique</v>
      </c>
      <c r="X74" t="e">
        <f>VLOOKUP(Table_EH_Pre_Survey_May_20__2023_08_229[[#This Row],[LocationLatitude - Location Latitude]], 'Post-Survey Full Set'!Q:AU, 2, 0)</f>
        <v>#N/A</v>
      </c>
      <c r="Y74" t="s">
        <v>279</v>
      </c>
      <c r="Z74" t="e">
        <f>VLOOKUP(Table_EH_Pre_Survey_May_20__2023_08_229[[#This Row],[ResponseId - Response ID]], 'Post-Survey Full Set'!L:AU, 1, 0)</f>
        <v>#N/A</v>
      </c>
      <c r="AA74" t="s">
        <v>127</v>
      </c>
      <c r="AB74" t="s">
        <v>117</v>
      </c>
      <c r="AC74" s="35" t="s">
        <v>111</v>
      </c>
      <c r="AE74" t="str">
        <f>IF(ISTEXT(Table_EH_Pre_Survey_May_20__2023_08_229[[#This Row],[Post-Survey NetID''s]]) = TRUE, "Match", "")</f>
        <v/>
      </c>
      <c r="AF74" t="str">
        <f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f>
        <v/>
      </c>
      <c r="AG74" t="str">
        <f>IF(Table_EH_Pre_Survey_May_20__2023_08_229[[#This Row],[NetID Match]] = "Match",  "Match", IF(ISTEXT(Table_EH_Pre_Survey_May_20__2023_08_229[[#This Row],[IP Address Match]]) = TRUE, "Match", ""))</f>
        <v/>
      </c>
      <c r="AH74" s="8">
        <v>5</v>
      </c>
      <c r="AI74" s="8">
        <f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f>
        <v>3</v>
      </c>
      <c r="AJ74" s="4">
        <v>5</v>
      </c>
      <c r="AK74" s="4">
        <f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f>
        <v>4</v>
      </c>
      <c r="AL74" s="4">
        <v>5</v>
      </c>
      <c r="AM74" s="4">
        <f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f>
        <v>4</v>
      </c>
      <c r="AN74" s="4">
        <v>5</v>
      </c>
      <c r="AO74" s="4">
        <f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f>
        <v>4</v>
      </c>
      <c r="AP74" s="4">
        <v>5</v>
      </c>
      <c r="AQ74" s="4">
        <f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f>
        <v>4</v>
      </c>
      <c r="AR74" s="4">
        <v>5</v>
      </c>
      <c r="AS74" s="4">
        <f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f>
        <v>5</v>
      </c>
      <c r="AT74" s="4">
        <v>5</v>
      </c>
      <c r="AU74" s="4">
        <f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f>
        <v>4</v>
      </c>
      <c r="AV74" s="4">
        <v>5</v>
      </c>
      <c r="AW74" s="4">
        <f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f>
        <v>4</v>
      </c>
      <c r="AX74" s="2">
        <v>5</v>
      </c>
      <c r="AY74" s="2">
        <f>IF(Table_EH_Pre_Survey_May_20__2023_08_229[[#This Row],[Q4]] = 3, 1, IF(Table_EH_Pre_Survey_May_20__2023_08_229[[#This Row],[Q4]] = 2.5, 0.5, IF(Table_EH_Pre_Survey_May_20__2023_08_229[[#This Row],[Q4]] = 3.5, 0.5, 0)))</f>
        <v>0</v>
      </c>
      <c r="AZ74" s="2">
        <f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f>
        <v>4</v>
      </c>
      <c r="BA74" s="2">
        <f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f>
        <v>0</v>
      </c>
      <c r="BB74" t="s">
        <v>154</v>
      </c>
      <c r="BC74">
        <f>IF(Table_EH_Pre_Survey_May_20__2023_08_229[[#This Row],[Q5 ]]="PM &lt; 2.5 μm", 1, 0)</f>
        <v>0</v>
      </c>
      <c r="BD74" t="str">
        <f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f>
        <v>PM &lt; 0.25 μm</v>
      </c>
      <c r="BE74">
        <f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f>
        <v>0</v>
      </c>
      <c r="BF74" t="s">
        <v>131</v>
      </c>
      <c r="BG74">
        <f>IF(Table_EH_Pre_Survey_May_20__2023_08_229[[#This Row],[Q6]]="Particles of this size are generally absorbed in the respiratory tract and safely excreted in mucus.", 1, 0)</f>
        <v>0</v>
      </c>
      <c r="BH74" t="str">
        <f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f>
        <v>Particles of this size reach the bronchial tree where they corrode the alveolar parenchyma.</v>
      </c>
      <c r="BI74">
        <f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f>
        <v>0</v>
      </c>
      <c r="BJ74" t="s">
        <v>280</v>
      </c>
      <c r="BK74">
        <f>IF(ISNUMBER(SEARCH("Trucks", Table_EH_Pre_Survey_May_20__2023_08_229[[#This Row],[Q7]])) = TRUE, 1, 0) + IF(ISNUMBER(SEARCH("Cars", Table_EH_Pre_Survey_May_20__2023_08_229[[#This Row],[Q7]])) = TRUE, 1, 0) + IF(ISNUMBER(SEARCH("Fireplaces", Table_EH_Pre_Survey_May_20__2023_08_229[[#This Row],[Q7]])) = TRUE, 1, 0) + IF(ISNUMBER(SEARCH("Dirt Roads", Table_EH_Pre_Survey_May_20__2023_08_229[[#This Row],[Q7]])) = TRUE, 1, 0) - IF(ISNUMBER(SEARCH("Electric Vehicles", Table_EH_Pre_Survey_May_20__2023_08_229[[#This Row],[Q7]])) = TRUE, 1, 0) - IF(ISNUMBER(SEARCH("Pollen", Table_EH_Pre_Survey_May_20__2023_08_229[[#This Row],[Q7]])) = TRUE, 1, 0)</f>
        <v>2</v>
      </c>
      <c r="BL74" t="str">
        <f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f>
        <v>Cars,Dirt Roads,Electric Vehicles,Fireplaces,Trucks</v>
      </c>
      <c r="BM74">
        <f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f>
        <v>3</v>
      </c>
      <c r="BN74">
        <v>5</v>
      </c>
      <c r="BO74">
        <f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f>
        <v>5</v>
      </c>
      <c r="BP74">
        <v>5</v>
      </c>
      <c r="BQ74">
        <f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f>
        <v>5</v>
      </c>
      <c r="BR74">
        <v>5</v>
      </c>
      <c r="BS74">
        <f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f>
        <v>5</v>
      </c>
      <c r="BT74">
        <v>5</v>
      </c>
      <c r="BU74">
        <f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f>
        <v>5</v>
      </c>
      <c r="BV74">
        <v>5</v>
      </c>
      <c r="BW74">
        <f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f>
        <v>5</v>
      </c>
      <c r="BX74">
        <v>5</v>
      </c>
      <c r="BY74">
        <f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f>
        <v>5</v>
      </c>
      <c r="BZ74">
        <v>10</v>
      </c>
      <c r="CA74">
        <f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f>
        <v>10</v>
      </c>
      <c r="CB74" t="s">
        <v>281</v>
      </c>
      <c r="CC74" t="str">
        <f>IF(ISTEXT(VLOOKUP(Table_EH_Pre_Survey_May_20__2023_08_229[[#This Row],[Unique Identifier]], 'Post-Survey Full Set'!$D$1:$AU$72, 1, 0)), VLOOKUP(Table_EH_Pre_Survey_May_20__2023_08_229[[#This Row],[Unique Identifier]], 'Post-Survey Full Set'!$D$1:$AU$72, 43, 0), VLOOKUP(Table_EH_Pre_Survey_May_20__2023_08_229[[#This Row],[Unique Identifier]], 'Post-Survey Full Set'!$V$1:$AU$72, 25, 0))</f>
        <v/>
      </c>
    </row>
    <row r="75" spans="1:81" hidden="1" x14ac:dyDescent="0.25">
      <c r="A75" t="s">
        <v>321</v>
      </c>
      <c r="B75" t="s">
        <v>322</v>
      </c>
      <c r="C75" t="s">
        <v>42</v>
      </c>
      <c r="D75" t="s">
        <v>323</v>
      </c>
      <c r="E75" t="str">
        <f>IF(COUNTIF($D$2:$D$103, Table_EH_Pre_Survey_May_20__2023_08_229[[#This Row],[IPAddress - IP Address]])=1, "Unique", "")</f>
        <v>Unique</v>
      </c>
      <c r="F75" t="e">
        <f>VLOOKUP(Table_EH_Pre_Survey_May_20__2023_08_229[[#This Row],[IPAddress - IP Address]], 'Post-Survey Full Set'!D:AU, 2, 0)</f>
        <v>#N/A</v>
      </c>
      <c r="G75" t="e">
        <f>VLOOKUP(Table_EH_Pre_Survey_May_20__2023_08_229[[#This Row],[IPAddress - IP Address]], 'Post-Survey Full Set'!$D$1:$AU$72, 1, 0)</f>
        <v>#N/A</v>
      </c>
      <c r="H75" s="35" t="e">
        <v>#N/A</v>
      </c>
      <c r="I75">
        <v>1</v>
      </c>
      <c r="J75" t="s">
        <v>112</v>
      </c>
      <c r="K75">
        <f>_xlfn.NUMBERVALUE(Table_EH_Pre_Survey_May_20__2023_08_229[[#This Row],[Duration (in seconds) - Duration (in seconds)2]])</f>
        <v>163</v>
      </c>
      <c r="L75" t="s">
        <v>191</v>
      </c>
      <c r="M75" t="s">
        <v>114</v>
      </c>
      <c r="N75" t="s">
        <v>322</v>
      </c>
      <c r="O75" t="e">
        <f>VLOOKUP(Table_EH_Pre_Survey_May_20__2023_08_229[[#This Row],[LocationLatitude - Location Latitude]], 'Post-Survey Full Set'!Q:AU, 1, 0)</f>
        <v>#N/A</v>
      </c>
      <c r="P75" t="e">
        <f>VLOOKUP(Table_EH_Pre_Survey_May_20__2023_08_229[[#This Row],[LocationLongitude - Location Longitude]], 'Post-Survey Full Set'!S:AV, 1, 0)</f>
        <v>#N/A</v>
      </c>
      <c r="Q75" t="s">
        <v>324</v>
      </c>
      <c r="R75" t="s">
        <v>111</v>
      </c>
      <c r="S75" t="s">
        <v>111</v>
      </c>
      <c r="T75" t="s">
        <v>111</v>
      </c>
      <c r="U75" t="s">
        <v>111</v>
      </c>
      <c r="V75" t="s">
        <v>325</v>
      </c>
      <c r="W75" t="str">
        <f>IF(COUNTIF($V$2:$V$103, Table_EH_Pre_Survey_May_20__2023_08_229[[#This Row],[LocationLatitude - Location Latitude]])=1, "Unique", "")</f>
        <v>Unique</v>
      </c>
      <c r="X75" t="e">
        <f>VLOOKUP(Table_EH_Pre_Survey_May_20__2023_08_229[[#This Row],[LocationLatitude - Location Latitude]], 'Post-Survey Full Set'!Q:AU, 2, 0)</f>
        <v>#N/A</v>
      </c>
      <c r="Y75" t="s">
        <v>326</v>
      </c>
      <c r="Z75" t="e">
        <f>VLOOKUP(Table_EH_Pre_Survey_May_20__2023_08_229[[#This Row],[ResponseId - Response ID]], 'Post-Survey Full Set'!L:AU, 1, 0)</f>
        <v>#N/A</v>
      </c>
      <c r="AA75" t="s">
        <v>127</v>
      </c>
      <c r="AB75" t="s">
        <v>117</v>
      </c>
      <c r="AC75" s="35" t="s">
        <v>111</v>
      </c>
      <c r="AE75" t="str">
        <f>IF(ISTEXT(Table_EH_Pre_Survey_May_20__2023_08_229[[#This Row],[Post-Survey NetID''s]]) = TRUE, "Match", "")</f>
        <v/>
      </c>
      <c r="AF75" t="str">
        <f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f>
        <v/>
      </c>
      <c r="AG75" t="str">
        <f>IF(Table_EH_Pre_Survey_May_20__2023_08_229[[#This Row],[NetID Match]] = "Match",  "Match", IF(ISTEXT(Table_EH_Pre_Survey_May_20__2023_08_229[[#This Row],[IP Address Match]]) = TRUE, "Match", ""))</f>
        <v/>
      </c>
      <c r="AH75" s="8">
        <v>3</v>
      </c>
      <c r="AI75" s="8">
        <f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f>
        <v>3</v>
      </c>
      <c r="AJ75" s="4">
        <v>3</v>
      </c>
      <c r="AK75" s="4">
        <f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f>
        <v>4</v>
      </c>
      <c r="AL75" s="4">
        <v>4</v>
      </c>
      <c r="AM75" s="4">
        <f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f>
        <v>4</v>
      </c>
      <c r="AN75" s="4">
        <v>5</v>
      </c>
      <c r="AO75" s="4">
        <f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f>
        <v>4</v>
      </c>
      <c r="AP75" s="4">
        <v>3</v>
      </c>
      <c r="AQ75" s="4">
        <f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f>
        <v>4</v>
      </c>
      <c r="AR75" s="4">
        <v>3</v>
      </c>
      <c r="AS75" s="4">
        <f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f>
        <v>5</v>
      </c>
      <c r="AT75" s="4">
        <v>4</v>
      </c>
      <c r="AU75" s="4">
        <f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f>
        <v>4</v>
      </c>
      <c r="AV75" s="4"/>
      <c r="AW75" s="4">
        <f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f>
        <v>4</v>
      </c>
      <c r="AX75" s="2">
        <v>4</v>
      </c>
      <c r="AY75" s="2">
        <f>IF(Table_EH_Pre_Survey_May_20__2023_08_229[[#This Row],[Q4]] = 3, 1, IF(Table_EH_Pre_Survey_May_20__2023_08_229[[#This Row],[Q4]] = 2.5, 0.5, IF(Table_EH_Pre_Survey_May_20__2023_08_229[[#This Row],[Q4]] = 3.5, 0.5, 0)))</f>
        <v>0</v>
      </c>
      <c r="AZ75" s="2">
        <f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f>
        <v>4</v>
      </c>
      <c r="BA75" s="2">
        <f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f>
        <v>0</v>
      </c>
      <c r="BB75" t="s">
        <v>185</v>
      </c>
      <c r="BC75">
        <f>IF(Table_EH_Pre_Survey_May_20__2023_08_229[[#This Row],[Q5 ]]="PM &lt; 2.5 μm", 1, 0)</f>
        <v>0</v>
      </c>
      <c r="BD75" t="str">
        <f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f>
        <v>PM &lt; 0.25 μm</v>
      </c>
      <c r="BE75">
        <f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f>
        <v>0</v>
      </c>
      <c r="BF75" t="s">
        <v>131</v>
      </c>
      <c r="BG75">
        <f>IF(Table_EH_Pre_Survey_May_20__2023_08_229[[#This Row],[Q6]]="Particles of this size are generally absorbed in the respiratory tract and safely excreted in mucus.", 1, 0)</f>
        <v>0</v>
      </c>
      <c r="BH75" t="str">
        <f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f>
        <v>Particles of this size reach the bronchial tree where they corrode the alveolar parenchyma.</v>
      </c>
      <c r="BI75">
        <f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f>
        <v>0</v>
      </c>
      <c r="BJ75" t="s">
        <v>327</v>
      </c>
      <c r="BK75">
        <f>IF(ISNUMBER(SEARCH("Trucks", Table_EH_Pre_Survey_May_20__2023_08_229[[#This Row],[Q7]])) = TRUE, 1, 0) + IF(ISNUMBER(SEARCH("Cars", Table_EH_Pre_Survey_May_20__2023_08_229[[#This Row],[Q7]])) = TRUE, 1, 0) + IF(ISNUMBER(SEARCH("Fireplaces", Table_EH_Pre_Survey_May_20__2023_08_229[[#This Row],[Q7]])) = TRUE, 1, 0) + IF(ISNUMBER(SEARCH("Dirt Roads", Table_EH_Pre_Survey_May_20__2023_08_229[[#This Row],[Q7]])) = TRUE, 1, 0) - IF(ISNUMBER(SEARCH("Electric Vehicles", Table_EH_Pre_Survey_May_20__2023_08_229[[#This Row],[Q7]])) = TRUE, 1, 0) - IF(ISNUMBER(SEARCH("Pollen", Table_EH_Pre_Survey_May_20__2023_08_229[[#This Row],[Q7]])) = TRUE, 1, 0)</f>
        <v>1</v>
      </c>
      <c r="BL75" t="str">
        <f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f>
        <v>Cars,Dirt Roads,Electric Vehicles,Fireplaces,Trucks</v>
      </c>
      <c r="BM75">
        <f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f>
        <v>3</v>
      </c>
      <c r="BN75">
        <v>3</v>
      </c>
      <c r="BO75">
        <f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f>
        <v>5</v>
      </c>
      <c r="BP75">
        <v>4</v>
      </c>
      <c r="BQ75">
        <f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f>
        <v>5</v>
      </c>
      <c r="BR75">
        <v>3</v>
      </c>
      <c r="BS75">
        <f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f>
        <v>5</v>
      </c>
      <c r="BT75">
        <v>3</v>
      </c>
      <c r="BU75">
        <f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f>
        <v>5</v>
      </c>
      <c r="BV75">
        <v>3</v>
      </c>
      <c r="BW75">
        <f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f>
        <v>5</v>
      </c>
      <c r="BX75">
        <v>3</v>
      </c>
      <c r="BY75">
        <f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f>
        <v>5</v>
      </c>
      <c r="BZ75">
        <v>7</v>
      </c>
      <c r="CA75">
        <f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f>
        <v>10</v>
      </c>
      <c r="CB75" t="s">
        <v>328</v>
      </c>
      <c r="CC75" t="str">
        <f>IF(ISTEXT(VLOOKUP(Table_EH_Pre_Survey_May_20__2023_08_229[[#This Row],[Unique Identifier]], 'Post-Survey Full Set'!$D$1:$AU$72, 1, 0)), VLOOKUP(Table_EH_Pre_Survey_May_20__2023_08_229[[#This Row],[Unique Identifier]], 'Post-Survey Full Set'!$D$1:$AU$72, 43, 0), VLOOKUP(Table_EH_Pre_Survey_May_20__2023_08_229[[#This Row],[Unique Identifier]], 'Post-Survey Full Set'!$V$1:$AU$72, 25, 0))</f>
        <v/>
      </c>
    </row>
    <row r="76" spans="1:81" hidden="1" x14ac:dyDescent="0.25">
      <c r="A76" t="s">
        <v>329</v>
      </c>
      <c r="B76" t="s">
        <v>330</v>
      </c>
      <c r="C76" t="s">
        <v>42</v>
      </c>
      <c r="D76" t="s">
        <v>331</v>
      </c>
      <c r="E76" t="str">
        <f>IF(COUNTIF($D$2:$D$103, Table_EH_Pre_Survey_May_20__2023_08_229[[#This Row],[IPAddress - IP Address]])=1, "Unique", "")</f>
        <v>Unique</v>
      </c>
      <c r="F76" t="e">
        <f>VLOOKUP(Table_EH_Pre_Survey_May_20__2023_08_229[[#This Row],[IPAddress - IP Address]], 'Post-Survey Full Set'!D:AU, 2, 0)</f>
        <v>#N/A</v>
      </c>
      <c r="G76" t="e">
        <f>VLOOKUP(Table_EH_Pre_Survey_May_20__2023_08_229[[#This Row],[IPAddress - IP Address]], 'Post-Survey Full Set'!$D$1:$AU$72, 1, 0)</f>
        <v>#N/A</v>
      </c>
      <c r="H76" s="35" t="e">
        <v>#N/A</v>
      </c>
      <c r="I76">
        <v>1</v>
      </c>
      <c r="J76" t="s">
        <v>112</v>
      </c>
      <c r="K76">
        <f>_xlfn.NUMBERVALUE(Table_EH_Pre_Survey_May_20__2023_08_229[[#This Row],[Duration (in seconds) - Duration (in seconds)2]])</f>
        <v>179</v>
      </c>
      <c r="L76" t="s">
        <v>332</v>
      </c>
      <c r="M76" t="s">
        <v>114</v>
      </c>
      <c r="N76" t="s">
        <v>330</v>
      </c>
      <c r="O76" t="e">
        <f>VLOOKUP(Table_EH_Pre_Survey_May_20__2023_08_229[[#This Row],[LocationLatitude - Location Latitude]], 'Post-Survey Full Set'!Q:AU, 1, 0)</f>
        <v>#N/A</v>
      </c>
      <c r="P76" t="e">
        <f>VLOOKUP(Table_EH_Pre_Survey_May_20__2023_08_229[[#This Row],[LocationLongitude - Location Longitude]], 'Post-Survey Full Set'!S:AV, 1, 0)</f>
        <v>#N/A</v>
      </c>
      <c r="Q76" t="s">
        <v>333</v>
      </c>
      <c r="R76" t="s">
        <v>111</v>
      </c>
      <c r="S76" t="s">
        <v>111</v>
      </c>
      <c r="T76" t="s">
        <v>111</v>
      </c>
      <c r="U76" t="s">
        <v>111</v>
      </c>
      <c r="V76" t="s">
        <v>151</v>
      </c>
      <c r="W76" t="str">
        <f>IF(COUNTIF($V$2:$V$103, Table_EH_Pre_Survey_May_20__2023_08_229[[#This Row],[LocationLatitude - Location Latitude]])=1, "Unique", "")</f>
        <v/>
      </c>
      <c r="X76" t="e">
        <f>VLOOKUP(Table_EH_Pre_Survey_May_20__2023_08_229[[#This Row],[LocationLatitude - Location Latitude]], 'Post-Survey Full Set'!Q:AU, 2, 0)</f>
        <v>#N/A</v>
      </c>
      <c r="Y76" t="s">
        <v>152</v>
      </c>
      <c r="Z76" t="e">
        <f>VLOOKUP(Table_EH_Pre_Survey_May_20__2023_08_229[[#This Row],[ResponseId - Response ID]], 'Post-Survey Full Set'!L:AU, 1, 0)</f>
        <v>#N/A</v>
      </c>
      <c r="AA76" t="s">
        <v>127</v>
      </c>
      <c r="AB76" t="s">
        <v>117</v>
      </c>
      <c r="AC76" s="35" t="s">
        <v>111</v>
      </c>
      <c r="AE76" t="str">
        <f>IF(ISTEXT(Table_EH_Pre_Survey_May_20__2023_08_229[[#This Row],[Post-Survey NetID''s]]) = TRUE, "Match", "")</f>
        <v/>
      </c>
      <c r="AF76" t="str">
        <f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f>
        <v/>
      </c>
      <c r="AG76" t="str">
        <f>IF(Table_EH_Pre_Survey_May_20__2023_08_229[[#This Row],[NetID Match]] = "Match",  "Match", IF(ISTEXT(Table_EH_Pre_Survey_May_20__2023_08_229[[#This Row],[IP Address Match]]) = TRUE, "Match", ""))</f>
        <v/>
      </c>
      <c r="AH76" s="8">
        <v>4</v>
      </c>
      <c r="AI76" s="8">
        <f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f>
        <v>3</v>
      </c>
      <c r="AJ76" s="4">
        <v>5</v>
      </c>
      <c r="AK76" s="4">
        <f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f>
        <v>4</v>
      </c>
      <c r="AL76" s="4">
        <v>5</v>
      </c>
      <c r="AM76" s="4">
        <f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f>
        <v>4</v>
      </c>
      <c r="AN76" s="4">
        <v>5</v>
      </c>
      <c r="AO76" s="4">
        <f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f>
        <v>4</v>
      </c>
      <c r="AP76" s="4">
        <v>4</v>
      </c>
      <c r="AQ76" s="4">
        <f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f>
        <v>4</v>
      </c>
      <c r="AR76" s="4">
        <v>5</v>
      </c>
      <c r="AS76" s="4">
        <f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f>
        <v>5</v>
      </c>
      <c r="AT76" s="4">
        <v>5</v>
      </c>
      <c r="AU76" s="4">
        <f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f>
        <v>4</v>
      </c>
      <c r="AV76" s="4">
        <v>4</v>
      </c>
      <c r="AW76" s="4">
        <f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f>
        <v>4</v>
      </c>
      <c r="AX76" s="2">
        <v>4</v>
      </c>
      <c r="AY76" s="2">
        <f>IF(Table_EH_Pre_Survey_May_20__2023_08_229[[#This Row],[Q4]] = 3, 1, IF(Table_EH_Pre_Survey_May_20__2023_08_229[[#This Row],[Q4]] = 2.5, 0.5, IF(Table_EH_Pre_Survey_May_20__2023_08_229[[#This Row],[Q4]] = 3.5, 0.5, 0)))</f>
        <v>0</v>
      </c>
      <c r="AZ76" s="2">
        <f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f>
        <v>4</v>
      </c>
      <c r="BA76" s="2">
        <f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f>
        <v>0</v>
      </c>
      <c r="BB76" t="s">
        <v>140</v>
      </c>
      <c r="BC76">
        <f>IF(Table_EH_Pre_Survey_May_20__2023_08_229[[#This Row],[Q5 ]]="PM &lt; 2.5 μm", 1, 0)</f>
        <v>1</v>
      </c>
      <c r="BD76" t="str">
        <f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f>
        <v>PM &lt; 0.25 μm</v>
      </c>
      <c r="BE76">
        <f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f>
        <v>0</v>
      </c>
      <c r="BF76" t="s">
        <v>141</v>
      </c>
      <c r="BG76">
        <f>IF(Table_EH_Pre_Survey_May_20__2023_08_229[[#This Row],[Q6]]="Particles of this size are generally absorbed in the respiratory tract and safely excreted in mucus.", 1, 0)</f>
        <v>0</v>
      </c>
      <c r="BH76" t="str">
        <f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f>
        <v>Particles of this size reach the bronchial tree where they corrode the alveolar parenchyma.</v>
      </c>
      <c r="BI76">
        <f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f>
        <v>0</v>
      </c>
      <c r="BJ76" t="s">
        <v>156</v>
      </c>
      <c r="BK76">
        <f>IF(ISNUMBER(SEARCH("Trucks", Table_EH_Pre_Survey_May_20__2023_08_229[[#This Row],[Q7]])) = TRUE, 1, 0) + IF(ISNUMBER(SEARCH("Cars", Table_EH_Pre_Survey_May_20__2023_08_229[[#This Row],[Q7]])) = TRUE, 1, 0) + IF(ISNUMBER(SEARCH("Fireplaces", Table_EH_Pre_Survey_May_20__2023_08_229[[#This Row],[Q7]])) = TRUE, 1, 0) + IF(ISNUMBER(SEARCH("Dirt Roads", Table_EH_Pre_Survey_May_20__2023_08_229[[#This Row],[Q7]])) = TRUE, 1, 0) - IF(ISNUMBER(SEARCH("Electric Vehicles", Table_EH_Pre_Survey_May_20__2023_08_229[[#This Row],[Q7]])) = TRUE, 1, 0) - IF(ISNUMBER(SEARCH("Pollen", Table_EH_Pre_Survey_May_20__2023_08_229[[#This Row],[Q7]])) = TRUE, 1, 0)</f>
        <v>4</v>
      </c>
      <c r="BL76" t="str">
        <f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f>
        <v>Cars,Dirt Roads,Electric Vehicles,Fireplaces,Trucks</v>
      </c>
      <c r="BM76">
        <f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f>
        <v>3</v>
      </c>
      <c r="BN76">
        <v>3</v>
      </c>
      <c r="BO76">
        <f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f>
        <v>5</v>
      </c>
      <c r="BP76">
        <v>4</v>
      </c>
      <c r="BQ76">
        <f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f>
        <v>5</v>
      </c>
      <c r="BR76">
        <v>2</v>
      </c>
      <c r="BS76">
        <f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f>
        <v>5</v>
      </c>
      <c r="BT76">
        <v>1</v>
      </c>
      <c r="BU76">
        <f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f>
        <v>5</v>
      </c>
      <c r="BV76">
        <v>1</v>
      </c>
      <c r="BW76">
        <f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f>
        <v>5</v>
      </c>
      <c r="BX76">
        <v>3</v>
      </c>
      <c r="BY76">
        <f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f>
        <v>5</v>
      </c>
      <c r="BZ76">
        <v>8</v>
      </c>
      <c r="CA76">
        <f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f>
        <v>10</v>
      </c>
      <c r="CB76" t="s">
        <v>334</v>
      </c>
      <c r="CC76" t="str">
        <f>IF(ISTEXT(VLOOKUP(Table_EH_Pre_Survey_May_20__2023_08_229[[#This Row],[Unique Identifier]], 'Post-Survey Full Set'!$D$1:$AU$72, 1, 0)), VLOOKUP(Table_EH_Pre_Survey_May_20__2023_08_229[[#This Row],[Unique Identifier]], 'Post-Survey Full Set'!$D$1:$AU$72, 43, 0), VLOOKUP(Table_EH_Pre_Survey_May_20__2023_08_229[[#This Row],[Unique Identifier]], 'Post-Survey Full Set'!$V$1:$AU$72, 25, 0))</f>
        <v/>
      </c>
    </row>
    <row r="77" spans="1:81" x14ac:dyDescent="0.25">
      <c r="A77" t="s">
        <v>345</v>
      </c>
      <c r="B77" t="s">
        <v>346</v>
      </c>
      <c r="C77" t="s">
        <v>42</v>
      </c>
      <c r="D77" t="s">
        <v>347</v>
      </c>
      <c r="E77" t="str">
        <f>IF(COUNTIF($D$2:$D$103, Table_EH_Pre_Survey_May_20__2023_08_229[[#This Row],[IPAddress - IP Address]])=1, "Unique", "")</f>
        <v>Unique</v>
      </c>
      <c r="F77" t="str">
        <f>VLOOKUP(Table_EH_Pre_Survey_May_20__2023_08_229[[#This Row],[IPAddress - IP Address]], 'Post-Survey Full Set'!D:AU, 2, 0)</f>
        <v>Unique</v>
      </c>
      <c r="G77" t="str">
        <f>VLOOKUP(Table_EH_Pre_Survey_May_20__2023_08_229[[#This Row],[IPAddress - IP Address]], 'Post-Survey Full Set'!$D$1:$AU$72, 1, 0)</f>
        <v>24.47.228.164</v>
      </c>
      <c r="H77" s="35" t="s">
        <v>347</v>
      </c>
      <c r="I77">
        <v>1</v>
      </c>
      <c r="J77" t="s">
        <v>112</v>
      </c>
      <c r="K77">
        <f>_xlfn.NUMBERVALUE(Table_EH_Pre_Survey_May_20__2023_08_229[[#This Row],[Duration (in seconds) - Duration (in seconds)2]])</f>
        <v>104</v>
      </c>
      <c r="L77" t="s">
        <v>348</v>
      </c>
      <c r="M77" t="s">
        <v>114</v>
      </c>
      <c r="N77" t="s">
        <v>349</v>
      </c>
      <c r="O77" t="str">
        <f>VLOOKUP(Table_EH_Pre_Survey_May_20__2023_08_229[[#This Row],[LocationLatitude - Location Latitude]], 'Post-Survey Full Set'!Q:AU, 1, 0)</f>
        <v>40.488</v>
      </c>
      <c r="P77" t="str">
        <f>VLOOKUP(Table_EH_Pre_Survey_May_20__2023_08_229[[#This Row],[LocationLongitude - Location Longitude]], 'Post-Survey Full Set'!S:AV, 1, 0)</f>
        <v>-74.4544</v>
      </c>
      <c r="Q77" t="s">
        <v>350</v>
      </c>
      <c r="R77" t="s">
        <v>111</v>
      </c>
      <c r="S77" t="s">
        <v>111</v>
      </c>
      <c r="T77" t="s">
        <v>111</v>
      </c>
      <c r="U77" t="s">
        <v>111</v>
      </c>
      <c r="V77" t="s">
        <v>351</v>
      </c>
      <c r="W77" t="str">
        <f>IF(COUNTIF($V$2:$V$103, Table_EH_Pre_Survey_May_20__2023_08_229[[#This Row],[LocationLatitude - Location Latitude]])=1, "Unique", "")</f>
        <v/>
      </c>
      <c r="X77" t="str">
        <f>VLOOKUP(Table_EH_Pre_Survey_May_20__2023_08_229[[#This Row],[LocationLatitude - Location Latitude]], 'Post-Survey Full Set'!Q:AU, 2, 0)</f>
        <v/>
      </c>
      <c r="Y77" t="s">
        <v>352</v>
      </c>
      <c r="Z77" t="e">
        <f>VLOOKUP(Table_EH_Pre_Survey_May_20__2023_08_229[[#This Row],[ResponseId - Response ID]], 'Post-Survey Full Set'!L:AU, 1, 0)</f>
        <v>#N/A</v>
      </c>
      <c r="AA77" t="s">
        <v>127</v>
      </c>
      <c r="AB77" t="s">
        <v>117</v>
      </c>
      <c r="AC77" s="35" t="s">
        <v>111</v>
      </c>
      <c r="AE77" t="str">
        <f>IF(ISTEXT(Table_EH_Pre_Survey_May_20__2023_08_229[[#This Row],[Post-Survey NetID''s]]) = TRUE, "Match", "")</f>
        <v/>
      </c>
      <c r="AF77" t="str">
        <f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f>
        <v>24.47.228.164</v>
      </c>
      <c r="AG77" t="str">
        <f>IF(Table_EH_Pre_Survey_May_20__2023_08_229[[#This Row],[NetID Match]] = "Match",  "Match", IF(ISTEXT(Table_EH_Pre_Survey_May_20__2023_08_229[[#This Row],[IP Address Match]]) = TRUE, "Match", ""))</f>
        <v>Match</v>
      </c>
      <c r="AH77" s="8">
        <v>4</v>
      </c>
      <c r="AI77" s="8">
        <f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f>
        <v>4</v>
      </c>
      <c r="AJ77" s="4">
        <v>4</v>
      </c>
      <c r="AK77" s="4">
        <f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f>
        <v>5</v>
      </c>
      <c r="AL77" s="4">
        <v>3</v>
      </c>
      <c r="AM77" s="4">
        <f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f>
        <v>3</v>
      </c>
      <c r="AN77" s="4">
        <v>4</v>
      </c>
      <c r="AO77" s="4">
        <f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f>
        <v>3</v>
      </c>
      <c r="AP77" s="4">
        <v>3</v>
      </c>
      <c r="AQ77" s="4">
        <f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f>
        <v>3</v>
      </c>
      <c r="AR77" s="4">
        <v>4</v>
      </c>
      <c r="AS77" s="4">
        <f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f>
        <v>4</v>
      </c>
      <c r="AT77" s="4">
        <v>5</v>
      </c>
      <c r="AU77" s="4">
        <f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f>
        <v>5</v>
      </c>
      <c r="AV77" s="4">
        <v>3</v>
      </c>
      <c r="AW77" s="4">
        <f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f>
        <v>3</v>
      </c>
      <c r="AX77" s="2">
        <v>3</v>
      </c>
      <c r="AY77" s="2">
        <f>IF(Table_EH_Pre_Survey_May_20__2023_08_229[[#This Row],[Q4]] = 3, 1, IF(Table_EH_Pre_Survey_May_20__2023_08_229[[#This Row],[Q4]] = 2.5, 0.5, IF(Table_EH_Pre_Survey_May_20__2023_08_229[[#This Row],[Q4]] = 3.5, 0.5, 0)))</f>
        <v>1</v>
      </c>
      <c r="AZ77" s="2">
        <f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f>
        <v>2.5</v>
      </c>
      <c r="BA77" s="2">
        <f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f>
        <v>0.5</v>
      </c>
      <c r="BB77" t="s">
        <v>154</v>
      </c>
      <c r="BC77">
        <f>IF(Table_EH_Pre_Survey_May_20__2023_08_229[[#This Row],[Q5 ]]="PM &lt; 2.5 μm", 1, 0)</f>
        <v>0</v>
      </c>
      <c r="BD77" t="str">
        <f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f>
        <v>PM &lt; 2.5 μm</v>
      </c>
      <c r="BE77">
        <f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f>
        <v>1</v>
      </c>
      <c r="BF77" t="s">
        <v>141</v>
      </c>
      <c r="BG77">
        <f>IF(Table_EH_Pre_Survey_May_20__2023_08_229[[#This Row],[Q6]]="Particles of this size are generally absorbed in the respiratory tract and safely excreted in mucus.", 1, 0)</f>
        <v>0</v>
      </c>
      <c r="BH77" t="str">
        <f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f>
        <v>Particles of this size reach the bronchial tree where they corrode the alveolar parenchyma.</v>
      </c>
      <c r="BI77">
        <f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f>
        <v>0</v>
      </c>
      <c r="BJ77" t="s">
        <v>353</v>
      </c>
      <c r="BK77">
        <f>IF(ISNUMBER(SEARCH("Trucks", Table_EH_Pre_Survey_May_20__2023_08_229[[#This Row],[Q7]])) = TRUE, 1, 0) + IF(ISNUMBER(SEARCH("Cars", Table_EH_Pre_Survey_May_20__2023_08_229[[#This Row],[Q7]])) = TRUE, 1, 0) + IF(ISNUMBER(SEARCH("Fireplaces", Table_EH_Pre_Survey_May_20__2023_08_229[[#This Row],[Q7]])) = TRUE, 1, 0) + IF(ISNUMBER(SEARCH("Dirt Roads", Table_EH_Pre_Survey_May_20__2023_08_229[[#This Row],[Q7]])) = TRUE, 1, 0) - IF(ISNUMBER(SEARCH("Electric Vehicles", Table_EH_Pre_Survey_May_20__2023_08_229[[#This Row],[Q7]])) = TRUE, 1, 0) - IF(ISNUMBER(SEARCH("Pollen", Table_EH_Pre_Survey_May_20__2023_08_229[[#This Row],[Q7]])) = TRUE, 1, 0)</f>
        <v>3</v>
      </c>
      <c r="BL77" t="str">
        <f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f>
        <v>Cars,Dirt Roads,Electric Vehicles,Fireplaces,Trucks</v>
      </c>
      <c r="BM77">
        <f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f>
        <v>3</v>
      </c>
      <c r="BN77">
        <v>1</v>
      </c>
      <c r="BO77">
        <f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f>
        <v>5</v>
      </c>
      <c r="BP77">
        <v>1</v>
      </c>
      <c r="BQ77">
        <f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f>
        <v>5</v>
      </c>
      <c r="BR77">
        <v>2</v>
      </c>
      <c r="BS77">
        <f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f>
        <v>5</v>
      </c>
      <c r="BT77">
        <v>1</v>
      </c>
      <c r="BU77">
        <f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f>
        <v>5</v>
      </c>
      <c r="BV77">
        <v>2</v>
      </c>
      <c r="BW77">
        <f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f>
        <v>5</v>
      </c>
      <c r="BX77">
        <v>4</v>
      </c>
      <c r="BY77">
        <f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f>
        <v>5</v>
      </c>
      <c r="BZ77">
        <v>7</v>
      </c>
      <c r="CA77">
        <f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f>
        <v>0</v>
      </c>
      <c r="CB77" t="s">
        <v>111</v>
      </c>
      <c r="CC77" t="str">
        <f>IF(ISTEXT(VLOOKUP(Table_EH_Pre_Survey_May_20__2023_08_229[[#This Row],[Unique Identifier]], 'Post-Survey Full Set'!$D$1:$AU$72, 1, 0)), VLOOKUP(Table_EH_Pre_Survey_May_20__2023_08_229[[#This Row],[Unique Identifier]], 'Post-Survey Full Set'!$D$1:$AU$72, 43, 0), VLOOKUP(Table_EH_Pre_Survey_May_20__2023_08_229[[#This Row],[Unique Identifier]], 'Post-Survey Full Set'!$V$1:$AU$72, 25, 0))</f>
        <v/>
      </c>
    </row>
    <row r="78" spans="1:81" x14ac:dyDescent="0.25">
      <c r="A78" t="s">
        <v>364</v>
      </c>
      <c r="B78" t="s">
        <v>365</v>
      </c>
      <c r="C78" t="s">
        <v>42</v>
      </c>
      <c r="D78" t="s">
        <v>366</v>
      </c>
      <c r="E78" t="str">
        <f>IF(COUNTIF($D$2:$D$103, Table_EH_Pre_Survey_May_20__2023_08_229[[#This Row],[IPAddress - IP Address]])=1, "Unique", "")</f>
        <v>Unique</v>
      </c>
      <c r="F78" t="str">
        <f>VLOOKUP(Table_EH_Pre_Survey_May_20__2023_08_229[[#This Row],[IPAddress - IP Address]], 'Post-Survey Full Set'!D:AU, 2, 0)</f>
        <v>Unique</v>
      </c>
      <c r="G78" t="str">
        <f>VLOOKUP(Table_EH_Pre_Survey_May_20__2023_08_229[[#This Row],[IPAddress - IP Address]], 'Post-Survey Full Set'!$D$1:$AU$72, 1, 0)</f>
        <v>69.114.133.129</v>
      </c>
      <c r="H78" s="35" t="s">
        <v>366</v>
      </c>
      <c r="I78">
        <v>1</v>
      </c>
      <c r="J78" t="s">
        <v>112</v>
      </c>
      <c r="K78">
        <f>_xlfn.NUMBERVALUE(Table_EH_Pre_Survey_May_20__2023_08_229[[#This Row],[Duration (in seconds) - Duration (in seconds)2]])</f>
        <v>144</v>
      </c>
      <c r="L78" t="s">
        <v>367</v>
      </c>
      <c r="M78" t="s">
        <v>114</v>
      </c>
      <c r="N78" t="s">
        <v>368</v>
      </c>
      <c r="O78" t="str">
        <f>VLOOKUP(Table_EH_Pre_Survey_May_20__2023_08_229[[#This Row],[LocationLatitude - Location Latitude]], 'Post-Survey Full Set'!Q:AU, 1, 0)</f>
        <v>40.5511</v>
      </c>
      <c r="P78" t="str">
        <f>VLOOKUP(Table_EH_Pre_Survey_May_20__2023_08_229[[#This Row],[LocationLongitude - Location Longitude]], 'Post-Survey Full Set'!S:AV, 1, 0)</f>
        <v>-74.4606</v>
      </c>
      <c r="Q78" t="s">
        <v>369</v>
      </c>
      <c r="R78" t="s">
        <v>111</v>
      </c>
      <c r="S78" t="s">
        <v>111</v>
      </c>
      <c r="T78" t="s">
        <v>111</v>
      </c>
      <c r="U78" t="s">
        <v>111</v>
      </c>
      <c r="V78" t="s">
        <v>115</v>
      </c>
      <c r="W78" t="str">
        <f>IF(COUNTIF($V$2:$V$103, Table_EH_Pre_Survey_May_20__2023_08_229[[#This Row],[LocationLatitude - Location Latitude]])=1, "Unique", "")</f>
        <v/>
      </c>
      <c r="X78" t="str">
        <f>VLOOKUP(Table_EH_Pre_Survey_May_20__2023_08_229[[#This Row],[LocationLatitude - Location Latitude]], 'Post-Survey Full Set'!Q:AU, 2, 0)</f>
        <v/>
      </c>
      <c r="Y78" t="s">
        <v>116</v>
      </c>
      <c r="Z78" t="e">
        <f>VLOOKUP(Table_EH_Pre_Survey_May_20__2023_08_229[[#This Row],[ResponseId - Response ID]], 'Post-Survey Full Set'!L:AU, 1, 0)</f>
        <v>#N/A</v>
      </c>
      <c r="AA78" t="s">
        <v>127</v>
      </c>
      <c r="AB78" t="s">
        <v>117</v>
      </c>
      <c r="AC78" s="35" t="s">
        <v>111</v>
      </c>
      <c r="AE78" t="str">
        <f>IF(ISTEXT(Table_EH_Pre_Survey_May_20__2023_08_229[[#This Row],[Post-Survey NetID''s]]) = TRUE, "Match", "")</f>
        <v/>
      </c>
      <c r="AF78" t="str">
        <f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f>
        <v>69.114.133.129</v>
      </c>
      <c r="AG78" t="str">
        <f>IF(Table_EH_Pre_Survey_May_20__2023_08_229[[#This Row],[NetID Match]] = "Match",  "Match", IF(ISTEXT(Table_EH_Pre_Survey_May_20__2023_08_229[[#This Row],[IP Address Match]]) = TRUE, "Match", ""))</f>
        <v>Match</v>
      </c>
      <c r="AH78" s="8">
        <v>4</v>
      </c>
      <c r="AI78" s="8">
        <f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f>
        <v>5</v>
      </c>
      <c r="AJ78" s="4">
        <v>3</v>
      </c>
      <c r="AK78" s="4">
        <f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f>
        <v>5</v>
      </c>
      <c r="AL78" s="4">
        <v>3</v>
      </c>
      <c r="AM78" s="4">
        <f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f>
        <v>1</v>
      </c>
      <c r="AN78" s="4">
        <v>5</v>
      </c>
      <c r="AO78" s="4">
        <f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f>
        <v>3</v>
      </c>
      <c r="AP78" s="4">
        <v>3</v>
      </c>
      <c r="AQ78" s="4">
        <f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f>
        <v>5</v>
      </c>
      <c r="AR78" s="4">
        <v>4</v>
      </c>
      <c r="AS78" s="4">
        <f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f>
        <v>2</v>
      </c>
      <c r="AT78" s="4">
        <v>5</v>
      </c>
      <c r="AU78" s="4">
        <f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f>
        <v>5</v>
      </c>
      <c r="AV78" s="4">
        <v>3</v>
      </c>
      <c r="AW78" s="4">
        <f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f>
        <v>3</v>
      </c>
      <c r="AX78" s="2">
        <v>3.5</v>
      </c>
      <c r="AY78" s="2">
        <f>IF(Table_EH_Pre_Survey_May_20__2023_08_229[[#This Row],[Q4]] = 3, 1, IF(Table_EH_Pre_Survey_May_20__2023_08_229[[#This Row],[Q4]] = 2.5, 0.5, IF(Table_EH_Pre_Survey_May_20__2023_08_229[[#This Row],[Q4]] = 3.5, 0.5, 0)))</f>
        <v>0.5</v>
      </c>
      <c r="AZ78" s="2">
        <f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f>
        <v>4</v>
      </c>
      <c r="BA78" s="2">
        <f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f>
        <v>0</v>
      </c>
      <c r="BB78" t="s">
        <v>140</v>
      </c>
      <c r="BC78">
        <f>IF(Table_EH_Pre_Survey_May_20__2023_08_229[[#This Row],[Q5 ]]="PM &lt; 2.5 μm", 1, 0)</f>
        <v>1</v>
      </c>
      <c r="BD78" t="str">
        <f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f>
        <v>PM &lt; 0.25 μm</v>
      </c>
      <c r="BE78">
        <f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f>
        <v>0</v>
      </c>
      <c r="BF78" t="s">
        <v>141</v>
      </c>
      <c r="BG78">
        <f>IF(Table_EH_Pre_Survey_May_20__2023_08_229[[#This Row],[Q6]]="Particles of this size are generally absorbed in the respiratory tract and safely excreted in mucus.", 1, 0)</f>
        <v>0</v>
      </c>
      <c r="BH78" t="str">
        <f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f>
        <v>Particles of this diameter are unable to be suspended in air.</v>
      </c>
      <c r="BI78">
        <f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f>
        <v>0</v>
      </c>
      <c r="BJ78" t="s">
        <v>370</v>
      </c>
      <c r="BK78">
        <f>IF(ISNUMBER(SEARCH("Trucks", Table_EH_Pre_Survey_May_20__2023_08_229[[#This Row],[Q7]])) = TRUE, 1, 0) + IF(ISNUMBER(SEARCH("Cars", Table_EH_Pre_Survey_May_20__2023_08_229[[#This Row],[Q7]])) = TRUE, 1, 0) + IF(ISNUMBER(SEARCH("Fireplaces", Table_EH_Pre_Survey_May_20__2023_08_229[[#This Row],[Q7]])) = TRUE, 1, 0) + IF(ISNUMBER(SEARCH("Dirt Roads", Table_EH_Pre_Survey_May_20__2023_08_229[[#This Row],[Q7]])) = TRUE, 1, 0) - IF(ISNUMBER(SEARCH("Electric Vehicles", Table_EH_Pre_Survey_May_20__2023_08_229[[#This Row],[Q7]])) = TRUE, 1, 0) - IF(ISNUMBER(SEARCH("Pollen", Table_EH_Pre_Survey_May_20__2023_08_229[[#This Row],[Q7]])) = TRUE, 1, 0)</f>
        <v>2</v>
      </c>
      <c r="BL78" t="str">
        <f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f>
        <v>Cars,Dirt Roads,Fireplaces,Pollen,Trucks</v>
      </c>
      <c r="BM78">
        <f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f>
        <v>3</v>
      </c>
      <c r="BN78">
        <v>3</v>
      </c>
      <c r="BO78">
        <f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f>
        <v>5</v>
      </c>
      <c r="BP78">
        <v>5</v>
      </c>
      <c r="BQ78">
        <f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f>
        <v>5</v>
      </c>
      <c r="BR78">
        <v>3</v>
      </c>
      <c r="BS78">
        <f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f>
        <v>5</v>
      </c>
      <c r="BT78">
        <v>4</v>
      </c>
      <c r="BU78">
        <f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f>
        <v>2</v>
      </c>
      <c r="BV78">
        <v>4</v>
      </c>
      <c r="BW78">
        <f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f>
        <v>5</v>
      </c>
      <c r="BX78">
        <v>5</v>
      </c>
      <c r="BY78">
        <f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f>
        <v>5</v>
      </c>
      <c r="BZ78">
        <v>8</v>
      </c>
      <c r="CA78">
        <f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f>
        <v>10</v>
      </c>
      <c r="CB78" t="s">
        <v>371</v>
      </c>
      <c r="CC78" t="str">
        <f>IF(ISTEXT(VLOOKUP(Table_EH_Pre_Survey_May_20__2023_08_229[[#This Row],[Unique Identifier]], 'Post-Survey Full Set'!$D$1:$AU$72, 1, 0)), VLOOKUP(Table_EH_Pre_Survey_May_20__2023_08_229[[#This Row],[Unique Identifier]], 'Post-Survey Full Set'!$D$1:$AU$72, 43, 0), VLOOKUP(Table_EH_Pre_Survey_May_20__2023_08_229[[#This Row],[Unique Identifier]], 'Post-Survey Full Set'!$V$1:$AU$72, 25, 0))</f>
        <v>Deeper dive into effects in diff specialties</v>
      </c>
    </row>
    <row r="79" spans="1:81" hidden="1" x14ac:dyDescent="0.25">
      <c r="A79" t="s">
        <v>380</v>
      </c>
      <c r="B79" t="s">
        <v>381</v>
      </c>
      <c r="C79" t="s">
        <v>42</v>
      </c>
      <c r="D79" t="s">
        <v>382</v>
      </c>
      <c r="E79" t="str">
        <f>IF(COUNTIF($D$2:$D$103, Table_EH_Pre_Survey_May_20__2023_08_229[[#This Row],[IPAddress - IP Address]])=1, "Unique", "")</f>
        <v>Unique</v>
      </c>
      <c r="F79" t="e">
        <f>VLOOKUP(Table_EH_Pre_Survey_May_20__2023_08_229[[#This Row],[IPAddress - IP Address]], 'Post-Survey Full Set'!D:AU, 2, 0)</f>
        <v>#N/A</v>
      </c>
      <c r="G79" t="e">
        <f>VLOOKUP(Table_EH_Pre_Survey_May_20__2023_08_229[[#This Row],[IPAddress - IP Address]], 'Post-Survey Full Set'!$D$1:$AU$72, 1, 0)</f>
        <v>#N/A</v>
      </c>
      <c r="H79" s="35" t="e">
        <v>#N/A</v>
      </c>
      <c r="I79">
        <v>1</v>
      </c>
      <c r="J79" t="s">
        <v>112</v>
      </c>
      <c r="K79">
        <f>_xlfn.NUMBERVALUE(Table_EH_Pre_Survey_May_20__2023_08_229[[#This Row],[Duration (in seconds) - Duration (in seconds)2]])</f>
        <v>1710</v>
      </c>
      <c r="L79" t="s">
        <v>383</v>
      </c>
      <c r="M79" t="s">
        <v>114</v>
      </c>
      <c r="N79" t="s">
        <v>384</v>
      </c>
      <c r="O79" t="str">
        <f>VLOOKUP(Table_EH_Pre_Survey_May_20__2023_08_229[[#This Row],[LocationLatitude - Location Latitude]], 'Post-Survey Full Set'!Q:AU, 1, 0)</f>
        <v>40.5175</v>
      </c>
      <c r="P79" t="str">
        <f>VLOOKUP(Table_EH_Pre_Survey_May_20__2023_08_229[[#This Row],[LocationLongitude - Location Longitude]], 'Post-Survey Full Set'!S:AV, 1, 0)</f>
        <v>-74.3991</v>
      </c>
      <c r="Q79" t="s">
        <v>385</v>
      </c>
      <c r="R79" t="s">
        <v>111</v>
      </c>
      <c r="S79" t="s">
        <v>111</v>
      </c>
      <c r="T79" t="s">
        <v>111</v>
      </c>
      <c r="U79" t="s">
        <v>111</v>
      </c>
      <c r="V79" t="s">
        <v>229</v>
      </c>
      <c r="W79" t="str">
        <f>IF(COUNTIF($V$2:$V$103, Table_EH_Pre_Survey_May_20__2023_08_229[[#This Row],[LocationLatitude - Location Latitude]])=1, "Unique", "")</f>
        <v/>
      </c>
      <c r="X79" t="str">
        <f>VLOOKUP(Table_EH_Pre_Survey_May_20__2023_08_229[[#This Row],[LocationLatitude - Location Latitude]], 'Post-Survey Full Set'!Q:AU, 2, 0)</f>
        <v>Unique</v>
      </c>
      <c r="Y79" t="s">
        <v>230</v>
      </c>
      <c r="Z79" t="e">
        <f>VLOOKUP(Table_EH_Pre_Survey_May_20__2023_08_229[[#This Row],[ResponseId - Response ID]], 'Post-Survey Full Set'!L:AU, 1, 0)</f>
        <v>#N/A</v>
      </c>
      <c r="AA79" t="s">
        <v>127</v>
      </c>
      <c r="AB79" t="s">
        <v>117</v>
      </c>
      <c r="AC79" s="35" t="s">
        <v>111</v>
      </c>
      <c r="AE79" t="str">
        <f>IF(ISTEXT(Table_EH_Pre_Survey_May_20__2023_08_229[[#This Row],[Post-Survey NetID''s]]) = TRUE, "Match", "")</f>
        <v/>
      </c>
      <c r="AF79" t="str">
        <f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f>
        <v/>
      </c>
      <c r="AG79" t="str">
        <f>IF(Table_EH_Pre_Survey_May_20__2023_08_229[[#This Row],[NetID Match]] = "Match",  "Match", IF(ISTEXT(Table_EH_Pre_Survey_May_20__2023_08_229[[#This Row],[IP Address Match]]) = TRUE, "Match", ""))</f>
        <v/>
      </c>
      <c r="AH79" s="8">
        <v>3</v>
      </c>
      <c r="AI79" s="8">
        <f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f>
        <v>3</v>
      </c>
      <c r="AJ79" s="4">
        <v>3</v>
      </c>
      <c r="AK79" s="4">
        <f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f>
        <v>4</v>
      </c>
      <c r="AL79" s="4">
        <v>4</v>
      </c>
      <c r="AM79" s="4">
        <f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f>
        <v>4</v>
      </c>
      <c r="AN79" s="4">
        <v>4</v>
      </c>
      <c r="AO79" s="4">
        <f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f>
        <v>4</v>
      </c>
      <c r="AP79" s="4">
        <v>2</v>
      </c>
      <c r="AQ79" s="4">
        <f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f>
        <v>4</v>
      </c>
      <c r="AR79" s="4">
        <v>3</v>
      </c>
      <c r="AS79" s="4">
        <f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f>
        <v>5</v>
      </c>
      <c r="AT79" s="4">
        <v>4</v>
      </c>
      <c r="AU79" s="4">
        <f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f>
        <v>4</v>
      </c>
      <c r="AV79" s="4">
        <v>3</v>
      </c>
      <c r="AW79" s="4">
        <f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f>
        <v>4</v>
      </c>
      <c r="AX79" s="2">
        <v>2.5</v>
      </c>
      <c r="AY79" s="2">
        <f>IF(Table_EH_Pre_Survey_May_20__2023_08_229[[#This Row],[Q4]] = 3, 1, IF(Table_EH_Pre_Survey_May_20__2023_08_229[[#This Row],[Q4]] = 2.5, 0.5, IF(Table_EH_Pre_Survey_May_20__2023_08_229[[#This Row],[Q4]] = 3.5, 0.5, 0)))</f>
        <v>0.5</v>
      </c>
      <c r="AZ79" s="2">
        <f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f>
        <v>4</v>
      </c>
      <c r="BA79" s="2">
        <f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f>
        <v>0</v>
      </c>
      <c r="BB79" t="s">
        <v>130</v>
      </c>
      <c r="BC79">
        <f>IF(Table_EH_Pre_Survey_May_20__2023_08_229[[#This Row],[Q5 ]]="PM &lt; 2.5 μm", 1, 0)</f>
        <v>0</v>
      </c>
      <c r="BD79" t="str">
        <f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f>
        <v>PM &lt; 0.25 μm</v>
      </c>
      <c r="BE79">
        <f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f>
        <v>0</v>
      </c>
      <c r="BF79" t="s">
        <v>141</v>
      </c>
      <c r="BG79">
        <f>IF(Table_EH_Pre_Survey_May_20__2023_08_229[[#This Row],[Q6]]="Particles of this size are generally absorbed in the respiratory tract and safely excreted in mucus.", 1, 0)</f>
        <v>0</v>
      </c>
      <c r="BH79" t="str">
        <f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f>
        <v>Particles of this size reach the bronchial tree where they corrode the alveolar parenchyma.</v>
      </c>
      <c r="BI79">
        <f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f>
        <v>0</v>
      </c>
      <c r="BJ79" t="s">
        <v>167</v>
      </c>
      <c r="BK79">
        <f>IF(ISNUMBER(SEARCH("Trucks", Table_EH_Pre_Survey_May_20__2023_08_229[[#This Row],[Q7]])) = TRUE, 1, 0) + IF(ISNUMBER(SEARCH("Cars", Table_EH_Pre_Survey_May_20__2023_08_229[[#This Row],[Q7]])) = TRUE, 1, 0) + IF(ISNUMBER(SEARCH("Fireplaces", Table_EH_Pre_Survey_May_20__2023_08_229[[#This Row],[Q7]])) = TRUE, 1, 0) + IF(ISNUMBER(SEARCH("Dirt Roads", Table_EH_Pre_Survey_May_20__2023_08_229[[#This Row],[Q7]])) = TRUE, 1, 0) - IF(ISNUMBER(SEARCH("Electric Vehicles", Table_EH_Pre_Survey_May_20__2023_08_229[[#This Row],[Q7]])) = TRUE, 1, 0) - IF(ISNUMBER(SEARCH("Pollen", Table_EH_Pre_Survey_May_20__2023_08_229[[#This Row],[Q7]])) = TRUE, 1, 0)</f>
        <v>3</v>
      </c>
      <c r="BL79" t="str">
        <f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f>
        <v>Cars,Dirt Roads,Electric Vehicles,Fireplaces,Trucks</v>
      </c>
      <c r="BM79">
        <f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f>
        <v>3</v>
      </c>
      <c r="BN79">
        <v>5</v>
      </c>
      <c r="BO79">
        <f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f>
        <v>5</v>
      </c>
      <c r="BP79">
        <v>3</v>
      </c>
      <c r="BQ79">
        <f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f>
        <v>5</v>
      </c>
      <c r="BR79">
        <v>3</v>
      </c>
      <c r="BS79">
        <f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f>
        <v>5</v>
      </c>
      <c r="BT79">
        <v>2</v>
      </c>
      <c r="BU79">
        <f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f>
        <v>5</v>
      </c>
      <c r="BV79">
        <v>5</v>
      </c>
      <c r="BW79">
        <f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f>
        <v>5</v>
      </c>
      <c r="BX79">
        <v>3</v>
      </c>
      <c r="BY79">
        <f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f>
        <v>5</v>
      </c>
      <c r="BZ79">
        <v>7</v>
      </c>
      <c r="CA79">
        <f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f>
        <v>10</v>
      </c>
      <c r="CB79" t="s">
        <v>386</v>
      </c>
      <c r="CC79" t="str">
        <f>IF(ISTEXT(VLOOKUP(Table_EH_Pre_Survey_May_20__2023_08_229[[#This Row],[Unique Identifier]], 'Post-Survey Full Set'!$D$1:$AU$72, 1, 0)), VLOOKUP(Table_EH_Pre_Survey_May_20__2023_08_229[[#This Row],[Unique Identifier]], 'Post-Survey Full Set'!$D$1:$AU$72, 43, 0), VLOOKUP(Table_EH_Pre_Survey_May_20__2023_08_229[[#This Row],[Unique Identifier]], 'Post-Survey Full Set'!$V$1:$AU$72, 25, 0))</f>
        <v/>
      </c>
    </row>
    <row r="80" spans="1:81" hidden="1" x14ac:dyDescent="0.25">
      <c r="A80" t="s">
        <v>417</v>
      </c>
      <c r="B80" t="s">
        <v>413</v>
      </c>
      <c r="C80" t="s">
        <v>42</v>
      </c>
      <c r="D80" t="s">
        <v>389</v>
      </c>
      <c r="E80" t="str">
        <f>IF(COUNTIF($D$2:$D$103, Table_EH_Pre_Survey_May_20__2023_08_229[[#This Row],[IPAddress - IP Address]])=1, "Unique", "")</f>
        <v/>
      </c>
      <c r="F80" t="str">
        <f>VLOOKUP(Table_EH_Pre_Survey_May_20__2023_08_229[[#This Row],[IPAddress - IP Address]], 'Post-Survey Full Set'!D:AU, 2, 0)</f>
        <v/>
      </c>
      <c r="G80" t="str">
        <f>VLOOKUP(Table_EH_Pre_Survey_May_20__2023_08_229[[#This Row],[IPAddress - IP Address]], 'Post-Survey Full Set'!$D$1:$AU$72, 1, 0)</f>
        <v>130.219.10.90</v>
      </c>
      <c r="I80">
        <v>1</v>
      </c>
      <c r="J80" t="s">
        <v>112</v>
      </c>
      <c r="K80">
        <f>_xlfn.NUMBERVALUE(Table_EH_Pre_Survey_May_20__2023_08_229[[#This Row],[Duration (in seconds) - Duration (in seconds)2]])</f>
        <v>68506</v>
      </c>
      <c r="L80" t="s">
        <v>418</v>
      </c>
      <c r="M80" t="s">
        <v>114</v>
      </c>
      <c r="N80" t="s">
        <v>413</v>
      </c>
      <c r="O80" t="str">
        <f>VLOOKUP(Table_EH_Pre_Survey_May_20__2023_08_229[[#This Row],[LocationLatitude - Location Latitude]], 'Post-Survey Full Set'!Q:AU, 1, 0)</f>
        <v>40.7337</v>
      </c>
      <c r="P80" t="str">
        <f>VLOOKUP(Table_EH_Pre_Survey_May_20__2023_08_229[[#This Row],[LocationLongitude - Location Longitude]], 'Post-Survey Full Set'!S:AV, 1, 0)</f>
        <v>-74.1939</v>
      </c>
      <c r="Q80" t="s">
        <v>419</v>
      </c>
      <c r="R80" t="s">
        <v>111</v>
      </c>
      <c r="S80" t="s">
        <v>111</v>
      </c>
      <c r="T80" t="s">
        <v>111</v>
      </c>
      <c r="U80" t="s">
        <v>111</v>
      </c>
      <c r="V80" t="s">
        <v>392</v>
      </c>
      <c r="W80" t="str">
        <f>IF(COUNTIF($V$2:$V$103, Table_EH_Pre_Survey_May_20__2023_08_229[[#This Row],[LocationLatitude - Location Latitude]])=1, "Unique", "")</f>
        <v/>
      </c>
      <c r="X80" t="str">
        <f>VLOOKUP(Table_EH_Pre_Survey_May_20__2023_08_229[[#This Row],[LocationLatitude - Location Latitude]], 'Post-Survey Full Set'!Q:AU, 2, 0)</f>
        <v/>
      </c>
      <c r="Y80" t="s">
        <v>393</v>
      </c>
      <c r="Z80" t="e">
        <f>VLOOKUP(Table_EH_Pre_Survey_May_20__2023_08_229[[#This Row],[ResponseId - Response ID]], 'Post-Survey Full Set'!L:AU, 1, 0)</f>
        <v>#N/A</v>
      </c>
      <c r="AA80" t="s">
        <v>127</v>
      </c>
      <c r="AB80" t="s">
        <v>117</v>
      </c>
      <c r="AC80" s="35" t="s">
        <v>111</v>
      </c>
      <c r="AE80" t="str">
        <f>IF(ISTEXT(Table_EH_Pre_Survey_May_20__2023_08_229[[#This Row],[Post-Survey NetID''s]]) = TRUE, "Match", "")</f>
        <v/>
      </c>
      <c r="AF80" t="str">
        <f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f>
        <v/>
      </c>
      <c r="AG80" t="str">
        <f>IF(Table_EH_Pre_Survey_May_20__2023_08_229[[#This Row],[NetID Match]] = "Match",  "Match", IF(ISTEXT(Table_EH_Pre_Survey_May_20__2023_08_229[[#This Row],[IP Address Match]]) = TRUE, "Match", ""))</f>
        <v/>
      </c>
      <c r="AH80" s="8">
        <v>4</v>
      </c>
      <c r="AI80" s="8">
        <f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f>
        <v>3</v>
      </c>
      <c r="AJ80" s="4">
        <v>2</v>
      </c>
      <c r="AK80" s="4">
        <f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f>
        <v>4</v>
      </c>
      <c r="AL80" s="4">
        <v>4</v>
      </c>
      <c r="AM80" s="4">
        <f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f>
        <v>4</v>
      </c>
      <c r="AN80" s="4">
        <v>4</v>
      </c>
      <c r="AO80" s="4">
        <f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f>
        <v>4</v>
      </c>
      <c r="AP80" s="4">
        <v>2</v>
      </c>
      <c r="AQ80" s="4">
        <f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f>
        <v>4</v>
      </c>
      <c r="AR80" s="4">
        <v>2</v>
      </c>
      <c r="AS80" s="4">
        <f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f>
        <v>5</v>
      </c>
      <c r="AT80" s="4">
        <v>4</v>
      </c>
      <c r="AU80" s="4">
        <f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f>
        <v>4</v>
      </c>
      <c r="AV80" s="4">
        <v>1</v>
      </c>
      <c r="AW80" s="4">
        <f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f>
        <v>4</v>
      </c>
      <c r="AX80" s="2">
        <v>2</v>
      </c>
      <c r="AY80" s="2">
        <f>IF(Table_EH_Pre_Survey_May_20__2023_08_229[[#This Row],[Q4]] = 3, 1, IF(Table_EH_Pre_Survey_May_20__2023_08_229[[#This Row],[Q4]] = 2.5, 0.5, IF(Table_EH_Pre_Survey_May_20__2023_08_229[[#This Row],[Q4]] = 3.5, 0.5, 0)))</f>
        <v>0</v>
      </c>
      <c r="AZ80" s="2">
        <f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f>
        <v>4</v>
      </c>
      <c r="BA80" s="2">
        <f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f>
        <v>0</v>
      </c>
      <c r="BB80" t="s">
        <v>140</v>
      </c>
      <c r="BC80">
        <f>IF(Table_EH_Pre_Survey_May_20__2023_08_229[[#This Row],[Q5 ]]="PM &lt; 2.5 μm", 1, 0)</f>
        <v>1</v>
      </c>
      <c r="BD80" t="str">
        <f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f>
        <v>PM &lt; 0.25 μm</v>
      </c>
      <c r="BE80">
        <f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f>
        <v>0</v>
      </c>
      <c r="BF80" t="s">
        <v>175</v>
      </c>
      <c r="BG80">
        <f>IF(Table_EH_Pre_Survey_May_20__2023_08_229[[#This Row],[Q6]]="Particles of this size are generally absorbed in the respiratory tract and safely excreted in mucus.", 1, 0)</f>
        <v>1</v>
      </c>
      <c r="BH80" t="str">
        <f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f>
        <v>Particles of this size reach the bronchial tree where they corrode the alveolar parenchyma.</v>
      </c>
      <c r="BI80">
        <f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f>
        <v>0</v>
      </c>
      <c r="BJ80" t="s">
        <v>420</v>
      </c>
      <c r="BK80">
        <f>IF(ISNUMBER(SEARCH("Trucks", Table_EH_Pre_Survey_May_20__2023_08_229[[#This Row],[Q7]])) = TRUE, 1, 0) + IF(ISNUMBER(SEARCH("Cars", Table_EH_Pre_Survey_May_20__2023_08_229[[#This Row],[Q7]])) = TRUE, 1, 0) + IF(ISNUMBER(SEARCH("Fireplaces", Table_EH_Pre_Survey_May_20__2023_08_229[[#This Row],[Q7]])) = TRUE, 1, 0) + IF(ISNUMBER(SEARCH("Dirt Roads", Table_EH_Pre_Survey_May_20__2023_08_229[[#This Row],[Q7]])) = TRUE, 1, 0) - IF(ISNUMBER(SEARCH("Electric Vehicles", Table_EH_Pre_Survey_May_20__2023_08_229[[#This Row],[Q7]])) = TRUE, 1, 0) - IF(ISNUMBER(SEARCH("Pollen", Table_EH_Pre_Survey_May_20__2023_08_229[[#This Row],[Q7]])) = TRUE, 1, 0)</f>
        <v>1</v>
      </c>
      <c r="BL80" t="str">
        <f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f>
        <v>Cars,Dirt Roads,Electric Vehicles,Fireplaces,Trucks</v>
      </c>
      <c r="BM80">
        <f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f>
        <v>3</v>
      </c>
      <c r="BN80">
        <v>2</v>
      </c>
      <c r="BO80">
        <f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f>
        <v>5</v>
      </c>
      <c r="BP80">
        <v>3</v>
      </c>
      <c r="BQ80">
        <f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f>
        <v>5</v>
      </c>
      <c r="BR80">
        <v>2</v>
      </c>
      <c r="BS80">
        <f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f>
        <v>5</v>
      </c>
      <c r="BT80">
        <v>2</v>
      </c>
      <c r="BU80">
        <f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f>
        <v>5</v>
      </c>
      <c r="BV80">
        <v>2</v>
      </c>
      <c r="BW80">
        <f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f>
        <v>5</v>
      </c>
      <c r="BX80">
        <v>4</v>
      </c>
      <c r="BY80">
        <f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f>
        <v>5</v>
      </c>
      <c r="BZ80">
        <v>6</v>
      </c>
      <c r="CA80">
        <f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f>
        <v>10</v>
      </c>
      <c r="CB80" t="s">
        <v>111</v>
      </c>
      <c r="CC80" t="str">
        <f>IF(ISTEXT(VLOOKUP(Table_EH_Pre_Survey_May_20__2023_08_229[[#This Row],[Unique Identifier]], 'Post-Survey Full Set'!$D$1:$AU$72, 1, 0)), VLOOKUP(Table_EH_Pre_Survey_May_20__2023_08_229[[#This Row],[Unique Identifier]], 'Post-Survey Full Set'!$D$1:$AU$72, 43, 0), VLOOKUP(Table_EH_Pre_Survey_May_20__2023_08_229[[#This Row],[Unique Identifier]], 'Post-Survey Full Set'!$V$1:$AU$72, 25, 0))</f>
        <v/>
      </c>
    </row>
    <row r="81" spans="1:81" hidden="1" x14ac:dyDescent="0.25">
      <c r="A81" t="s">
        <v>421</v>
      </c>
      <c r="B81" t="s">
        <v>422</v>
      </c>
      <c r="C81" t="s">
        <v>42</v>
      </c>
      <c r="D81" t="s">
        <v>423</v>
      </c>
      <c r="E81" t="str">
        <f>IF(COUNTIF($D$2:$D$103, Table_EH_Pre_Survey_May_20__2023_08_229[[#This Row],[IPAddress - IP Address]])=1, "Unique", "")</f>
        <v>Unique</v>
      </c>
      <c r="F81" t="e">
        <f>VLOOKUP(Table_EH_Pre_Survey_May_20__2023_08_229[[#This Row],[IPAddress - IP Address]], 'Post-Survey Full Set'!D:AU, 2, 0)</f>
        <v>#N/A</v>
      </c>
      <c r="G81" t="e">
        <f>VLOOKUP(Table_EH_Pre_Survey_May_20__2023_08_229[[#This Row],[IPAddress - IP Address]], 'Post-Survey Full Set'!$D$1:$AU$72, 1, 0)</f>
        <v>#N/A</v>
      </c>
      <c r="H81" s="35" t="e">
        <v>#N/A</v>
      </c>
      <c r="I81">
        <v>1</v>
      </c>
      <c r="J81" t="s">
        <v>112</v>
      </c>
      <c r="K81">
        <f>_xlfn.NUMBERVALUE(Table_EH_Pre_Survey_May_20__2023_08_229[[#This Row],[Duration (in seconds) - Duration (in seconds)2]])</f>
        <v>241</v>
      </c>
      <c r="L81" t="s">
        <v>424</v>
      </c>
      <c r="M81" t="s">
        <v>114</v>
      </c>
      <c r="N81" t="s">
        <v>425</v>
      </c>
      <c r="O81" t="e">
        <f>VLOOKUP(Table_EH_Pre_Survey_May_20__2023_08_229[[#This Row],[LocationLatitude - Location Latitude]], 'Post-Survey Full Set'!Q:AU, 1, 0)</f>
        <v>#N/A</v>
      </c>
      <c r="P81" t="e">
        <f>VLOOKUP(Table_EH_Pre_Survey_May_20__2023_08_229[[#This Row],[LocationLongitude - Location Longitude]], 'Post-Survey Full Set'!S:AV, 1, 0)</f>
        <v>#N/A</v>
      </c>
      <c r="Q81" t="s">
        <v>426</v>
      </c>
      <c r="R81" t="s">
        <v>111</v>
      </c>
      <c r="S81" t="s">
        <v>111</v>
      </c>
      <c r="T81" t="s">
        <v>111</v>
      </c>
      <c r="U81" t="s">
        <v>111</v>
      </c>
      <c r="V81" t="s">
        <v>427</v>
      </c>
      <c r="W81" t="str">
        <f>IF(COUNTIF($V$2:$V$103, Table_EH_Pre_Survey_May_20__2023_08_229[[#This Row],[LocationLatitude - Location Latitude]])=1, "Unique", "")</f>
        <v>Unique</v>
      </c>
      <c r="X81" t="e">
        <f>VLOOKUP(Table_EH_Pre_Survey_May_20__2023_08_229[[#This Row],[LocationLatitude - Location Latitude]], 'Post-Survey Full Set'!Q:AU, 2, 0)</f>
        <v>#N/A</v>
      </c>
      <c r="Y81" t="s">
        <v>428</v>
      </c>
      <c r="Z81" t="e">
        <f>VLOOKUP(Table_EH_Pre_Survey_May_20__2023_08_229[[#This Row],[ResponseId - Response ID]], 'Post-Survey Full Set'!L:AU, 1, 0)</f>
        <v>#N/A</v>
      </c>
      <c r="AA81" t="s">
        <v>127</v>
      </c>
      <c r="AB81" t="s">
        <v>117</v>
      </c>
      <c r="AC81" s="35" t="s">
        <v>111</v>
      </c>
      <c r="AE81" t="str">
        <f>IF(ISTEXT(Table_EH_Pre_Survey_May_20__2023_08_229[[#This Row],[Post-Survey NetID''s]]) = TRUE, "Match", "")</f>
        <v/>
      </c>
      <c r="AF81" t="str">
        <f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f>
        <v/>
      </c>
      <c r="AG81" t="str">
        <f>IF(Table_EH_Pre_Survey_May_20__2023_08_229[[#This Row],[NetID Match]] = "Match",  "Match", IF(ISTEXT(Table_EH_Pre_Survey_May_20__2023_08_229[[#This Row],[IP Address Match]]) = TRUE, "Match", ""))</f>
        <v/>
      </c>
      <c r="AH81" s="8">
        <v>5</v>
      </c>
      <c r="AI81" s="8">
        <f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f>
        <v>3</v>
      </c>
      <c r="AJ81" s="4">
        <v>5</v>
      </c>
      <c r="AK81" s="4">
        <f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f>
        <v>4</v>
      </c>
      <c r="AL81" s="4">
        <v>5</v>
      </c>
      <c r="AM81" s="4">
        <f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f>
        <v>4</v>
      </c>
      <c r="AN81" s="4">
        <v>5</v>
      </c>
      <c r="AO81" s="4">
        <f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f>
        <v>4</v>
      </c>
      <c r="AP81" s="4">
        <v>5</v>
      </c>
      <c r="AQ81" s="4">
        <f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f>
        <v>4</v>
      </c>
      <c r="AR81" s="4">
        <v>5</v>
      </c>
      <c r="AS81" s="4">
        <f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f>
        <v>5</v>
      </c>
      <c r="AT81" s="4">
        <v>5</v>
      </c>
      <c r="AU81" s="4">
        <f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f>
        <v>4</v>
      </c>
      <c r="AV81" s="4">
        <v>3</v>
      </c>
      <c r="AW81" s="4">
        <f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f>
        <v>4</v>
      </c>
      <c r="AX81" s="2">
        <v>2</v>
      </c>
      <c r="AY81" s="2">
        <f>IF(Table_EH_Pre_Survey_May_20__2023_08_229[[#This Row],[Q4]] = 3, 1, IF(Table_EH_Pre_Survey_May_20__2023_08_229[[#This Row],[Q4]] = 2.5, 0.5, IF(Table_EH_Pre_Survey_May_20__2023_08_229[[#This Row],[Q4]] = 3.5, 0.5, 0)))</f>
        <v>0</v>
      </c>
      <c r="AZ81" s="2">
        <f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f>
        <v>4</v>
      </c>
      <c r="BA81" s="2">
        <f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f>
        <v>0</v>
      </c>
      <c r="BB81" t="s">
        <v>130</v>
      </c>
      <c r="BC81">
        <f>IF(Table_EH_Pre_Survey_May_20__2023_08_229[[#This Row],[Q5 ]]="PM &lt; 2.5 μm", 1, 0)</f>
        <v>0</v>
      </c>
      <c r="BD81" t="str">
        <f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f>
        <v>PM &lt; 0.25 μm</v>
      </c>
      <c r="BE81">
        <f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f>
        <v>0</v>
      </c>
      <c r="BF81" t="s">
        <v>141</v>
      </c>
      <c r="BG81">
        <f>IF(Table_EH_Pre_Survey_May_20__2023_08_229[[#This Row],[Q6]]="Particles of this size are generally absorbed in the respiratory tract and safely excreted in mucus.", 1, 0)</f>
        <v>0</v>
      </c>
      <c r="BH81" t="str">
        <f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f>
        <v>Particles of this size reach the bronchial tree where they corrode the alveolar parenchyma.</v>
      </c>
      <c r="BI81">
        <f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f>
        <v>0</v>
      </c>
      <c r="BJ81" t="s">
        <v>156</v>
      </c>
      <c r="BK81">
        <f>IF(ISNUMBER(SEARCH("Trucks", Table_EH_Pre_Survey_May_20__2023_08_229[[#This Row],[Q7]])) = TRUE, 1, 0) + IF(ISNUMBER(SEARCH("Cars", Table_EH_Pre_Survey_May_20__2023_08_229[[#This Row],[Q7]])) = TRUE, 1, 0) + IF(ISNUMBER(SEARCH("Fireplaces", Table_EH_Pre_Survey_May_20__2023_08_229[[#This Row],[Q7]])) = TRUE, 1, 0) + IF(ISNUMBER(SEARCH("Dirt Roads", Table_EH_Pre_Survey_May_20__2023_08_229[[#This Row],[Q7]])) = TRUE, 1, 0) - IF(ISNUMBER(SEARCH("Electric Vehicles", Table_EH_Pre_Survey_May_20__2023_08_229[[#This Row],[Q7]])) = TRUE, 1, 0) - IF(ISNUMBER(SEARCH("Pollen", Table_EH_Pre_Survey_May_20__2023_08_229[[#This Row],[Q7]])) = TRUE, 1, 0)</f>
        <v>4</v>
      </c>
      <c r="BL81" t="str">
        <f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f>
        <v>Cars,Dirt Roads,Electric Vehicles,Fireplaces,Trucks</v>
      </c>
      <c r="BM81">
        <f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f>
        <v>3</v>
      </c>
      <c r="BN81">
        <v>3</v>
      </c>
      <c r="BO81">
        <f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f>
        <v>5</v>
      </c>
      <c r="BP81">
        <v>1</v>
      </c>
      <c r="BQ81">
        <f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f>
        <v>5</v>
      </c>
      <c r="BR81">
        <v>3</v>
      </c>
      <c r="BS81">
        <f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f>
        <v>5</v>
      </c>
      <c r="BT81">
        <v>3</v>
      </c>
      <c r="BU81">
        <f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f>
        <v>5</v>
      </c>
      <c r="BV81">
        <v>3</v>
      </c>
      <c r="BW81">
        <f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f>
        <v>5</v>
      </c>
      <c r="BX81">
        <v>3</v>
      </c>
      <c r="BY81">
        <f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f>
        <v>5</v>
      </c>
      <c r="BZ81">
        <v>6</v>
      </c>
      <c r="CA81">
        <f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f>
        <v>10</v>
      </c>
      <c r="CB81" t="s">
        <v>111</v>
      </c>
      <c r="CC81" t="str">
        <f>IF(ISTEXT(VLOOKUP(Table_EH_Pre_Survey_May_20__2023_08_229[[#This Row],[Unique Identifier]], 'Post-Survey Full Set'!$D$1:$AU$72, 1, 0)), VLOOKUP(Table_EH_Pre_Survey_May_20__2023_08_229[[#This Row],[Unique Identifier]], 'Post-Survey Full Set'!$D$1:$AU$72, 43, 0), VLOOKUP(Table_EH_Pre_Survey_May_20__2023_08_229[[#This Row],[Unique Identifier]], 'Post-Survey Full Set'!$V$1:$AU$72, 25, 0))</f>
        <v/>
      </c>
    </row>
    <row r="82" spans="1:81" hidden="1" x14ac:dyDescent="0.25">
      <c r="A82" t="s">
        <v>438</v>
      </c>
      <c r="B82" t="s">
        <v>439</v>
      </c>
      <c r="C82" t="s">
        <v>42</v>
      </c>
      <c r="D82" t="s">
        <v>389</v>
      </c>
      <c r="E82" t="str">
        <f>IF(COUNTIF($D$2:$D$103, Table_EH_Pre_Survey_May_20__2023_08_229[[#This Row],[IPAddress - IP Address]])=1, "Unique", "")</f>
        <v/>
      </c>
      <c r="F82" t="str">
        <f>VLOOKUP(Table_EH_Pre_Survey_May_20__2023_08_229[[#This Row],[IPAddress - IP Address]], 'Post-Survey Full Set'!D:AU, 2, 0)</f>
        <v/>
      </c>
      <c r="G82" t="str">
        <f>VLOOKUP(Table_EH_Pre_Survey_May_20__2023_08_229[[#This Row],[IPAddress - IP Address]], 'Post-Survey Full Set'!$D$1:$AU$72, 1, 0)</f>
        <v>130.219.10.90</v>
      </c>
      <c r="I82">
        <v>1</v>
      </c>
      <c r="J82" t="s">
        <v>112</v>
      </c>
      <c r="K82">
        <f>_xlfn.NUMBERVALUE(Table_EH_Pre_Survey_May_20__2023_08_229[[#This Row],[Duration (in seconds) - Duration (in seconds)2]])</f>
        <v>123</v>
      </c>
      <c r="L82" t="s">
        <v>399</v>
      </c>
      <c r="M82" t="s">
        <v>114</v>
      </c>
      <c r="N82" t="s">
        <v>440</v>
      </c>
      <c r="O82" t="str">
        <f>VLOOKUP(Table_EH_Pre_Survey_May_20__2023_08_229[[#This Row],[LocationLatitude - Location Latitude]], 'Post-Survey Full Set'!Q:AU, 1, 0)</f>
        <v>40.7337</v>
      </c>
      <c r="P82" t="str">
        <f>VLOOKUP(Table_EH_Pre_Survey_May_20__2023_08_229[[#This Row],[LocationLongitude - Location Longitude]], 'Post-Survey Full Set'!S:AV, 1, 0)</f>
        <v>-74.1939</v>
      </c>
      <c r="Q82" t="s">
        <v>441</v>
      </c>
      <c r="R82" t="s">
        <v>111</v>
      </c>
      <c r="S82" t="s">
        <v>111</v>
      </c>
      <c r="T82" t="s">
        <v>111</v>
      </c>
      <c r="U82" t="s">
        <v>111</v>
      </c>
      <c r="V82" t="s">
        <v>392</v>
      </c>
      <c r="W82" t="str">
        <f>IF(COUNTIF($V$2:$V$103, Table_EH_Pre_Survey_May_20__2023_08_229[[#This Row],[LocationLatitude - Location Latitude]])=1, "Unique", "")</f>
        <v/>
      </c>
      <c r="X82" t="str">
        <f>VLOOKUP(Table_EH_Pre_Survey_May_20__2023_08_229[[#This Row],[LocationLatitude - Location Latitude]], 'Post-Survey Full Set'!Q:AU, 2, 0)</f>
        <v/>
      </c>
      <c r="Y82" t="s">
        <v>393</v>
      </c>
      <c r="Z82" t="e">
        <f>VLOOKUP(Table_EH_Pre_Survey_May_20__2023_08_229[[#This Row],[ResponseId - Response ID]], 'Post-Survey Full Set'!L:AU, 1, 0)</f>
        <v>#N/A</v>
      </c>
      <c r="AA82" t="s">
        <v>127</v>
      </c>
      <c r="AB82" t="s">
        <v>117</v>
      </c>
      <c r="AC82" s="35" t="s">
        <v>111</v>
      </c>
      <c r="AE82" t="str">
        <f>IF(ISTEXT(Table_EH_Pre_Survey_May_20__2023_08_229[[#This Row],[Post-Survey NetID''s]]) = TRUE, "Match", "")</f>
        <v/>
      </c>
      <c r="AF82" t="str">
        <f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f>
        <v/>
      </c>
      <c r="AG82" t="str">
        <f>IF(Table_EH_Pre_Survey_May_20__2023_08_229[[#This Row],[NetID Match]] = "Match",  "Match", IF(ISTEXT(Table_EH_Pre_Survey_May_20__2023_08_229[[#This Row],[IP Address Match]]) = TRUE, "Match", ""))</f>
        <v/>
      </c>
      <c r="AH82" s="8">
        <v>4</v>
      </c>
      <c r="AI82" s="8">
        <f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f>
        <v>3</v>
      </c>
      <c r="AJ82" s="4">
        <v>4</v>
      </c>
      <c r="AK82" s="4">
        <f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f>
        <v>4</v>
      </c>
      <c r="AL82" s="4">
        <v>4</v>
      </c>
      <c r="AM82" s="4">
        <f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f>
        <v>4</v>
      </c>
      <c r="AN82" s="4">
        <v>4</v>
      </c>
      <c r="AO82" s="4">
        <f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f>
        <v>4</v>
      </c>
      <c r="AP82" s="4">
        <v>4</v>
      </c>
      <c r="AQ82" s="4">
        <f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f>
        <v>4</v>
      </c>
      <c r="AR82" s="4">
        <v>4</v>
      </c>
      <c r="AS82" s="4">
        <f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f>
        <v>5</v>
      </c>
      <c r="AT82" s="4">
        <v>4</v>
      </c>
      <c r="AU82" s="4">
        <f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f>
        <v>4</v>
      </c>
      <c r="AV82" s="4">
        <v>4</v>
      </c>
      <c r="AW82" s="4">
        <f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f>
        <v>4</v>
      </c>
      <c r="AX82" s="2">
        <v>2</v>
      </c>
      <c r="AY82" s="2">
        <f>IF(Table_EH_Pre_Survey_May_20__2023_08_229[[#This Row],[Q4]] = 3, 1, IF(Table_EH_Pre_Survey_May_20__2023_08_229[[#This Row],[Q4]] = 2.5, 0.5, IF(Table_EH_Pre_Survey_May_20__2023_08_229[[#This Row],[Q4]] = 3.5, 0.5, 0)))</f>
        <v>0</v>
      </c>
      <c r="AZ82" s="2">
        <f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f>
        <v>4</v>
      </c>
      <c r="BA82" s="2">
        <f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f>
        <v>0</v>
      </c>
      <c r="BB82" t="s">
        <v>130</v>
      </c>
      <c r="BC82">
        <f>IF(Table_EH_Pre_Survey_May_20__2023_08_229[[#This Row],[Q5 ]]="PM &lt; 2.5 μm", 1, 0)</f>
        <v>0</v>
      </c>
      <c r="BD82" t="str">
        <f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f>
        <v>PM &lt; 0.25 μm</v>
      </c>
      <c r="BE82">
        <f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f>
        <v>0</v>
      </c>
      <c r="BF82" t="s">
        <v>131</v>
      </c>
      <c r="BG82">
        <f>IF(Table_EH_Pre_Survey_May_20__2023_08_229[[#This Row],[Q6]]="Particles of this size are generally absorbed in the respiratory tract and safely excreted in mucus.", 1, 0)</f>
        <v>0</v>
      </c>
      <c r="BH82" t="str">
        <f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f>
        <v>Particles of this size reach the bronchial tree where they corrode the alveolar parenchyma.</v>
      </c>
      <c r="BI82">
        <f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f>
        <v>0</v>
      </c>
      <c r="BJ82" t="s">
        <v>186</v>
      </c>
      <c r="BK82">
        <f>IF(ISNUMBER(SEARCH("Trucks", Table_EH_Pre_Survey_May_20__2023_08_229[[#This Row],[Q7]])) = TRUE, 1, 0) + IF(ISNUMBER(SEARCH("Cars", Table_EH_Pre_Survey_May_20__2023_08_229[[#This Row],[Q7]])) = TRUE, 1, 0) + IF(ISNUMBER(SEARCH("Fireplaces", Table_EH_Pre_Survey_May_20__2023_08_229[[#This Row],[Q7]])) = TRUE, 1, 0) + IF(ISNUMBER(SEARCH("Dirt Roads", Table_EH_Pre_Survey_May_20__2023_08_229[[#This Row],[Q7]])) = TRUE, 1, 0) - IF(ISNUMBER(SEARCH("Electric Vehicles", Table_EH_Pre_Survey_May_20__2023_08_229[[#This Row],[Q7]])) = TRUE, 1, 0) - IF(ISNUMBER(SEARCH("Pollen", Table_EH_Pre_Survey_May_20__2023_08_229[[#This Row],[Q7]])) = TRUE, 1, 0)</f>
        <v>3</v>
      </c>
      <c r="BL82" t="str">
        <f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f>
        <v>Cars,Dirt Roads,Electric Vehicles,Fireplaces,Trucks</v>
      </c>
      <c r="BM82">
        <f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f>
        <v>3</v>
      </c>
      <c r="BN82">
        <v>3</v>
      </c>
      <c r="BO82">
        <f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f>
        <v>5</v>
      </c>
      <c r="BP82">
        <v>1</v>
      </c>
      <c r="BQ82">
        <f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f>
        <v>5</v>
      </c>
      <c r="BR82">
        <v>3</v>
      </c>
      <c r="BS82">
        <f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f>
        <v>5</v>
      </c>
      <c r="BT82">
        <v>3</v>
      </c>
      <c r="BU82">
        <f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f>
        <v>5</v>
      </c>
      <c r="BV82">
        <v>3</v>
      </c>
      <c r="BW82">
        <f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f>
        <v>5</v>
      </c>
      <c r="BX82">
        <v>2</v>
      </c>
      <c r="BY82">
        <f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f>
        <v>5</v>
      </c>
      <c r="BZ82">
        <v>6</v>
      </c>
      <c r="CA82">
        <f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f>
        <v>10</v>
      </c>
      <c r="CB82" t="s">
        <v>442</v>
      </c>
      <c r="CC82" t="str">
        <f>IF(ISTEXT(VLOOKUP(Table_EH_Pre_Survey_May_20__2023_08_229[[#This Row],[Unique Identifier]], 'Post-Survey Full Set'!$D$1:$AU$72, 1, 0)), VLOOKUP(Table_EH_Pre_Survey_May_20__2023_08_229[[#This Row],[Unique Identifier]], 'Post-Survey Full Set'!$D$1:$AU$72, 43, 0), VLOOKUP(Table_EH_Pre_Survey_May_20__2023_08_229[[#This Row],[Unique Identifier]], 'Post-Survey Full Set'!$V$1:$AU$72, 25, 0))</f>
        <v/>
      </c>
    </row>
    <row r="83" spans="1:81" x14ac:dyDescent="0.25">
      <c r="A83" t="s">
        <v>451</v>
      </c>
      <c r="B83" t="s">
        <v>452</v>
      </c>
      <c r="C83" t="s">
        <v>42</v>
      </c>
      <c r="D83" t="s">
        <v>453</v>
      </c>
      <c r="E83" t="str">
        <f>IF(COUNTIF($D$2:$D$103, Table_EH_Pre_Survey_May_20__2023_08_229[[#This Row],[IPAddress - IP Address]])=1, "Unique", "")</f>
        <v>Unique</v>
      </c>
      <c r="F83" t="str">
        <f>VLOOKUP(Table_EH_Pre_Survey_May_20__2023_08_229[[#This Row],[IPAddress - IP Address]], 'Post-Survey Full Set'!D:AU, 2, 0)</f>
        <v>Unique</v>
      </c>
      <c r="G83" t="str">
        <f>VLOOKUP(Table_EH_Pre_Survey_May_20__2023_08_229[[#This Row],[IPAddress - IP Address]], 'Post-Survey Full Set'!$D$1:$AU$72, 1, 0)</f>
        <v>128.6.37.34</v>
      </c>
      <c r="H83" s="35" t="s">
        <v>453</v>
      </c>
      <c r="I83">
        <v>1</v>
      </c>
      <c r="J83" t="s">
        <v>112</v>
      </c>
      <c r="K83">
        <f>_xlfn.NUMBERVALUE(Table_EH_Pre_Survey_May_20__2023_08_229[[#This Row],[Duration (in seconds) - Duration (in seconds)2]])</f>
        <v>111</v>
      </c>
      <c r="L83" t="s">
        <v>454</v>
      </c>
      <c r="M83" t="s">
        <v>114</v>
      </c>
      <c r="N83" t="s">
        <v>455</v>
      </c>
      <c r="O83" t="str">
        <f>VLOOKUP(Table_EH_Pre_Survey_May_20__2023_08_229[[#This Row],[LocationLatitude - Location Latitude]], 'Post-Survey Full Set'!Q:AU, 1, 0)</f>
        <v>40.5511</v>
      </c>
      <c r="P83" t="str">
        <f>VLOOKUP(Table_EH_Pre_Survey_May_20__2023_08_229[[#This Row],[LocationLongitude - Location Longitude]], 'Post-Survey Full Set'!S:AV, 1, 0)</f>
        <v>-74.4606</v>
      </c>
      <c r="Q83" t="s">
        <v>456</v>
      </c>
      <c r="R83" t="s">
        <v>111</v>
      </c>
      <c r="S83" t="s">
        <v>111</v>
      </c>
      <c r="T83" t="s">
        <v>111</v>
      </c>
      <c r="U83" t="s">
        <v>111</v>
      </c>
      <c r="V83" t="s">
        <v>115</v>
      </c>
      <c r="W83" t="str">
        <f>IF(COUNTIF($V$2:$V$103, Table_EH_Pre_Survey_May_20__2023_08_229[[#This Row],[LocationLatitude - Location Latitude]])=1, "Unique", "")</f>
        <v/>
      </c>
      <c r="X83" t="str">
        <f>VLOOKUP(Table_EH_Pre_Survey_May_20__2023_08_229[[#This Row],[LocationLatitude - Location Latitude]], 'Post-Survey Full Set'!Q:AU, 2, 0)</f>
        <v/>
      </c>
      <c r="Y83" t="s">
        <v>116</v>
      </c>
      <c r="Z83" t="e">
        <f>VLOOKUP(Table_EH_Pre_Survey_May_20__2023_08_229[[#This Row],[ResponseId - Response ID]], 'Post-Survey Full Set'!L:AU, 1, 0)</f>
        <v>#N/A</v>
      </c>
      <c r="AA83" t="s">
        <v>127</v>
      </c>
      <c r="AB83" t="s">
        <v>117</v>
      </c>
      <c r="AC83" s="35" t="s">
        <v>111</v>
      </c>
      <c r="AE83" t="str">
        <f>IF(ISTEXT(Table_EH_Pre_Survey_May_20__2023_08_229[[#This Row],[Post-Survey NetID''s]]) = TRUE, "Match", "")</f>
        <v/>
      </c>
      <c r="AF83" t="str">
        <f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f>
        <v>128.6.37.34</v>
      </c>
      <c r="AG83" t="str">
        <f>IF(Table_EH_Pre_Survey_May_20__2023_08_229[[#This Row],[NetID Match]] = "Match",  "Match", IF(ISTEXT(Table_EH_Pre_Survey_May_20__2023_08_229[[#This Row],[IP Address Match]]) = TRUE, "Match", ""))</f>
        <v>Match</v>
      </c>
      <c r="AH83" s="8">
        <v>5</v>
      </c>
      <c r="AI83" s="8">
        <f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f>
        <v>5</v>
      </c>
      <c r="AJ83" s="4">
        <v>3</v>
      </c>
      <c r="AK83" s="4">
        <f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f>
        <v>4</v>
      </c>
      <c r="AL83" s="4">
        <v>1</v>
      </c>
      <c r="AM83" s="4">
        <f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f>
        <v>1</v>
      </c>
      <c r="AN83" s="4">
        <v>4</v>
      </c>
      <c r="AO83" s="4">
        <f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f>
        <v>5</v>
      </c>
      <c r="AP83" s="4">
        <v>1</v>
      </c>
      <c r="AQ83" s="4">
        <f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f>
        <v>1</v>
      </c>
      <c r="AR83" s="4">
        <v>5</v>
      </c>
      <c r="AS83" s="4">
        <f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f>
        <v>5</v>
      </c>
      <c r="AT83" s="4">
        <v>5</v>
      </c>
      <c r="AU83" s="4">
        <f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f>
        <v>5</v>
      </c>
      <c r="AV83" s="4">
        <v>1</v>
      </c>
      <c r="AW83" s="4">
        <f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f>
        <v>1</v>
      </c>
      <c r="AX83" s="2">
        <v>2</v>
      </c>
      <c r="AY83" s="2">
        <f>IF(Table_EH_Pre_Survey_May_20__2023_08_229[[#This Row],[Q4]] = 3, 1, IF(Table_EH_Pre_Survey_May_20__2023_08_229[[#This Row],[Q4]] = 2.5, 0.5, IF(Table_EH_Pre_Survey_May_20__2023_08_229[[#This Row],[Q4]] = 3.5, 0.5, 0)))</f>
        <v>0</v>
      </c>
      <c r="AZ83" s="2">
        <f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f>
        <v>3</v>
      </c>
      <c r="BA83" s="2">
        <f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f>
        <v>1</v>
      </c>
      <c r="BB83" t="s">
        <v>154</v>
      </c>
      <c r="BC83">
        <f>IF(Table_EH_Pre_Survey_May_20__2023_08_229[[#This Row],[Q5 ]]="PM &lt; 2.5 μm", 1, 0)</f>
        <v>0</v>
      </c>
      <c r="BD83" t="str">
        <f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f>
        <v>PM &lt; 2.5 μm</v>
      </c>
      <c r="BE83">
        <f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f>
        <v>1</v>
      </c>
      <c r="BF83" t="s">
        <v>131</v>
      </c>
      <c r="BG83">
        <f>IF(Table_EH_Pre_Survey_May_20__2023_08_229[[#This Row],[Q6]]="Particles of this size are generally absorbed in the respiratory tract and safely excreted in mucus.", 1, 0)</f>
        <v>0</v>
      </c>
      <c r="BH83" t="str">
        <f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f>
        <v>Particles of this size are generally absorbed in the respiratory tract and safely excreted in mucus.</v>
      </c>
      <c r="BI83">
        <f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f>
        <v>1</v>
      </c>
      <c r="BJ83" t="s">
        <v>327</v>
      </c>
      <c r="BK83">
        <f>IF(ISNUMBER(SEARCH("Trucks", Table_EH_Pre_Survey_May_20__2023_08_229[[#This Row],[Q7]])) = TRUE, 1, 0) + IF(ISNUMBER(SEARCH("Cars", Table_EH_Pre_Survey_May_20__2023_08_229[[#This Row],[Q7]])) = TRUE, 1, 0) + IF(ISNUMBER(SEARCH("Fireplaces", Table_EH_Pre_Survey_May_20__2023_08_229[[#This Row],[Q7]])) = TRUE, 1, 0) + IF(ISNUMBER(SEARCH("Dirt Roads", Table_EH_Pre_Survey_May_20__2023_08_229[[#This Row],[Q7]])) = TRUE, 1, 0) - IF(ISNUMBER(SEARCH("Electric Vehicles", Table_EH_Pre_Survey_May_20__2023_08_229[[#This Row],[Q7]])) = TRUE, 1, 0) - IF(ISNUMBER(SEARCH("Pollen", Table_EH_Pre_Survey_May_20__2023_08_229[[#This Row],[Q7]])) = TRUE, 1, 0)</f>
        <v>1</v>
      </c>
      <c r="BL83" t="str">
        <f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f>
        <v>Cars,Fireplaces,Trucks</v>
      </c>
      <c r="BM83">
        <f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f>
        <v>3</v>
      </c>
      <c r="BN83">
        <v>4</v>
      </c>
      <c r="BO83">
        <f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f>
        <v>4</v>
      </c>
      <c r="BP83">
        <v>3</v>
      </c>
      <c r="BQ83">
        <f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f>
        <v>2</v>
      </c>
      <c r="BR83">
        <v>2</v>
      </c>
      <c r="BS83">
        <f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f>
        <v>2</v>
      </c>
      <c r="BT83">
        <v>3</v>
      </c>
      <c r="BU83">
        <f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f>
        <v>1</v>
      </c>
      <c r="BV83">
        <v>4</v>
      </c>
      <c r="BW83">
        <f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f>
        <v>4</v>
      </c>
      <c r="BX83">
        <v>4</v>
      </c>
      <c r="BY83">
        <f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f>
        <v>5</v>
      </c>
      <c r="BZ83">
        <v>6</v>
      </c>
      <c r="CA83">
        <f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f>
        <v>9</v>
      </c>
      <c r="CB83" t="s">
        <v>111</v>
      </c>
      <c r="CC83" t="str">
        <f>IF(ISTEXT(VLOOKUP(Table_EH_Pre_Survey_May_20__2023_08_229[[#This Row],[Unique Identifier]], 'Post-Survey Full Set'!$D$1:$AU$72, 1, 0)), VLOOKUP(Table_EH_Pre_Survey_May_20__2023_08_229[[#This Row],[Unique Identifier]], 'Post-Survey Full Set'!$D$1:$AU$72, 43, 0), VLOOKUP(Table_EH_Pre_Survey_May_20__2023_08_229[[#This Row],[Unique Identifier]], 'Post-Survey Full Set'!$V$1:$AU$72, 25, 0))</f>
        <v/>
      </c>
    </row>
    <row r="84" spans="1:81" hidden="1" x14ac:dyDescent="0.25">
      <c r="A84" t="s">
        <v>463</v>
      </c>
      <c r="B84" t="s">
        <v>464</v>
      </c>
      <c r="C84" t="s">
        <v>42</v>
      </c>
      <c r="D84" t="s">
        <v>465</v>
      </c>
      <c r="E84" t="str">
        <f>IF(COUNTIF($D$2:$D$103, Table_EH_Pre_Survey_May_20__2023_08_229[[#This Row],[IPAddress - IP Address]])=1, "Unique", "")</f>
        <v>Unique</v>
      </c>
      <c r="F84" t="e">
        <f>VLOOKUP(Table_EH_Pre_Survey_May_20__2023_08_229[[#This Row],[IPAddress - IP Address]], 'Post-Survey Full Set'!D:AU, 2, 0)</f>
        <v>#N/A</v>
      </c>
      <c r="G84" t="e">
        <f>VLOOKUP(Table_EH_Pre_Survey_May_20__2023_08_229[[#This Row],[IPAddress - IP Address]], 'Post-Survey Full Set'!$D$1:$AU$72, 1, 0)</f>
        <v>#N/A</v>
      </c>
      <c r="H84" s="35" t="e">
        <v>#N/A</v>
      </c>
      <c r="I84">
        <v>1</v>
      </c>
      <c r="J84" t="s">
        <v>112</v>
      </c>
      <c r="K84">
        <f>_xlfn.NUMBERVALUE(Table_EH_Pre_Survey_May_20__2023_08_229[[#This Row],[Duration (in seconds) - Duration (in seconds)2]])</f>
        <v>79</v>
      </c>
      <c r="L84" t="s">
        <v>466</v>
      </c>
      <c r="M84" t="s">
        <v>114</v>
      </c>
      <c r="N84" t="s">
        <v>467</v>
      </c>
      <c r="O84" t="e">
        <f>VLOOKUP(Table_EH_Pre_Survey_May_20__2023_08_229[[#This Row],[LocationLatitude - Location Latitude]], 'Post-Survey Full Set'!Q:AU, 1, 0)</f>
        <v>#N/A</v>
      </c>
      <c r="P84" t="e">
        <f>VLOOKUP(Table_EH_Pre_Survey_May_20__2023_08_229[[#This Row],[LocationLongitude - Location Longitude]], 'Post-Survey Full Set'!S:AV, 1, 0)</f>
        <v>#N/A</v>
      </c>
      <c r="Q84" t="s">
        <v>468</v>
      </c>
      <c r="R84" t="s">
        <v>111</v>
      </c>
      <c r="S84" t="s">
        <v>111</v>
      </c>
      <c r="T84" t="s">
        <v>111</v>
      </c>
      <c r="U84" t="s">
        <v>111</v>
      </c>
      <c r="V84" t="s">
        <v>341</v>
      </c>
      <c r="W84" t="str">
        <f>IF(COUNTIF($V$2:$V$103, Table_EH_Pre_Survey_May_20__2023_08_229[[#This Row],[LocationLatitude - Location Latitude]])=1, "Unique", "")</f>
        <v/>
      </c>
      <c r="X84" t="e">
        <f>VLOOKUP(Table_EH_Pre_Survey_May_20__2023_08_229[[#This Row],[LocationLatitude - Location Latitude]], 'Post-Survey Full Set'!Q:AU, 2, 0)</f>
        <v>#N/A</v>
      </c>
      <c r="Y84" t="s">
        <v>342</v>
      </c>
      <c r="Z84" t="e">
        <f>VLOOKUP(Table_EH_Pre_Survey_May_20__2023_08_229[[#This Row],[ResponseId - Response ID]], 'Post-Survey Full Set'!L:AU, 1, 0)</f>
        <v>#N/A</v>
      </c>
      <c r="AA84" t="s">
        <v>127</v>
      </c>
      <c r="AB84" t="s">
        <v>117</v>
      </c>
      <c r="AC84" s="35" t="s">
        <v>111</v>
      </c>
      <c r="AE84" t="str">
        <f>IF(ISTEXT(Table_EH_Pre_Survey_May_20__2023_08_229[[#This Row],[Post-Survey NetID''s]]) = TRUE, "Match", "")</f>
        <v/>
      </c>
      <c r="AF84" t="str">
        <f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f>
        <v/>
      </c>
      <c r="AG84" t="str">
        <f>IF(Table_EH_Pre_Survey_May_20__2023_08_229[[#This Row],[NetID Match]] = "Match",  "Match", IF(ISTEXT(Table_EH_Pre_Survey_May_20__2023_08_229[[#This Row],[IP Address Match]]) = TRUE, "Match", ""))</f>
        <v/>
      </c>
      <c r="AH84" s="8">
        <v>4</v>
      </c>
      <c r="AI84" s="8">
        <f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f>
        <v>3</v>
      </c>
      <c r="AJ84" s="4">
        <v>3</v>
      </c>
      <c r="AK84" s="4">
        <f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f>
        <v>4</v>
      </c>
      <c r="AL84" s="4">
        <v>3</v>
      </c>
      <c r="AM84" s="4">
        <f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f>
        <v>4</v>
      </c>
      <c r="AN84" s="4">
        <v>3</v>
      </c>
      <c r="AO84" s="4">
        <f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f>
        <v>4</v>
      </c>
      <c r="AP84" s="4">
        <v>2</v>
      </c>
      <c r="AQ84" s="4">
        <f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f>
        <v>4</v>
      </c>
      <c r="AR84" s="4">
        <v>3</v>
      </c>
      <c r="AS84" s="4">
        <f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f>
        <v>5</v>
      </c>
      <c r="AT84" s="4">
        <v>3</v>
      </c>
      <c r="AU84" s="4">
        <f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f>
        <v>4</v>
      </c>
      <c r="AV84" s="4">
        <v>1</v>
      </c>
      <c r="AW84" s="4">
        <f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f>
        <v>4</v>
      </c>
      <c r="AX84" s="2">
        <v>3.5</v>
      </c>
      <c r="AY84" s="2">
        <f>IF(Table_EH_Pre_Survey_May_20__2023_08_229[[#This Row],[Q4]] = 3, 1, IF(Table_EH_Pre_Survey_May_20__2023_08_229[[#This Row],[Q4]] = 2.5, 0.5, IF(Table_EH_Pre_Survey_May_20__2023_08_229[[#This Row],[Q4]] = 3.5, 0.5, 0)))</f>
        <v>0.5</v>
      </c>
      <c r="AZ84" s="2">
        <f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f>
        <v>4</v>
      </c>
      <c r="BA84" s="2">
        <f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f>
        <v>0</v>
      </c>
      <c r="BB84" t="s">
        <v>140</v>
      </c>
      <c r="BC84">
        <f>IF(Table_EH_Pre_Survey_May_20__2023_08_229[[#This Row],[Q5 ]]="PM &lt; 2.5 μm", 1, 0)</f>
        <v>1</v>
      </c>
      <c r="BD84" t="str">
        <f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f>
        <v>PM &lt; 0.25 μm</v>
      </c>
      <c r="BE84">
        <f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f>
        <v>0</v>
      </c>
      <c r="BF84" t="s">
        <v>141</v>
      </c>
      <c r="BG84">
        <f>IF(Table_EH_Pre_Survey_May_20__2023_08_229[[#This Row],[Q6]]="Particles of this size are generally absorbed in the respiratory tract and safely excreted in mucus.", 1, 0)</f>
        <v>0</v>
      </c>
      <c r="BH84" t="str">
        <f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f>
        <v>Particles of this size reach the bronchial tree where they corrode the alveolar parenchyma.</v>
      </c>
      <c r="BI84">
        <f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f>
        <v>0</v>
      </c>
      <c r="BJ84" t="s">
        <v>167</v>
      </c>
      <c r="BK84">
        <f>IF(ISNUMBER(SEARCH("Trucks", Table_EH_Pre_Survey_May_20__2023_08_229[[#This Row],[Q7]])) = TRUE, 1, 0) + IF(ISNUMBER(SEARCH("Cars", Table_EH_Pre_Survey_May_20__2023_08_229[[#This Row],[Q7]])) = TRUE, 1, 0) + IF(ISNUMBER(SEARCH("Fireplaces", Table_EH_Pre_Survey_May_20__2023_08_229[[#This Row],[Q7]])) = TRUE, 1, 0) + IF(ISNUMBER(SEARCH("Dirt Roads", Table_EH_Pre_Survey_May_20__2023_08_229[[#This Row],[Q7]])) = TRUE, 1, 0) - IF(ISNUMBER(SEARCH("Electric Vehicles", Table_EH_Pre_Survey_May_20__2023_08_229[[#This Row],[Q7]])) = TRUE, 1, 0) - IF(ISNUMBER(SEARCH("Pollen", Table_EH_Pre_Survey_May_20__2023_08_229[[#This Row],[Q7]])) = TRUE, 1, 0)</f>
        <v>3</v>
      </c>
      <c r="BL84" t="str">
        <f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f>
        <v>Cars,Dirt Roads,Electric Vehicles,Fireplaces,Trucks</v>
      </c>
      <c r="BM84">
        <f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f>
        <v>3</v>
      </c>
      <c r="BN84">
        <v>4</v>
      </c>
      <c r="BO84">
        <f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f>
        <v>5</v>
      </c>
      <c r="BP84">
        <v>2</v>
      </c>
      <c r="BQ84">
        <f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f>
        <v>5</v>
      </c>
      <c r="BR84">
        <v>4</v>
      </c>
      <c r="BS84">
        <f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f>
        <v>5</v>
      </c>
      <c r="BT84">
        <v>2</v>
      </c>
      <c r="BU84">
        <f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f>
        <v>5</v>
      </c>
      <c r="BV84">
        <v>3</v>
      </c>
      <c r="BW84">
        <f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f>
        <v>5</v>
      </c>
      <c r="BX84">
        <v>4</v>
      </c>
      <c r="BY84">
        <f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f>
        <v>5</v>
      </c>
      <c r="BZ84">
        <v>7</v>
      </c>
      <c r="CA84">
        <f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f>
        <v>10</v>
      </c>
      <c r="CB84" t="s">
        <v>111</v>
      </c>
      <c r="CC84" t="str">
        <f>IF(ISTEXT(VLOOKUP(Table_EH_Pre_Survey_May_20__2023_08_229[[#This Row],[Unique Identifier]], 'Post-Survey Full Set'!$D$1:$AU$72, 1, 0)), VLOOKUP(Table_EH_Pre_Survey_May_20__2023_08_229[[#This Row],[Unique Identifier]], 'Post-Survey Full Set'!$D$1:$AU$72, 43, 0), VLOOKUP(Table_EH_Pre_Survey_May_20__2023_08_229[[#This Row],[Unique Identifier]], 'Post-Survey Full Set'!$V$1:$AU$72, 25, 0))</f>
        <v/>
      </c>
    </row>
    <row r="85" spans="1:81" hidden="1" x14ac:dyDescent="0.25">
      <c r="A85" t="s">
        <v>482</v>
      </c>
      <c r="B85" t="s">
        <v>483</v>
      </c>
      <c r="C85" t="s">
        <v>42</v>
      </c>
      <c r="D85" t="s">
        <v>389</v>
      </c>
      <c r="E85" t="str">
        <f>IF(COUNTIF($D$2:$D$103, Table_EH_Pre_Survey_May_20__2023_08_229[[#This Row],[IPAddress - IP Address]])=1, "Unique", "")</f>
        <v/>
      </c>
      <c r="F85" t="str">
        <f>VLOOKUP(Table_EH_Pre_Survey_May_20__2023_08_229[[#This Row],[IPAddress - IP Address]], 'Post-Survey Full Set'!D:AU, 2, 0)</f>
        <v/>
      </c>
      <c r="G85" t="str">
        <f>VLOOKUP(Table_EH_Pre_Survey_May_20__2023_08_229[[#This Row],[IPAddress - IP Address]], 'Post-Survey Full Set'!$D$1:$AU$72, 1, 0)</f>
        <v>130.219.10.90</v>
      </c>
      <c r="I85">
        <v>1</v>
      </c>
      <c r="J85" t="s">
        <v>112</v>
      </c>
      <c r="K85">
        <f>_xlfn.NUMBERVALUE(Table_EH_Pre_Survey_May_20__2023_08_229[[#This Row],[Duration (in seconds) - Duration (in seconds)2]])</f>
        <v>97</v>
      </c>
      <c r="L85" t="s">
        <v>484</v>
      </c>
      <c r="M85" t="s">
        <v>114</v>
      </c>
      <c r="N85" t="s">
        <v>485</v>
      </c>
      <c r="O85" t="str">
        <f>VLOOKUP(Table_EH_Pre_Survey_May_20__2023_08_229[[#This Row],[LocationLatitude - Location Latitude]], 'Post-Survey Full Set'!Q:AU, 1, 0)</f>
        <v>40.7337</v>
      </c>
      <c r="P85" t="str">
        <f>VLOOKUP(Table_EH_Pre_Survey_May_20__2023_08_229[[#This Row],[LocationLongitude - Location Longitude]], 'Post-Survey Full Set'!S:AV, 1, 0)</f>
        <v>-74.1939</v>
      </c>
      <c r="Q85" t="s">
        <v>486</v>
      </c>
      <c r="R85" t="s">
        <v>111</v>
      </c>
      <c r="S85" t="s">
        <v>111</v>
      </c>
      <c r="T85" t="s">
        <v>111</v>
      </c>
      <c r="U85" t="s">
        <v>111</v>
      </c>
      <c r="V85" t="s">
        <v>392</v>
      </c>
      <c r="W85" t="str">
        <f>IF(COUNTIF($V$2:$V$103, Table_EH_Pre_Survey_May_20__2023_08_229[[#This Row],[LocationLatitude - Location Latitude]])=1, "Unique", "")</f>
        <v/>
      </c>
      <c r="X85" t="str">
        <f>VLOOKUP(Table_EH_Pre_Survey_May_20__2023_08_229[[#This Row],[LocationLatitude - Location Latitude]], 'Post-Survey Full Set'!Q:AU, 2, 0)</f>
        <v/>
      </c>
      <c r="Y85" t="s">
        <v>393</v>
      </c>
      <c r="Z85" t="e">
        <f>VLOOKUP(Table_EH_Pre_Survey_May_20__2023_08_229[[#This Row],[ResponseId - Response ID]], 'Post-Survey Full Set'!L:AU, 1, 0)</f>
        <v>#N/A</v>
      </c>
      <c r="AA85" t="s">
        <v>487</v>
      </c>
      <c r="AB85" t="s">
        <v>117</v>
      </c>
      <c r="AC85" s="35" t="s">
        <v>111</v>
      </c>
      <c r="AE85" t="str">
        <f>IF(ISTEXT(Table_EH_Pre_Survey_May_20__2023_08_229[[#This Row],[Post-Survey NetID''s]]) = TRUE, "Match", "")</f>
        <v/>
      </c>
      <c r="AF85" t="str">
        <f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f>
        <v/>
      </c>
      <c r="AG85" t="str">
        <f>IF(Table_EH_Pre_Survey_May_20__2023_08_229[[#This Row],[NetID Match]] = "Match",  "Match", IF(ISTEXT(Table_EH_Pre_Survey_May_20__2023_08_229[[#This Row],[IP Address Match]]) = TRUE, "Match", ""))</f>
        <v/>
      </c>
      <c r="AH85" s="8">
        <v>5</v>
      </c>
      <c r="AI85" s="8">
        <f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f>
        <v>3</v>
      </c>
      <c r="AJ85" s="4">
        <v>5</v>
      </c>
      <c r="AK85" s="4">
        <f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f>
        <v>4</v>
      </c>
      <c r="AL85" s="4">
        <v>4</v>
      </c>
      <c r="AM85" s="4">
        <f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f>
        <v>4</v>
      </c>
      <c r="AN85" s="4">
        <v>5</v>
      </c>
      <c r="AO85" s="4">
        <f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f>
        <v>4</v>
      </c>
      <c r="AP85" s="4">
        <v>4</v>
      </c>
      <c r="AQ85" s="4">
        <f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f>
        <v>4</v>
      </c>
      <c r="AR85" s="4">
        <v>5</v>
      </c>
      <c r="AS85" s="4">
        <f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f>
        <v>5</v>
      </c>
      <c r="AT85" s="4">
        <v>5</v>
      </c>
      <c r="AU85" s="4">
        <f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f>
        <v>4</v>
      </c>
      <c r="AV85" s="4">
        <v>4</v>
      </c>
      <c r="AW85" s="4">
        <f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f>
        <v>4</v>
      </c>
      <c r="AX85" s="2">
        <v>4.5</v>
      </c>
      <c r="AY85" s="2">
        <f>IF(Table_EH_Pre_Survey_May_20__2023_08_229[[#This Row],[Q4]] = 3, 1, IF(Table_EH_Pre_Survey_May_20__2023_08_229[[#This Row],[Q4]] = 2.5, 0.5, IF(Table_EH_Pre_Survey_May_20__2023_08_229[[#This Row],[Q4]] = 3.5, 0.5, 0)))</f>
        <v>0</v>
      </c>
      <c r="AZ85" s="2">
        <f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f>
        <v>4</v>
      </c>
      <c r="BA85" s="2">
        <f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f>
        <v>0</v>
      </c>
      <c r="BB85" t="s">
        <v>130</v>
      </c>
      <c r="BC85">
        <f>IF(Table_EH_Pre_Survey_May_20__2023_08_229[[#This Row],[Q5 ]]="PM &lt; 2.5 μm", 1, 0)</f>
        <v>0</v>
      </c>
      <c r="BD85" t="str">
        <f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f>
        <v>PM &lt; 0.25 μm</v>
      </c>
      <c r="BE85">
        <f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f>
        <v>0</v>
      </c>
      <c r="BF85" t="s">
        <v>141</v>
      </c>
      <c r="BG85">
        <f>IF(Table_EH_Pre_Survey_May_20__2023_08_229[[#This Row],[Q6]]="Particles of this size are generally absorbed in the respiratory tract and safely excreted in mucus.", 1, 0)</f>
        <v>0</v>
      </c>
      <c r="BH85" t="str">
        <f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f>
        <v>Particles of this size reach the bronchial tree where they corrode the alveolar parenchyma.</v>
      </c>
      <c r="BI85">
        <f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f>
        <v>0</v>
      </c>
      <c r="BJ85" t="s">
        <v>142</v>
      </c>
      <c r="BK85">
        <f>IF(ISNUMBER(SEARCH("Trucks", Table_EH_Pre_Survey_May_20__2023_08_229[[#This Row],[Q7]])) = TRUE, 1, 0) + IF(ISNUMBER(SEARCH("Cars", Table_EH_Pre_Survey_May_20__2023_08_229[[#This Row],[Q7]])) = TRUE, 1, 0) + IF(ISNUMBER(SEARCH("Fireplaces", Table_EH_Pre_Survey_May_20__2023_08_229[[#This Row],[Q7]])) = TRUE, 1, 0) + IF(ISNUMBER(SEARCH("Dirt Roads", Table_EH_Pre_Survey_May_20__2023_08_229[[#This Row],[Q7]])) = TRUE, 1, 0) - IF(ISNUMBER(SEARCH("Electric Vehicles", Table_EH_Pre_Survey_May_20__2023_08_229[[#This Row],[Q7]])) = TRUE, 1, 0) - IF(ISNUMBER(SEARCH("Pollen", Table_EH_Pre_Survey_May_20__2023_08_229[[#This Row],[Q7]])) = TRUE, 1, 0)</f>
        <v>2</v>
      </c>
      <c r="BL85" t="str">
        <f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f>
        <v>Cars,Dirt Roads,Electric Vehicles,Fireplaces,Trucks</v>
      </c>
      <c r="BM85">
        <f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f>
        <v>3</v>
      </c>
      <c r="BN85">
        <v>4</v>
      </c>
      <c r="BO85">
        <f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f>
        <v>5</v>
      </c>
      <c r="BP85">
        <v>4</v>
      </c>
      <c r="BQ85">
        <f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f>
        <v>5</v>
      </c>
      <c r="BR85">
        <v>5</v>
      </c>
      <c r="BS85">
        <f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f>
        <v>5</v>
      </c>
      <c r="BT85">
        <v>4</v>
      </c>
      <c r="BU85">
        <f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f>
        <v>5</v>
      </c>
      <c r="BV85">
        <v>5</v>
      </c>
      <c r="BW85">
        <f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f>
        <v>5</v>
      </c>
      <c r="BX85">
        <v>5</v>
      </c>
      <c r="BY85">
        <f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f>
        <v>5</v>
      </c>
      <c r="BZ85">
        <v>8</v>
      </c>
      <c r="CA85">
        <f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f>
        <v>10</v>
      </c>
      <c r="CB85" t="s">
        <v>111</v>
      </c>
      <c r="CC85" t="str">
        <f>IF(ISTEXT(VLOOKUP(Table_EH_Pre_Survey_May_20__2023_08_229[[#This Row],[Unique Identifier]], 'Post-Survey Full Set'!$D$1:$AU$72, 1, 0)), VLOOKUP(Table_EH_Pre_Survey_May_20__2023_08_229[[#This Row],[Unique Identifier]], 'Post-Survey Full Set'!$D$1:$AU$72, 43, 0), VLOOKUP(Table_EH_Pre_Survey_May_20__2023_08_229[[#This Row],[Unique Identifier]], 'Post-Survey Full Set'!$V$1:$AU$72, 25, 0))</f>
        <v/>
      </c>
    </row>
    <row r="86" spans="1:81" hidden="1" x14ac:dyDescent="0.25">
      <c r="A86" t="s">
        <v>488</v>
      </c>
      <c r="B86" t="s">
        <v>485</v>
      </c>
      <c r="C86" t="s">
        <v>42</v>
      </c>
      <c r="D86" t="s">
        <v>389</v>
      </c>
      <c r="E86" t="str">
        <f>IF(COUNTIF($D$2:$D$103, Table_EH_Pre_Survey_May_20__2023_08_229[[#This Row],[IPAddress - IP Address]])=1, "Unique", "")</f>
        <v/>
      </c>
      <c r="F86" t="str">
        <f>VLOOKUP(Table_EH_Pre_Survey_May_20__2023_08_229[[#This Row],[IPAddress - IP Address]], 'Post-Survey Full Set'!D:AU, 2, 0)</f>
        <v/>
      </c>
      <c r="G86" t="str">
        <f>VLOOKUP(Table_EH_Pre_Survey_May_20__2023_08_229[[#This Row],[IPAddress - IP Address]], 'Post-Survey Full Set'!$D$1:$AU$72, 1, 0)</f>
        <v>130.219.10.90</v>
      </c>
      <c r="I86">
        <v>1</v>
      </c>
      <c r="J86" t="s">
        <v>112</v>
      </c>
      <c r="K86">
        <f>_xlfn.NUMBERVALUE(Table_EH_Pre_Survey_May_20__2023_08_229[[#This Row],[Duration (in seconds) - Duration (in seconds)2]])</f>
        <v>122</v>
      </c>
      <c r="L86" t="s">
        <v>489</v>
      </c>
      <c r="M86" t="s">
        <v>114</v>
      </c>
      <c r="N86" t="s">
        <v>485</v>
      </c>
      <c r="O86" t="str">
        <f>VLOOKUP(Table_EH_Pre_Survey_May_20__2023_08_229[[#This Row],[LocationLatitude - Location Latitude]], 'Post-Survey Full Set'!Q:AU, 1, 0)</f>
        <v>40.7337</v>
      </c>
      <c r="P86" t="str">
        <f>VLOOKUP(Table_EH_Pre_Survey_May_20__2023_08_229[[#This Row],[LocationLongitude - Location Longitude]], 'Post-Survey Full Set'!S:AV, 1, 0)</f>
        <v>-74.1939</v>
      </c>
      <c r="Q86" t="s">
        <v>490</v>
      </c>
      <c r="R86" t="s">
        <v>111</v>
      </c>
      <c r="S86" t="s">
        <v>111</v>
      </c>
      <c r="T86" t="s">
        <v>111</v>
      </c>
      <c r="U86" t="s">
        <v>111</v>
      </c>
      <c r="V86" t="s">
        <v>392</v>
      </c>
      <c r="W86" t="str">
        <f>IF(COUNTIF($V$2:$V$103, Table_EH_Pre_Survey_May_20__2023_08_229[[#This Row],[LocationLatitude - Location Latitude]])=1, "Unique", "")</f>
        <v/>
      </c>
      <c r="X86" t="str">
        <f>VLOOKUP(Table_EH_Pre_Survey_May_20__2023_08_229[[#This Row],[LocationLatitude - Location Latitude]], 'Post-Survey Full Set'!Q:AU, 2, 0)</f>
        <v/>
      </c>
      <c r="Y86" t="s">
        <v>393</v>
      </c>
      <c r="Z86" t="e">
        <f>VLOOKUP(Table_EH_Pre_Survey_May_20__2023_08_229[[#This Row],[ResponseId - Response ID]], 'Post-Survey Full Set'!L:AU, 1, 0)</f>
        <v>#N/A</v>
      </c>
      <c r="AA86" t="s">
        <v>487</v>
      </c>
      <c r="AB86" t="s">
        <v>117</v>
      </c>
      <c r="AC86" s="35" t="s">
        <v>111</v>
      </c>
      <c r="AE86" t="str">
        <f>IF(ISTEXT(Table_EH_Pre_Survey_May_20__2023_08_229[[#This Row],[Post-Survey NetID''s]]) = TRUE, "Match", "")</f>
        <v/>
      </c>
      <c r="AF86" t="str">
        <f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f>
        <v/>
      </c>
      <c r="AG86" t="str">
        <f>IF(Table_EH_Pre_Survey_May_20__2023_08_229[[#This Row],[NetID Match]] = "Match",  "Match", IF(ISTEXT(Table_EH_Pre_Survey_May_20__2023_08_229[[#This Row],[IP Address Match]]) = TRUE, "Match", ""))</f>
        <v/>
      </c>
      <c r="AH86" s="8">
        <v>5</v>
      </c>
      <c r="AI86" s="8">
        <f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f>
        <v>3</v>
      </c>
      <c r="AJ86" s="4">
        <v>5</v>
      </c>
      <c r="AK86" s="4">
        <f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f>
        <v>4</v>
      </c>
      <c r="AL86" s="4">
        <v>4</v>
      </c>
      <c r="AM86" s="4">
        <f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f>
        <v>4</v>
      </c>
      <c r="AN86" s="4">
        <v>5</v>
      </c>
      <c r="AO86" s="4">
        <f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f>
        <v>4</v>
      </c>
      <c r="AP86" s="4">
        <v>3</v>
      </c>
      <c r="AQ86" s="4">
        <f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f>
        <v>4</v>
      </c>
      <c r="AR86" s="4">
        <v>4</v>
      </c>
      <c r="AS86" s="4">
        <f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f>
        <v>5</v>
      </c>
      <c r="AT86" s="4">
        <v>5</v>
      </c>
      <c r="AU86" s="4">
        <f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f>
        <v>4</v>
      </c>
      <c r="AV86" s="4">
        <v>3</v>
      </c>
      <c r="AW86" s="4">
        <f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f>
        <v>4</v>
      </c>
      <c r="AX86" s="2">
        <v>4</v>
      </c>
      <c r="AY86" s="2">
        <f>IF(Table_EH_Pre_Survey_May_20__2023_08_229[[#This Row],[Q4]] = 3, 1, IF(Table_EH_Pre_Survey_May_20__2023_08_229[[#This Row],[Q4]] = 2.5, 0.5, IF(Table_EH_Pre_Survey_May_20__2023_08_229[[#This Row],[Q4]] = 3.5, 0.5, 0)))</f>
        <v>0</v>
      </c>
      <c r="AZ86" s="2">
        <f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f>
        <v>4</v>
      </c>
      <c r="BA86" s="2">
        <f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f>
        <v>0</v>
      </c>
      <c r="BB86" t="s">
        <v>130</v>
      </c>
      <c r="BC86">
        <f>IF(Table_EH_Pre_Survey_May_20__2023_08_229[[#This Row],[Q5 ]]="PM &lt; 2.5 μm", 1, 0)</f>
        <v>0</v>
      </c>
      <c r="BD86" t="str">
        <f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f>
        <v>PM &lt; 0.25 μm</v>
      </c>
      <c r="BE86">
        <f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f>
        <v>0</v>
      </c>
      <c r="BF86" t="s">
        <v>175</v>
      </c>
      <c r="BG86">
        <f>IF(Table_EH_Pre_Survey_May_20__2023_08_229[[#This Row],[Q6]]="Particles of this size are generally absorbed in the respiratory tract and safely excreted in mucus.", 1, 0)</f>
        <v>1</v>
      </c>
      <c r="BH86" t="str">
        <f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f>
        <v>Particles of this size reach the bronchial tree where they corrode the alveolar parenchyma.</v>
      </c>
      <c r="BI86">
        <f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f>
        <v>0</v>
      </c>
      <c r="BJ86" t="s">
        <v>186</v>
      </c>
      <c r="BK86">
        <f>IF(ISNUMBER(SEARCH("Trucks", Table_EH_Pre_Survey_May_20__2023_08_229[[#This Row],[Q7]])) = TRUE, 1, 0) + IF(ISNUMBER(SEARCH("Cars", Table_EH_Pre_Survey_May_20__2023_08_229[[#This Row],[Q7]])) = TRUE, 1, 0) + IF(ISNUMBER(SEARCH("Fireplaces", Table_EH_Pre_Survey_May_20__2023_08_229[[#This Row],[Q7]])) = TRUE, 1, 0) + IF(ISNUMBER(SEARCH("Dirt Roads", Table_EH_Pre_Survey_May_20__2023_08_229[[#This Row],[Q7]])) = TRUE, 1, 0) - IF(ISNUMBER(SEARCH("Electric Vehicles", Table_EH_Pre_Survey_May_20__2023_08_229[[#This Row],[Q7]])) = TRUE, 1, 0) - IF(ISNUMBER(SEARCH("Pollen", Table_EH_Pre_Survey_May_20__2023_08_229[[#This Row],[Q7]])) = TRUE, 1, 0)</f>
        <v>3</v>
      </c>
      <c r="BL86" t="str">
        <f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f>
        <v>Cars,Dirt Roads,Electric Vehicles,Fireplaces,Trucks</v>
      </c>
      <c r="BM86">
        <f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f>
        <v>3</v>
      </c>
      <c r="BN86">
        <v>3</v>
      </c>
      <c r="BO86">
        <f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f>
        <v>5</v>
      </c>
      <c r="BP86">
        <v>4</v>
      </c>
      <c r="BQ86">
        <f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f>
        <v>5</v>
      </c>
      <c r="BR86">
        <v>3</v>
      </c>
      <c r="BS86">
        <f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f>
        <v>5</v>
      </c>
      <c r="BT86">
        <v>3</v>
      </c>
      <c r="BU86">
        <f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f>
        <v>5</v>
      </c>
      <c r="BV86">
        <v>4</v>
      </c>
      <c r="BW86">
        <f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f>
        <v>5</v>
      </c>
      <c r="BX86">
        <v>4</v>
      </c>
      <c r="BY86">
        <f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f>
        <v>5</v>
      </c>
      <c r="BZ86">
        <v>7</v>
      </c>
      <c r="CA86">
        <f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f>
        <v>10</v>
      </c>
      <c r="CB86" t="s">
        <v>491</v>
      </c>
      <c r="CC86" t="str">
        <f>IF(ISTEXT(VLOOKUP(Table_EH_Pre_Survey_May_20__2023_08_229[[#This Row],[Unique Identifier]], 'Post-Survey Full Set'!$D$1:$AU$72, 1, 0)), VLOOKUP(Table_EH_Pre_Survey_May_20__2023_08_229[[#This Row],[Unique Identifier]], 'Post-Survey Full Set'!$D$1:$AU$72, 43, 0), VLOOKUP(Table_EH_Pre_Survey_May_20__2023_08_229[[#This Row],[Unique Identifier]], 'Post-Survey Full Set'!$V$1:$AU$72, 25, 0))</f>
        <v/>
      </c>
    </row>
    <row r="87" spans="1:81" hidden="1" x14ac:dyDescent="0.25">
      <c r="A87" t="s">
        <v>505</v>
      </c>
      <c r="B87" t="s">
        <v>506</v>
      </c>
      <c r="C87" t="s">
        <v>42</v>
      </c>
      <c r="D87" t="s">
        <v>389</v>
      </c>
      <c r="E87" t="str">
        <f>IF(COUNTIF($D$2:$D$103, Table_EH_Pre_Survey_May_20__2023_08_229[[#This Row],[IPAddress - IP Address]])=1, "Unique", "")</f>
        <v/>
      </c>
      <c r="F87" t="str">
        <f>VLOOKUP(Table_EH_Pre_Survey_May_20__2023_08_229[[#This Row],[IPAddress - IP Address]], 'Post-Survey Full Set'!D:AU, 2, 0)</f>
        <v/>
      </c>
      <c r="G87" t="str">
        <f>VLOOKUP(Table_EH_Pre_Survey_May_20__2023_08_229[[#This Row],[IPAddress - IP Address]], 'Post-Survey Full Set'!$D$1:$AU$72, 1, 0)</f>
        <v>130.219.10.90</v>
      </c>
      <c r="I87">
        <v>1</v>
      </c>
      <c r="J87" t="s">
        <v>112</v>
      </c>
      <c r="K87">
        <f>_xlfn.NUMBERVALUE(Table_EH_Pre_Survey_May_20__2023_08_229[[#This Row],[Duration (in seconds) - Duration (in seconds)2]])</f>
        <v>169</v>
      </c>
      <c r="L87" t="s">
        <v>507</v>
      </c>
      <c r="M87" t="s">
        <v>114</v>
      </c>
      <c r="N87" t="s">
        <v>506</v>
      </c>
      <c r="O87" t="str">
        <f>VLOOKUP(Table_EH_Pre_Survey_May_20__2023_08_229[[#This Row],[LocationLatitude - Location Latitude]], 'Post-Survey Full Set'!Q:AU, 1, 0)</f>
        <v>40.7337</v>
      </c>
      <c r="P87" t="str">
        <f>VLOOKUP(Table_EH_Pre_Survey_May_20__2023_08_229[[#This Row],[LocationLongitude - Location Longitude]], 'Post-Survey Full Set'!S:AV, 1, 0)</f>
        <v>-74.1939</v>
      </c>
      <c r="Q87" t="s">
        <v>508</v>
      </c>
      <c r="R87" t="s">
        <v>111</v>
      </c>
      <c r="S87" t="s">
        <v>111</v>
      </c>
      <c r="T87" t="s">
        <v>111</v>
      </c>
      <c r="U87" t="s">
        <v>111</v>
      </c>
      <c r="V87" t="s">
        <v>392</v>
      </c>
      <c r="W87" t="str">
        <f>IF(COUNTIF($V$2:$V$103, Table_EH_Pre_Survey_May_20__2023_08_229[[#This Row],[LocationLatitude - Location Latitude]])=1, "Unique", "")</f>
        <v/>
      </c>
      <c r="X87" t="str">
        <f>VLOOKUP(Table_EH_Pre_Survey_May_20__2023_08_229[[#This Row],[LocationLatitude - Location Latitude]], 'Post-Survey Full Set'!Q:AU, 2, 0)</f>
        <v/>
      </c>
      <c r="Y87" t="s">
        <v>393</v>
      </c>
      <c r="Z87" t="e">
        <f>VLOOKUP(Table_EH_Pre_Survey_May_20__2023_08_229[[#This Row],[ResponseId - Response ID]], 'Post-Survey Full Set'!L:AU, 1, 0)</f>
        <v>#N/A</v>
      </c>
      <c r="AA87" t="s">
        <v>127</v>
      </c>
      <c r="AB87" t="s">
        <v>117</v>
      </c>
      <c r="AC87" s="35" t="s">
        <v>111</v>
      </c>
      <c r="AE87" t="str">
        <f>IF(ISTEXT(Table_EH_Pre_Survey_May_20__2023_08_229[[#This Row],[Post-Survey NetID''s]]) = TRUE, "Match", "")</f>
        <v/>
      </c>
      <c r="AF87" t="str">
        <f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f>
        <v/>
      </c>
      <c r="AG87" t="str">
        <f>IF(Table_EH_Pre_Survey_May_20__2023_08_229[[#This Row],[NetID Match]] = "Match",  "Match", IF(ISTEXT(Table_EH_Pre_Survey_May_20__2023_08_229[[#This Row],[IP Address Match]]) = TRUE, "Match", ""))</f>
        <v/>
      </c>
      <c r="AH87" s="8">
        <v>5</v>
      </c>
      <c r="AI87" s="8">
        <f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f>
        <v>3</v>
      </c>
      <c r="AJ87" s="4">
        <v>2</v>
      </c>
      <c r="AK87" s="4">
        <f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f>
        <v>4</v>
      </c>
      <c r="AL87" s="4">
        <v>4</v>
      </c>
      <c r="AM87" s="4">
        <f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f>
        <v>4</v>
      </c>
      <c r="AN87" s="4">
        <v>5</v>
      </c>
      <c r="AO87" s="4">
        <f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f>
        <v>4</v>
      </c>
      <c r="AP87" s="4">
        <v>2</v>
      </c>
      <c r="AQ87" s="4">
        <f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f>
        <v>4</v>
      </c>
      <c r="AR87" s="4">
        <v>5</v>
      </c>
      <c r="AS87" s="4">
        <f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f>
        <v>5</v>
      </c>
      <c r="AT87" s="4">
        <v>5</v>
      </c>
      <c r="AU87" s="4">
        <f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f>
        <v>4</v>
      </c>
      <c r="AV87" s="4"/>
      <c r="AW87" s="4">
        <f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f>
        <v>4</v>
      </c>
      <c r="AX87" s="2">
        <v>2.5</v>
      </c>
      <c r="AY87" s="2">
        <f>IF(Table_EH_Pre_Survey_May_20__2023_08_229[[#This Row],[Q4]] = 3, 1, IF(Table_EH_Pre_Survey_May_20__2023_08_229[[#This Row],[Q4]] = 2.5, 0.5, IF(Table_EH_Pre_Survey_May_20__2023_08_229[[#This Row],[Q4]] = 3.5, 0.5, 0)))</f>
        <v>0.5</v>
      </c>
      <c r="AZ87" s="2">
        <f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f>
        <v>4</v>
      </c>
      <c r="BA87" s="2">
        <f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f>
        <v>0</v>
      </c>
      <c r="BB87" t="s">
        <v>130</v>
      </c>
      <c r="BC87">
        <f>IF(Table_EH_Pre_Survey_May_20__2023_08_229[[#This Row],[Q5 ]]="PM &lt; 2.5 μm", 1, 0)</f>
        <v>0</v>
      </c>
      <c r="BD87" t="str">
        <f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f>
        <v>PM &lt; 0.25 μm</v>
      </c>
      <c r="BE87">
        <f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f>
        <v>0</v>
      </c>
      <c r="BF87" t="s">
        <v>175</v>
      </c>
      <c r="BG87">
        <f>IF(Table_EH_Pre_Survey_May_20__2023_08_229[[#This Row],[Q6]]="Particles of this size are generally absorbed in the respiratory tract and safely excreted in mucus.", 1, 0)</f>
        <v>1</v>
      </c>
      <c r="BH87" t="str">
        <f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f>
        <v>Particles of this size reach the bronchial tree where they corrode the alveolar parenchyma.</v>
      </c>
      <c r="BI87">
        <f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f>
        <v>0</v>
      </c>
      <c r="BJ87" t="s">
        <v>327</v>
      </c>
      <c r="BK87">
        <f>IF(ISNUMBER(SEARCH("Trucks", Table_EH_Pre_Survey_May_20__2023_08_229[[#This Row],[Q7]])) = TRUE, 1, 0) + IF(ISNUMBER(SEARCH("Cars", Table_EH_Pre_Survey_May_20__2023_08_229[[#This Row],[Q7]])) = TRUE, 1, 0) + IF(ISNUMBER(SEARCH("Fireplaces", Table_EH_Pre_Survey_May_20__2023_08_229[[#This Row],[Q7]])) = TRUE, 1, 0) + IF(ISNUMBER(SEARCH("Dirt Roads", Table_EH_Pre_Survey_May_20__2023_08_229[[#This Row],[Q7]])) = TRUE, 1, 0) - IF(ISNUMBER(SEARCH("Electric Vehicles", Table_EH_Pre_Survey_May_20__2023_08_229[[#This Row],[Q7]])) = TRUE, 1, 0) - IF(ISNUMBER(SEARCH("Pollen", Table_EH_Pre_Survey_May_20__2023_08_229[[#This Row],[Q7]])) = TRUE, 1, 0)</f>
        <v>1</v>
      </c>
      <c r="BL87" t="str">
        <f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f>
        <v>Cars,Dirt Roads,Electric Vehicles,Fireplaces,Trucks</v>
      </c>
      <c r="BM87">
        <f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f>
        <v>3</v>
      </c>
      <c r="BN87">
        <v>1</v>
      </c>
      <c r="BO87">
        <f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f>
        <v>5</v>
      </c>
      <c r="BP87">
        <v>1</v>
      </c>
      <c r="BQ87">
        <f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f>
        <v>5</v>
      </c>
      <c r="BR87">
        <v>2</v>
      </c>
      <c r="BS87">
        <f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f>
        <v>5</v>
      </c>
      <c r="BT87">
        <v>1</v>
      </c>
      <c r="BU87">
        <f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f>
        <v>5</v>
      </c>
      <c r="BV87">
        <v>2</v>
      </c>
      <c r="BW87">
        <f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f>
        <v>5</v>
      </c>
      <c r="BX87">
        <v>4</v>
      </c>
      <c r="BY87">
        <f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f>
        <v>5</v>
      </c>
      <c r="BZ87">
        <v>7</v>
      </c>
      <c r="CA87">
        <f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f>
        <v>10</v>
      </c>
      <c r="CB87" t="s">
        <v>509</v>
      </c>
      <c r="CC87" t="str">
        <f>IF(ISTEXT(VLOOKUP(Table_EH_Pre_Survey_May_20__2023_08_229[[#This Row],[Unique Identifier]], 'Post-Survey Full Set'!$D$1:$AU$72, 1, 0)), VLOOKUP(Table_EH_Pre_Survey_May_20__2023_08_229[[#This Row],[Unique Identifier]], 'Post-Survey Full Set'!$D$1:$AU$72, 43, 0), VLOOKUP(Table_EH_Pre_Survey_May_20__2023_08_229[[#This Row],[Unique Identifier]], 'Post-Survey Full Set'!$V$1:$AU$72, 25, 0))</f>
        <v/>
      </c>
    </row>
    <row r="88" spans="1:81" hidden="1" x14ac:dyDescent="0.25">
      <c r="A88" t="s">
        <v>510</v>
      </c>
      <c r="B88" t="s">
        <v>511</v>
      </c>
      <c r="C88" t="s">
        <v>42</v>
      </c>
      <c r="D88" t="s">
        <v>389</v>
      </c>
      <c r="E88" t="str">
        <f>IF(COUNTIF($D$2:$D$103, Table_EH_Pre_Survey_May_20__2023_08_229[[#This Row],[IPAddress - IP Address]])=1, "Unique", "")</f>
        <v/>
      </c>
      <c r="F88" t="str">
        <f>VLOOKUP(Table_EH_Pre_Survey_May_20__2023_08_229[[#This Row],[IPAddress - IP Address]], 'Post-Survey Full Set'!D:AU, 2, 0)</f>
        <v/>
      </c>
      <c r="G88" t="str">
        <f>VLOOKUP(Table_EH_Pre_Survey_May_20__2023_08_229[[#This Row],[IPAddress - IP Address]], 'Post-Survey Full Set'!$D$1:$AU$72, 1, 0)</f>
        <v>130.219.10.90</v>
      </c>
      <c r="I88">
        <v>1</v>
      </c>
      <c r="J88" t="s">
        <v>112</v>
      </c>
      <c r="K88">
        <f>_xlfn.NUMBERVALUE(Table_EH_Pre_Survey_May_20__2023_08_229[[#This Row],[Duration (in seconds) - Duration (in seconds)2]])</f>
        <v>119</v>
      </c>
      <c r="L88" t="s">
        <v>512</v>
      </c>
      <c r="M88" t="s">
        <v>114</v>
      </c>
      <c r="N88" t="s">
        <v>513</v>
      </c>
      <c r="O88" t="str">
        <f>VLOOKUP(Table_EH_Pre_Survey_May_20__2023_08_229[[#This Row],[LocationLatitude - Location Latitude]], 'Post-Survey Full Set'!Q:AU, 1, 0)</f>
        <v>40.7337</v>
      </c>
      <c r="P88" t="str">
        <f>VLOOKUP(Table_EH_Pre_Survey_May_20__2023_08_229[[#This Row],[LocationLongitude - Location Longitude]], 'Post-Survey Full Set'!S:AV, 1, 0)</f>
        <v>-74.1939</v>
      </c>
      <c r="Q88" t="s">
        <v>514</v>
      </c>
      <c r="R88" t="s">
        <v>111</v>
      </c>
      <c r="S88" t="s">
        <v>111</v>
      </c>
      <c r="T88" t="s">
        <v>111</v>
      </c>
      <c r="U88" t="s">
        <v>111</v>
      </c>
      <c r="V88" t="s">
        <v>392</v>
      </c>
      <c r="W88" t="str">
        <f>IF(COUNTIF($V$2:$V$103, Table_EH_Pre_Survey_May_20__2023_08_229[[#This Row],[LocationLatitude - Location Latitude]])=1, "Unique", "")</f>
        <v/>
      </c>
      <c r="X88" t="str">
        <f>VLOOKUP(Table_EH_Pre_Survey_May_20__2023_08_229[[#This Row],[LocationLatitude - Location Latitude]], 'Post-Survey Full Set'!Q:AU, 2, 0)</f>
        <v/>
      </c>
      <c r="Y88" t="s">
        <v>393</v>
      </c>
      <c r="Z88" t="e">
        <f>VLOOKUP(Table_EH_Pre_Survey_May_20__2023_08_229[[#This Row],[ResponseId - Response ID]], 'Post-Survey Full Set'!L:AU, 1, 0)</f>
        <v>#N/A</v>
      </c>
      <c r="AA88" t="s">
        <v>487</v>
      </c>
      <c r="AB88" t="s">
        <v>117</v>
      </c>
      <c r="AC88" s="35" t="s">
        <v>111</v>
      </c>
      <c r="AE88" t="str">
        <f>IF(ISTEXT(Table_EH_Pre_Survey_May_20__2023_08_229[[#This Row],[Post-Survey NetID''s]]) = TRUE, "Match", "")</f>
        <v/>
      </c>
      <c r="AF88" t="str">
        <f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f>
        <v/>
      </c>
      <c r="AG88" t="str">
        <f>IF(Table_EH_Pre_Survey_May_20__2023_08_229[[#This Row],[NetID Match]] = "Match",  "Match", IF(ISTEXT(Table_EH_Pre_Survey_May_20__2023_08_229[[#This Row],[IP Address Match]]) = TRUE, "Match", ""))</f>
        <v/>
      </c>
      <c r="AH88" s="8">
        <v>4</v>
      </c>
      <c r="AI88" s="8">
        <f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f>
        <v>3</v>
      </c>
      <c r="AJ88" s="4">
        <v>5</v>
      </c>
      <c r="AK88" s="4">
        <f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f>
        <v>4</v>
      </c>
      <c r="AL88" s="4">
        <v>3</v>
      </c>
      <c r="AM88" s="4">
        <f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f>
        <v>4</v>
      </c>
      <c r="AN88" s="4">
        <v>5</v>
      </c>
      <c r="AO88" s="4">
        <f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f>
        <v>4</v>
      </c>
      <c r="AP88" s="4">
        <v>2</v>
      </c>
      <c r="AQ88" s="4">
        <f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f>
        <v>4</v>
      </c>
      <c r="AR88" s="4">
        <v>2</v>
      </c>
      <c r="AS88" s="4">
        <f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f>
        <v>5</v>
      </c>
      <c r="AT88" s="4">
        <v>5</v>
      </c>
      <c r="AU88" s="4">
        <f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f>
        <v>4</v>
      </c>
      <c r="AV88" s="4">
        <v>2</v>
      </c>
      <c r="AW88" s="4">
        <f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f>
        <v>4</v>
      </c>
      <c r="AX88" s="2">
        <v>1</v>
      </c>
      <c r="AY88" s="2">
        <f>IF(Table_EH_Pre_Survey_May_20__2023_08_229[[#This Row],[Q4]] = 3, 1, IF(Table_EH_Pre_Survey_May_20__2023_08_229[[#This Row],[Q4]] = 2.5, 0.5, IF(Table_EH_Pre_Survey_May_20__2023_08_229[[#This Row],[Q4]] = 3.5, 0.5, 0)))</f>
        <v>0</v>
      </c>
      <c r="AZ88" s="2">
        <f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f>
        <v>4</v>
      </c>
      <c r="BA88" s="2">
        <f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f>
        <v>0</v>
      </c>
      <c r="BB88" t="s">
        <v>154</v>
      </c>
      <c r="BC88">
        <f>IF(Table_EH_Pre_Survey_May_20__2023_08_229[[#This Row],[Q5 ]]="PM &lt; 2.5 μm", 1, 0)</f>
        <v>0</v>
      </c>
      <c r="BD88" t="str">
        <f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f>
        <v>PM &lt; 0.25 μm</v>
      </c>
      <c r="BE88">
        <f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f>
        <v>0</v>
      </c>
      <c r="BF88" t="s">
        <v>141</v>
      </c>
      <c r="BG88">
        <f>IF(Table_EH_Pre_Survey_May_20__2023_08_229[[#This Row],[Q6]]="Particles of this size are generally absorbed in the respiratory tract and safely excreted in mucus.", 1, 0)</f>
        <v>0</v>
      </c>
      <c r="BH88" t="str">
        <f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f>
        <v>Particles of this size reach the bronchial tree where they corrode the alveolar parenchyma.</v>
      </c>
      <c r="BI88">
        <f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f>
        <v>0</v>
      </c>
      <c r="BJ88" t="s">
        <v>232</v>
      </c>
      <c r="BK88">
        <f>IF(ISNUMBER(SEARCH("Trucks", Table_EH_Pre_Survey_May_20__2023_08_229[[#This Row],[Q7]])) = TRUE, 1, 0) + IF(ISNUMBER(SEARCH("Cars", Table_EH_Pre_Survey_May_20__2023_08_229[[#This Row],[Q7]])) = TRUE, 1, 0) + IF(ISNUMBER(SEARCH("Fireplaces", Table_EH_Pre_Survey_May_20__2023_08_229[[#This Row],[Q7]])) = TRUE, 1, 0) + IF(ISNUMBER(SEARCH("Dirt Roads", Table_EH_Pre_Survey_May_20__2023_08_229[[#This Row],[Q7]])) = TRUE, 1, 0) - IF(ISNUMBER(SEARCH("Electric Vehicles", Table_EH_Pre_Survey_May_20__2023_08_229[[#This Row],[Q7]])) = TRUE, 1, 0) - IF(ISNUMBER(SEARCH("Pollen", Table_EH_Pre_Survey_May_20__2023_08_229[[#This Row],[Q7]])) = TRUE, 1, 0)</f>
        <v>1</v>
      </c>
      <c r="BL88" t="str">
        <f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f>
        <v>Cars,Dirt Roads,Electric Vehicles,Fireplaces,Trucks</v>
      </c>
      <c r="BM88">
        <f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f>
        <v>3</v>
      </c>
      <c r="BN88">
        <v>5</v>
      </c>
      <c r="BO88">
        <f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f>
        <v>5</v>
      </c>
      <c r="BP88">
        <v>5</v>
      </c>
      <c r="BQ88">
        <f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f>
        <v>5</v>
      </c>
      <c r="BR88">
        <v>5</v>
      </c>
      <c r="BS88">
        <f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f>
        <v>5</v>
      </c>
      <c r="BT88">
        <v>5</v>
      </c>
      <c r="BU88">
        <f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f>
        <v>5</v>
      </c>
      <c r="BV88">
        <v>5</v>
      </c>
      <c r="BW88">
        <f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f>
        <v>5</v>
      </c>
      <c r="BX88">
        <v>5</v>
      </c>
      <c r="BY88">
        <f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f>
        <v>5</v>
      </c>
      <c r="BZ88">
        <v>9</v>
      </c>
      <c r="CA88">
        <f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f>
        <v>10</v>
      </c>
      <c r="CB88" t="s">
        <v>111</v>
      </c>
      <c r="CC88" t="str">
        <f>IF(ISTEXT(VLOOKUP(Table_EH_Pre_Survey_May_20__2023_08_229[[#This Row],[Unique Identifier]], 'Post-Survey Full Set'!$D$1:$AU$72, 1, 0)), VLOOKUP(Table_EH_Pre_Survey_May_20__2023_08_229[[#This Row],[Unique Identifier]], 'Post-Survey Full Set'!$D$1:$AU$72, 43, 0), VLOOKUP(Table_EH_Pre_Survey_May_20__2023_08_229[[#This Row],[Unique Identifier]], 'Post-Survey Full Set'!$V$1:$AU$72, 25, 0))</f>
        <v/>
      </c>
    </row>
    <row r="89" spans="1:81" hidden="1" x14ac:dyDescent="0.25">
      <c r="A89" t="s">
        <v>521</v>
      </c>
      <c r="B89" t="s">
        <v>522</v>
      </c>
      <c r="C89" t="s">
        <v>42</v>
      </c>
      <c r="D89" t="s">
        <v>389</v>
      </c>
      <c r="E89" t="str">
        <f>IF(COUNTIF($D$2:$D$103, Table_EH_Pre_Survey_May_20__2023_08_229[[#This Row],[IPAddress - IP Address]])=1, "Unique", "")</f>
        <v/>
      </c>
      <c r="F89" t="str">
        <f>VLOOKUP(Table_EH_Pre_Survey_May_20__2023_08_229[[#This Row],[IPAddress - IP Address]], 'Post-Survey Full Set'!D:AU, 2, 0)</f>
        <v/>
      </c>
      <c r="G89" t="str">
        <f>VLOOKUP(Table_EH_Pre_Survey_May_20__2023_08_229[[#This Row],[IPAddress - IP Address]], 'Post-Survey Full Set'!$D$1:$AU$72, 1, 0)</f>
        <v>130.219.10.90</v>
      </c>
      <c r="I89">
        <v>1</v>
      </c>
      <c r="J89" t="s">
        <v>112</v>
      </c>
      <c r="K89">
        <f>_xlfn.NUMBERVALUE(Table_EH_Pre_Survey_May_20__2023_08_229[[#This Row],[Duration (in seconds) - Duration (in seconds)2]])</f>
        <v>129</v>
      </c>
      <c r="L89" t="s">
        <v>523</v>
      </c>
      <c r="M89" t="s">
        <v>114</v>
      </c>
      <c r="N89" t="s">
        <v>522</v>
      </c>
      <c r="O89" t="str">
        <f>VLOOKUP(Table_EH_Pre_Survey_May_20__2023_08_229[[#This Row],[LocationLatitude - Location Latitude]], 'Post-Survey Full Set'!Q:AU, 1, 0)</f>
        <v>40.7337</v>
      </c>
      <c r="P89" t="str">
        <f>VLOOKUP(Table_EH_Pre_Survey_May_20__2023_08_229[[#This Row],[LocationLongitude - Location Longitude]], 'Post-Survey Full Set'!S:AV, 1, 0)</f>
        <v>-74.1939</v>
      </c>
      <c r="Q89" t="s">
        <v>524</v>
      </c>
      <c r="R89" t="s">
        <v>111</v>
      </c>
      <c r="S89" t="s">
        <v>111</v>
      </c>
      <c r="T89" t="s">
        <v>111</v>
      </c>
      <c r="U89" t="s">
        <v>111</v>
      </c>
      <c r="V89" t="s">
        <v>392</v>
      </c>
      <c r="W89" t="str">
        <f>IF(COUNTIF($V$2:$V$103, Table_EH_Pre_Survey_May_20__2023_08_229[[#This Row],[LocationLatitude - Location Latitude]])=1, "Unique", "")</f>
        <v/>
      </c>
      <c r="X89" t="str">
        <f>VLOOKUP(Table_EH_Pre_Survey_May_20__2023_08_229[[#This Row],[LocationLatitude - Location Latitude]], 'Post-Survey Full Set'!Q:AU, 2, 0)</f>
        <v/>
      </c>
      <c r="Y89" t="s">
        <v>393</v>
      </c>
      <c r="Z89" t="e">
        <f>VLOOKUP(Table_EH_Pre_Survey_May_20__2023_08_229[[#This Row],[ResponseId - Response ID]], 'Post-Survey Full Set'!L:AU, 1, 0)</f>
        <v>#N/A</v>
      </c>
      <c r="AA89" t="s">
        <v>127</v>
      </c>
      <c r="AB89" t="s">
        <v>117</v>
      </c>
      <c r="AC89" s="35" t="s">
        <v>111</v>
      </c>
      <c r="AE89" t="str">
        <f>IF(ISTEXT(Table_EH_Pre_Survey_May_20__2023_08_229[[#This Row],[Post-Survey NetID''s]]) = TRUE, "Match", "")</f>
        <v/>
      </c>
      <c r="AF89" t="str">
        <f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f>
        <v/>
      </c>
      <c r="AG89" t="str">
        <f>IF(Table_EH_Pre_Survey_May_20__2023_08_229[[#This Row],[NetID Match]] = "Match",  "Match", IF(ISTEXT(Table_EH_Pre_Survey_May_20__2023_08_229[[#This Row],[IP Address Match]]) = TRUE, "Match", ""))</f>
        <v/>
      </c>
      <c r="AH89" s="8">
        <v>5</v>
      </c>
      <c r="AI89" s="8">
        <f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f>
        <v>3</v>
      </c>
      <c r="AJ89" s="4">
        <v>4</v>
      </c>
      <c r="AK89" s="4">
        <f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f>
        <v>4</v>
      </c>
      <c r="AL89" s="4">
        <v>4</v>
      </c>
      <c r="AM89" s="4">
        <f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f>
        <v>4</v>
      </c>
      <c r="AN89" s="4">
        <v>4</v>
      </c>
      <c r="AO89" s="4">
        <f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f>
        <v>4</v>
      </c>
      <c r="AP89" s="4">
        <v>4</v>
      </c>
      <c r="AQ89" s="4">
        <f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f>
        <v>4</v>
      </c>
      <c r="AR89" s="4">
        <v>4</v>
      </c>
      <c r="AS89" s="4">
        <f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f>
        <v>5</v>
      </c>
      <c r="AT89" s="4">
        <v>4</v>
      </c>
      <c r="AU89" s="4">
        <f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f>
        <v>4</v>
      </c>
      <c r="AV89" s="4">
        <v>3</v>
      </c>
      <c r="AW89" s="4">
        <f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f>
        <v>4</v>
      </c>
      <c r="AX89" s="2">
        <v>4</v>
      </c>
      <c r="AY89" s="2">
        <f>IF(Table_EH_Pre_Survey_May_20__2023_08_229[[#This Row],[Q4]] = 3, 1, IF(Table_EH_Pre_Survey_May_20__2023_08_229[[#This Row],[Q4]] = 2.5, 0.5, IF(Table_EH_Pre_Survey_May_20__2023_08_229[[#This Row],[Q4]] = 3.5, 0.5, 0)))</f>
        <v>0</v>
      </c>
      <c r="AZ89" s="2">
        <f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f>
        <v>4</v>
      </c>
      <c r="BA89" s="2">
        <f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f>
        <v>0</v>
      </c>
      <c r="BB89" t="s">
        <v>525</v>
      </c>
      <c r="BC89">
        <f>IF(Table_EH_Pre_Survey_May_20__2023_08_229[[#This Row],[Q5 ]]="PM &lt; 2.5 μm", 1, 0)</f>
        <v>0</v>
      </c>
      <c r="BD89" t="str">
        <f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f>
        <v>PM &lt; 0.25 μm</v>
      </c>
      <c r="BE89">
        <f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f>
        <v>0</v>
      </c>
      <c r="BF89" t="s">
        <v>131</v>
      </c>
      <c r="BG89">
        <f>IF(Table_EH_Pre_Survey_May_20__2023_08_229[[#This Row],[Q6]]="Particles of this size are generally absorbed in the respiratory tract and safely excreted in mucus.", 1, 0)</f>
        <v>0</v>
      </c>
      <c r="BH89" t="str">
        <f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f>
        <v>Particles of this size reach the bronchial tree where they corrode the alveolar parenchyma.</v>
      </c>
      <c r="BI89">
        <f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f>
        <v>0</v>
      </c>
      <c r="BJ89" t="s">
        <v>526</v>
      </c>
      <c r="BK89">
        <f>IF(ISNUMBER(SEARCH("Trucks", Table_EH_Pre_Survey_May_20__2023_08_229[[#This Row],[Q7]])) = TRUE, 1, 0) + IF(ISNUMBER(SEARCH("Cars", Table_EH_Pre_Survey_May_20__2023_08_229[[#This Row],[Q7]])) = TRUE, 1, 0) + IF(ISNUMBER(SEARCH("Fireplaces", Table_EH_Pre_Survey_May_20__2023_08_229[[#This Row],[Q7]])) = TRUE, 1, 0) + IF(ISNUMBER(SEARCH("Dirt Roads", Table_EH_Pre_Survey_May_20__2023_08_229[[#This Row],[Q7]])) = TRUE, 1, 0) - IF(ISNUMBER(SEARCH("Electric Vehicles", Table_EH_Pre_Survey_May_20__2023_08_229[[#This Row],[Q7]])) = TRUE, 1, 0) - IF(ISNUMBER(SEARCH("Pollen", Table_EH_Pre_Survey_May_20__2023_08_229[[#This Row],[Q7]])) = TRUE, 1, 0)</f>
        <v>-1</v>
      </c>
      <c r="BL89" t="str">
        <f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f>
        <v>Cars,Dirt Roads,Electric Vehicles,Fireplaces,Trucks</v>
      </c>
      <c r="BM89">
        <f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f>
        <v>3</v>
      </c>
      <c r="BN89">
        <v>2</v>
      </c>
      <c r="BO89">
        <f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f>
        <v>5</v>
      </c>
      <c r="BP89">
        <v>2</v>
      </c>
      <c r="BQ89">
        <f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f>
        <v>5</v>
      </c>
      <c r="BR89">
        <v>2</v>
      </c>
      <c r="BS89">
        <f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f>
        <v>5</v>
      </c>
      <c r="BT89">
        <v>2</v>
      </c>
      <c r="BU89">
        <f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f>
        <v>5</v>
      </c>
      <c r="BV89">
        <v>4</v>
      </c>
      <c r="BW89">
        <f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f>
        <v>5</v>
      </c>
      <c r="BX89">
        <v>4</v>
      </c>
      <c r="BY89">
        <f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f>
        <v>5</v>
      </c>
      <c r="BZ89">
        <v>5</v>
      </c>
      <c r="CA89">
        <f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f>
        <v>10</v>
      </c>
      <c r="CB89" t="s">
        <v>527</v>
      </c>
      <c r="CC89" t="str">
        <f>IF(ISTEXT(VLOOKUP(Table_EH_Pre_Survey_May_20__2023_08_229[[#This Row],[Unique Identifier]], 'Post-Survey Full Set'!$D$1:$AU$72, 1, 0)), VLOOKUP(Table_EH_Pre_Survey_May_20__2023_08_229[[#This Row],[Unique Identifier]], 'Post-Survey Full Set'!$D$1:$AU$72, 43, 0), VLOOKUP(Table_EH_Pre_Survey_May_20__2023_08_229[[#This Row],[Unique Identifier]], 'Post-Survey Full Set'!$V$1:$AU$72, 25, 0))</f>
        <v/>
      </c>
    </row>
    <row r="90" spans="1:81" hidden="1" x14ac:dyDescent="0.25">
      <c r="A90" t="s">
        <v>560</v>
      </c>
      <c r="B90" t="s">
        <v>561</v>
      </c>
      <c r="C90" t="s">
        <v>42</v>
      </c>
      <c r="D90" t="s">
        <v>389</v>
      </c>
      <c r="E90" t="str">
        <f>IF(COUNTIF($D$2:$D$103, Table_EH_Pre_Survey_May_20__2023_08_229[[#This Row],[IPAddress - IP Address]])=1, "Unique", "")</f>
        <v/>
      </c>
      <c r="F90" t="str">
        <f>VLOOKUP(Table_EH_Pre_Survey_May_20__2023_08_229[[#This Row],[IPAddress - IP Address]], 'Post-Survey Full Set'!D:AU, 2, 0)</f>
        <v/>
      </c>
      <c r="G90" t="str">
        <f>VLOOKUP(Table_EH_Pre_Survey_May_20__2023_08_229[[#This Row],[IPAddress - IP Address]], 'Post-Survey Full Set'!$D$1:$AU$72, 1, 0)</f>
        <v>130.219.10.90</v>
      </c>
      <c r="I90">
        <v>1</v>
      </c>
      <c r="J90" t="s">
        <v>112</v>
      </c>
      <c r="K90">
        <f>_xlfn.NUMBERVALUE(Table_EH_Pre_Survey_May_20__2023_08_229[[#This Row],[Duration (in seconds) - Duration (in seconds)2]])</f>
        <v>151</v>
      </c>
      <c r="L90" t="s">
        <v>562</v>
      </c>
      <c r="M90" t="s">
        <v>114</v>
      </c>
      <c r="N90" t="s">
        <v>561</v>
      </c>
      <c r="O90" t="str">
        <f>VLOOKUP(Table_EH_Pre_Survey_May_20__2023_08_229[[#This Row],[LocationLatitude - Location Latitude]], 'Post-Survey Full Set'!Q:AU, 1, 0)</f>
        <v>40.7337</v>
      </c>
      <c r="P90" t="str">
        <f>VLOOKUP(Table_EH_Pre_Survey_May_20__2023_08_229[[#This Row],[LocationLongitude - Location Longitude]], 'Post-Survey Full Set'!S:AV, 1, 0)</f>
        <v>-74.1939</v>
      </c>
      <c r="Q90" t="s">
        <v>563</v>
      </c>
      <c r="R90" t="s">
        <v>111</v>
      </c>
      <c r="S90" t="s">
        <v>111</v>
      </c>
      <c r="T90" t="s">
        <v>111</v>
      </c>
      <c r="U90" t="s">
        <v>111</v>
      </c>
      <c r="V90" t="s">
        <v>392</v>
      </c>
      <c r="W90" t="str">
        <f>IF(COUNTIF($V$2:$V$103, Table_EH_Pre_Survey_May_20__2023_08_229[[#This Row],[LocationLatitude - Location Latitude]])=1, "Unique", "")</f>
        <v/>
      </c>
      <c r="X90" t="str">
        <f>VLOOKUP(Table_EH_Pre_Survey_May_20__2023_08_229[[#This Row],[LocationLatitude - Location Latitude]], 'Post-Survey Full Set'!Q:AU, 2, 0)</f>
        <v/>
      </c>
      <c r="Y90" t="s">
        <v>393</v>
      </c>
      <c r="Z90" t="e">
        <f>VLOOKUP(Table_EH_Pre_Survey_May_20__2023_08_229[[#This Row],[ResponseId - Response ID]], 'Post-Survey Full Set'!L:AU, 1, 0)</f>
        <v>#N/A</v>
      </c>
      <c r="AA90" t="s">
        <v>487</v>
      </c>
      <c r="AB90" t="s">
        <v>117</v>
      </c>
      <c r="AC90" s="35" t="s">
        <v>111</v>
      </c>
      <c r="AE90" t="str">
        <f>IF(ISTEXT(Table_EH_Pre_Survey_May_20__2023_08_229[[#This Row],[Post-Survey NetID''s]]) = TRUE, "Match", "")</f>
        <v/>
      </c>
      <c r="AF90" t="str">
        <f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f>
        <v/>
      </c>
      <c r="AG90" t="str">
        <f>IF(Table_EH_Pre_Survey_May_20__2023_08_229[[#This Row],[NetID Match]] = "Match",  "Match", IF(ISTEXT(Table_EH_Pre_Survey_May_20__2023_08_229[[#This Row],[IP Address Match]]) = TRUE, "Match", ""))</f>
        <v/>
      </c>
      <c r="AH90" s="8">
        <v>5</v>
      </c>
      <c r="AI90" s="8">
        <f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f>
        <v>3</v>
      </c>
      <c r="AJ90" s="4">
        <v>5</v>
      </c>
      <c r="AK90" s="4">
        <f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f>
        <v>4</v>
      </c>
      <c r="AL90" s="4">
        <v>5</v>
      </c>
      <c r="AM90" s="4">
        <f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f>
        <v>4</v>
      </c>
      <c r="AN90" s="4">
        <v>5</v>
      </c>
      <c r="AO90" s="4">
        <f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f>
        <v>4</v>
      </c>
      <c r="AP90" s="4">
        <v>5</v>
      </c>
      <c r="AQ90" s="4">
        <f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f>
        <v>4</v>
      </c>
      <c r="AR90" s="4">
        <v>5</v>
      </c>
      <c r="AS90" s="4">
        <f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f>
        <v>5</v>
      </c>
      <c r="AT90" s="4">
        <v>5</v>
      </c>
      <c r="AU90" s="4">
        <f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f>
        <v>4</v>
      </c>
      <c r="AV90" s="4">
        <v>5</v>
      </c>
      <c r="AW90" s="4">
        <f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f>
        <v>4</v>
      </c>
      <c r="AX90" s="2">
        <v>4.5</v>
      </c>
      <c r="AY90" s="2">
        <f>IF(Table_EH_Pre_Survey_May_20__2023_08_229[[#This Row],[Q4]] = 3, 1, IF(Table_EH_Pre_Survey_May_20__2023_08_229[[#This Row],[Q4]] = 2.5, 0.5, IF(Table_EH_Pre_Survey_May_20__2023_08_229[[#This Row],[Q4]] = 3.5, 0.5, 0)))</f>
        <v>0</v>
      </c>
      <c r="AZ90" s="2">
        <f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f>
        <v>4</v>
      </c>
      <c r="BA90" s="2">
        <f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f>
        <v>0</v>
      </c>
      <c r="BB90" t="s">
        <v>525</v>
      </c>
      <c r="BC90">
        <f>IF(Table_EH_Pre_Survey_May_20__2023_08_229[[#This Row],[Q5 ]]="PM &lt; 2.5 μm", 1, 0)</f>
        <v>0</v>
      </c>
      <c r="BD90" t="str">
        <f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f>
        <v>PM &lt; 0.25 μm</v>
      </c>
      <c r="BE90">
        <f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f>
        <v>0</v>
      </c>
      <c r="BF90" t="s">
        <v>141</v>
      </c>
      <c r="BG90">
        <f>IF(Table_EH_Pre_Survey_May_20__2023_08_229[[#This Row],[Q6]]="Particles of this size are generally absorbed in the respiratory tract and safely excreted in mucus.", 1, 0)</f>
        <v>0</v>
      </c>
      <c r="BH90" t="str">
        <f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f>
        <v>Particles of this size reach the bronchial tree where they corrode the alveolar parenchyma.</v>
      </c>
      <c r="BI90">
        <f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f>
        <v>0</v>
      </c>
      <c r="BJ90" t="s">
        <v>167</v>
      </c>
      <c r="BK90">
        <f>IF(ISNUMBER(SEARCH("Trucks", Table_EH_Pre_Survey_May_20__2023_08_229[[#This Row],[Q7]])) = TRUE, 1, 0) + IF(ISNUMBER(SEARCH("Cars", Table_EH_Pre_Survey_May_20__2023_08_229[[#This Row],[Q7]])) = TRUE, 1, 0) + IF(ISNUMBER(SEARCH("Fireplaces", Table_EH_Pre_Survey_May_20__2023_08_229[[#This Row],[Q7]])) = TRUE, 1, 0) + IF(ISNUMBER(SEARCH("Dirt Roads", Table_EH_Pre_Survey_May_20__2023_08_229[[#This Row],[Q7]])) = TRUE, 1, 0) - IF(ISNUMBER(SEARCH("Electric Vehicles", Table_EH_Pre_Survey_May_20__2023_08_229[[#This Row],[Q7]])) = TRUE, 1, 0) - IF(ISNUMBER(SEARCH("Pollen", Table_EH_Pre_Survey_May_20__2023_08_229[[#This Row],[Q7]])) = TRUE, 1, 0)</f>
        <v>3</v>
      </c>
      <c r="BL90" t="str">
        <f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f>
        <v>Cars,Dirt Roads,Electric Vehicles,Fireplaces,Trucks</v>
      </c>
      <c r="BM90">
        <f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f>
        <v>3</v>
      </c>
      <c r="BN90">
        <v>4</v>
      </c>
      <c r="BO90">
        <f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f>
        <v>5</v>
      </c>
      <c r="BP90">
        <v>4</v>
      </c>
      <c r="BQ90">
        <f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f>
        <v>5</v>
      </c>
      <c r="BR90">
        <v>4</v>
      </c>
      <c r="BS90">
        <f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f>
        <v>5</v>
      </c>
      <c r="BT90">
        <v>4</v>
      </c>
      <c r="BU90">
        <f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f>
        <v>5</v>
      </c>
      <c r="BV90">
        <v>4</v>
      </c>
      <c r="BW90">
        <f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f>
        <v>5</v>
      </c>
      <c r="BX90">
        <v>4</v>
      </c>
      <c r="BY90">
        <f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f>
        <v>5</v>
      </c>
      <c r="BZ90">
        <v>10</v>
      </c>
      <c r="CA90">
        <f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f>
        <v>10</v>
      </c>
      <c r="CB90" t="s">
        <v>564</v>
      </c>
      <c r="CC90" t="str">
        <f>IF(ISTEXT(VLOOKUP(Table_EH_Pre_Survey_May_20__2023_08_229[[#This Row],[Unique Identifier]], 'Post-Survey Full Set'!$D$1:$AU$72, 1, 0)), VLOOKUP(Table_EH_Pre_Survey_May_20__2023_08_229[[#This Row],[Unique Identifier]], 'Post-Survey Full Set'!$D$1:$AU$72, 43, 0), VLOOKUP(Table_EH_Pre_Survey_May_20__2023_08_229[[#This Row],[Unique Identifier]], 'Post-Survey Full Set'!$V$1:$AU$72, 25, 0))</f>
        <v/>
      </c>
    </row>
    <row r="91" spans="1:81" hidden="1" x14ac:dyDescent="0.25">
      <c r="A91" t="s">
        <v>639</v>
      </c>
      <c r="B91" t="s">
        <v>640</v>
      </c>
      <c r="C91" t="s">
        <v>42</v>
      </c>
      <c r="D91" t="s">
        <v>389</v>
      </c>
      <c r="E91" t="str">
        <f>IF(COUNTIF($D$2:$D$103, Table_EH_Pre_Survey_May_20__2023_08_229[[#This Row],[IPAddress - IP Address]])=1, "Unique", "")</f>
        <v/>
      </c>
      <c r="F91" t="str">
        <f>VLOOKUP(Table_EH_Pre_Survey_May_20__2023_08_229[[#This Row],[IPAddress - IP Address]], 'Post-Survey Full Set'!D:AU, 2, 0)</f>
        <v/>
      </c>
      <c r="G91" t="str">
        <f>VLOOKUP(Table_EH_Pre_Survey_May_20__2023_08_229[[#This Row],[IPAddress - IP Address]], 'Post-Survey Full Set'!$D$1:$AU$72, 1, 0)</f>
        <v>130.219.10.90</v>
      </c>
      <c r="I91">
        <v>1</v>
      </c>
      <c r="J91" t="s">
        <v>112</v>
      </c>
      <c r="K91">
        <f>_xlfn.NUMBERVALUE(Table_EH_Pre_Survey_May_20__2023_08_229[[#This Row],[Duration (in seconds) - Duration (in seconds)2]])</f>
        <v>247</v>
      </c>
      <c r="L91" t="s">
        <v>641</v>
      </c>
      <c r="M91" t="s">
        <v>114</v>
      </c>
      <c r="N91" t="s">
        <v>642</v>
      </c>
      <c r="O91" t="str">
        <f>VLOOKUP(Table_EH_Pre_Survey_May_20__2023_08_229[[#This Row],[LocationLatitude - Location Latitude]], 'Post-Survey Full Set'!Q:AU, 1, 0)</f>
        <v>40.7337</v>
      </c>
      <c r="P91" t="str">
        <f>VLOOKUP(Table_EH_Pre_Survey_May_20__2023_08_229[[#This Row],[LocationLongitude - Location Longitude]], 'Post-Survey Full Set'!S:AV, 1, 0)</f>
        <v>-74.1939</v>
      </c>
      <c r="Q91" t="s">
        <v>643</v>
      </c>
      <c r="R91" t="s">
        <v>111</v>
      </c>
      <c r="S91" t="s">
        <v>111</v>
      </c>
      <c r="T91" t="s">
        <v>111</v>
      </c>
      <c r="U91" t="s">
        <v>111</v>
      </c>
      <c r="V91" t="s">
        <v>392</v>
      </c>
      <c r="W91" t="str">
        <f>IF(COUNTIF($V$2:$V$103, Table_EH_Pre_Survey_May_20__2023_08_229[[#This Row],[LocationLatitude - Location Latitude]])=1, "Unique", "")</f>
        <v/>
      </c>
      <c r="X91" t="str">
        <f>VLOOKUP(Table_EH_Pre_Survey_May_20__2023_08_229[[#This Row],[LocationLatitude - Location Latitude]], 'Post-Survey Full Set'!Q:AU, 2, 0)</f>
        <v/>
      </c>
      <c r="Y91" t="s">
        <v>393</v>
      </c>
      <c r="Z91" t="e">
        <f>VLOOKUP(Table_EH_Pre_Survey_May_20__2023_08_229[[#This Row],[ResponseId - Response ID]], 'Post-Survey Full Set'!L:AU, 1, 0)</f>
        <v>#N/A</v>
      </c>
      <c r="AA91" t="s">
        <v>487</v>
      </c>
      <c r="AB91" t="s">
        <v>117</v>
      </c>
      <c r="AC91" s="35" t="s">
        <v>111</v>
      </c>
      <c r="AE91" t="str">
        <f>IF(ISTEXT(Table_EH_Pre_Survey_May_20__2023_08_229[[#This Row],[Post-Survey NetID''s]]) = TRUE, "Match", "")</f>
        <v/>
      </c>
      <c r="AF91" t="str">
        <f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f>
        <v/>
      </c>
      <c r="AG91" t="str">
        <f>IF(Table_EH_Pre_Survey_May_20__2023_08_229[[#This Row],[NetID Match]] = "Match",  "Match", IF(ISTEXT(Table_EH_Pre_Survey_May_20__2023_08_229[[#This Row],[IP Address Match]]) = TRUE, "Match", ""))</f>
        <v/>
      </c>
      <c r="AH91" s="8">
        <v>4</v>
      </c>
      <c r="AI91" s="8">
        <f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f>
        <v>3</v>
      </c>
      <c r="AJ91" s="4">
        <v>4</v>
      </c>
      <c r="AK91" s="4">
        <f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f>
        <v>4</v>
      </c>
      <c r="AL91" s="4">
        <v>5</v>
      </c>
      <c r="AM91" s="4">
        <f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f>
        <v>4</v>
      </c>
      <c r="AN91" s="4">
        <v>4</v>
      </c>
      <c r="AO91" s="4">
        <f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f>
        <v>4</v>
      </c>
      <c r="AP91" s="4">
        <v>5</v>
      </c>
      <c r="AQ91" s="4">
        <f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f>
        <v>4</v>
      </c>
      <c r="AR91" s="4">
        <v>5</v>
      </c>
      <c r="AS91" s="4">
        <f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f>
        <v>5</v>
      </c>
      <c r="AT91" s="4">
        <v>4</v>
      </c>
      <c r="AU91" s="4">
        <f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f>
        <v>4</v>
      </c>
      <c r="AV91" s="4">
        <v>2</v>
      </c>
      <c r="AW91" s="4">
        <f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f>
        <v>4</v>
      </c>
      <c r="AX91" s="2">
        <v>3.5</v>
      </c>
      <c r="AY91" s="2">
        <f>IF(Table_EH_Pre_Survey_May_20__2023_08_229[[#This Row],[Q4]] = 3, 1, IF(Table_EH_Pre_Survey_May_20__2023_08_229[[#This Row],[Q4]] = 2.5, 0.5, IF(Table_EH_Pre_Survey_May_20__2023_08_229[[#This Row],[Q4]] = 3.5, 0.5, 0)))</f>
        <v>0.5</v>
      </c>
      <c r="AZ91" s="2">
        <f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f>
        <v>4</v>
      </c>
      <c r="BA91" s="2">
        <f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f>
        <v>0</v>
      </c>
      <c r="BB91" t="s">
        <v>154</v>
      </c>
      <c r="BC91">
        <f>IF(Table_EH_Pre_Survey_May_20__2023_08_229[[#This Row],[Q5 ]]="PM &lt; 2.5 μm", 1, 0)</f>
        <v>0</v>
      </c>
      <c r="BD91" t="str">
        <f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f>
        <v>PM &lt; 0.25 μm</v>
      </c>
      <c r="BE91">
        <f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f>
        <v>0</v>
      </c>
      <c r="BF91" t="s">
        <v>131</v>
      </c>
      <c r="BG91">
        <f>IF(Table_EH_Pre_Survey_May_20__2023_08_229[[#This Row],[Q6]]="Particles of this size are generally absorbed in the respiratory tract and safely excreted in mucus.", 1, 0)</f>
        <v>0</v>
      </c>
      <c r="BH91" t="str">
        <f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f>
        <v>Particles of this size reach the bronchial tree where they corrode the alveolar parenchyma.</v>
      </c>
      <c r="BI91">
        <f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f>
        <v>0</v>
      </c>
      <c r="BJ91" t="s">
        <v>167</v>
      </c>
      <c r="BK91">
        <f>IF(ISNUMBER(SEARCH("Trucks", Table_EH_Pre_Survey_May_20__2023_08_229[[#This Row],[Q7]])) = TRUE, 1, 0) + IF(ISNUMBER(SEARCH("Cars", Table_EH_Pre_Survey_May_20__2023_08_229[[#This Row],[Q7]])) = TRUE, 1, 0) + IF(ISNUMBER(SEARCH("Fireplaces", Table_EH_Pre_Survey_May_20__2023_08_229[[#This Row],[Q7]])) = TRUE, 1, 0) + IF(ISNUMBER(SEARCH("Dirt Roads", Table_EH_Pre_Survey_May_20__2023_08_229[[#This Row],[Q7]])) = TRUE, 1, 0) - IF(ISNUMBER(SEARCH("Electric Vehicles", Table_EH_Pre_Survey_May_20__2023_08_229[[#This Row],[Q7]])) = TRUE, 1, 0) - IF(ISNUMBER(SEARCH("Pollen", Table_EH_Pre_Survey_May_20__2023_08_229[[#This Row],[Q7]])) = TRUE, 1, 0)</f>
        <v>3</v>
      </c>
      <c r="BL91" t="str">
        <f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f>
        <v>Cars,Dirt Roads,Electric Vehicles,Fireplaces,Trucks</v>
      </c>
      <c r="BM91">
        <f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f>
        <v>3</v>
      </c>
      <c r="BN91">
        <v>3</v>
      </c>
      <c r="BO91">
        <f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f>
        <v>5</v>
      </c>
      <c r="BP91">
        <v>4</v>
      </c>
      <c r="BQ91">
        <f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f>
        <v>5</v>
      </c>
      <c r="BR91">
        <v>5</v>
      </c>
      <c r="BS91">
        <f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f>
        <v>5</v>
      </c>
      <c r="BT91">
        <v>1</v>
      </c>
      <c r="BU91">
        <f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f>
        <v>5</v>
      </c>
      <c r="BV91">
        <v>4</v>
      </c>
      <c r="BW91">
        <f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f>
        <v>5</v>
      </c>
      <c r="BX91">
        <v>2</v>
      </c>
      <c r="BY91">
        <f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f>
        <v>5</v>
      </c>
      <c r="BZ91">
        <v>5</v>
      </c>
      <c r="CA91">
        <f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f>
        <v>10</v>
      </c>
      <c r="CB91" t="s">
        <v>111</v>
      </c>
      <c r="CC91" t="str">
        <f>IF(ISTEXT(VLOOKUP(Table_EH_Pre_Survey_May_20__2023_08_229[[#This Row],[Unique Identifier]], 'Post-Survey Full Set'!$D$1:$AU$72, 1, 0)), VLOOKUP(Table_EH_Pre_Survey_May_20__2023_08_229[[#This Row],[Unique Identifier]], 'Post-Survey Full Set'!$D$1:$AU$72, 43, 0), VLOOKUP(Table_EH_Pre_Survey_May_20__2023_08_229[[#This Row],[Unique Identifier]], 'Post-Survey Full Set'!$V$1:$AU$72, 25, 0))</f>
        <v/>
      </c>
    </row>
    <row r="92" spans="1:81" hidden="1" x14ac:dyDescent="0.25">
      <c r="A92" t="s">
        <v>644</v>
      </c>
      <c r="B92" t="s">
        <v>645</v>
      </c>
      <c r="C92" t="s">
        <v>42</v>
      </c>
      <c r="D92" t="s">
        <v>646</v>
      </c>
      <c r="E92" t="str">
        <f>IF(COUNTIF($D$2:$D$103, Table_EH_Pre_Survey_May_20__2023_08_229[[#This Row],[IPAddress - IP Address]])=1, "Unique", "")</f>
        <v>Unique</v>
      </c>
      <c r="F92" t="e">
        <f>VLOOKUP(Table_EH_Pre_Survey_May_20__2023_08_229[[#This Row],[IPAddress - IP Address]], 'Post-Survey Full Set'!D:AU, 2, 0)</f>
        <v>#N/A</v>
      </c>
      <c r="G92" t="e">
        <f>VLOOKUP(Table_EH_Pre_Survey_May_20__2023_08_229[[#This Row],[IPAddress - IP Address]], 'Post-Survey Full Set'!$D$1:$AU$72, 1, 0)</f>
        <v>#N/A</v>
      </c>
      <c r="H92" s="35" t="e">
        <v>#N/A</v>
      </c>
      <c r="I92">
        <v>1</v>
      </c>
      <c r="J92" t="s">
        <v>112</v>
      </c>
      <c r="K92">
        <f>_xlfn.NUMBERVALUE(Table_EH_Pre_Survey_May_20__2023_08_229[[#This Row],[Duration (in seconds) - Duration (in seconds)2]])</f>
        <v>267</v>
      </c>
      <c r="L92" t="s">
        <v>634</v>
      </c>
      <c r="M92" t="s">
        <v>114</v>
      </c>
      <c r="N92" t="s">
        <v>645</v>
      </c>
      <c r="O92" t="e">
        <f>VLOOKUP(Table_EH_Pre_Survey_May_20__2023_08_229[[#This Row],[LocationLatitude - Location Latitude]], 'Post-Survey Full Set'!Q:AU, 1, 0)</f>
        <v>#N/A</v>
      </c>
      <c r="P92" t="e">
        <f>VLOOKUP(Table_EH_Pre_Survey_May_20__2023_08_229[[#This Row],[LocationLongitude - Location Longitude]], 'Post-Survey Full Set'!S:AV, 1, 0)</f>
        <v>#N/A</v>
      </c>
      <c r="Q92" t="s">
        <v>647</v>
      </c>
      <c r="R92" t="s">
        <v>111</v>
      </c>
      <c r="S92" t="s">
        <v>111</v>
      </c>
      <c r="T92" t="s">
        <v>111</v>
      </c>
      <c r="U92" t="s">
        <v>111</v>
      </c>
      <c r="V92" t="s">
        <v>648</v>
      </c>
      <c r="W92" t="str">
        <f>IF(COUNTIF($V$2:$V$103, Table_EH_Pre_Survey_May_20__2023_08_229[[#This Row],[LocationLatitude - Location Latitude]])=1, "Unique", "")</f>
        <v>Unique</v>
      </c>
      <c r="X92" t="e">
        <f>VLOOKUP(Table_EH_Pre_Survey_May_20__2023_08_229[[#This Row],[LocationLatitude - Location Latitude]], 'Post-Survey Full Set'!Q:AU, 2, 0)</f>
        <v>#N/A</v>
      </c>
      <c r="Y92" t="s">
        <v>649</v>
      </c>
      <c r="Z92" t="e">
        <f>VLOOKUP(Table_EH_Pre_Survey_May_20__2023_08_229[[#This Row],[ResponseId - Response ID]], 'Post-Survey Full Set'!L:AU, 1, 0)</f>
        <v>#N/A</v>
      </c>
      <c r="AA92" t="s">
        <v>487</v>
      </c>
      <c r="AB92" t="s">
        <v>117</v>
      </c>
      <c r="AC92" s="35" t="s">
        <v>111</v>
      </c>
      <c r="AE92" t="str">
        <f>IF(ISTEXT(Table_EH_Pre_Survey_May_20__2023_08_229[[#This Row],[Post-Survey NetID''s]]) = TRUE, "Match", "")</f>
        <v/>
      </c>
      <c r="AF92" t="str">
        <f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f>
        <v/>
      </c>
      <c r="AG92" t="str">
        <f>IF(Table_EH_Pre_Survey_May_20__2023_08_229[[#This Row],[NetID Match]] = "Match",  "Match", IF(ISTEXT(Table_EH_Pre_Survey_May_20__2023_08_229[[#This Row],[IP Address Match]]) = TRUE, "Match", ""))</f>
        <v/>
      </c>
      <c r="AH92" s="8">
        <v>4</v>
      </c>
      <c r="AI92" s="8">
        <f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f>
        <v>3</v>
      </c>
      <c r="AJ92" s="4">
        <v>4</v>
      </c>
      <c r="AK92" s="4">
        <f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f>
        <v>4</v>
      </c>
      <c r="AL92" s="4">
        <v>3</v>
      </c>
      <c r="AM92" s="4">
        <f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f>
        <v>4</v>
      </c>
      <c r="AN92" s="4">
        <v>3</v>
      </c>
      <c r="AO92" s="4">
        <f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f>
        <v>4</v>
      </c>
      <c r="AP92" s="4">
        <v>3</v>
      </c>
      <c r="AQ92" s="4">
        <f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f>
        <v>4</v>
      </c>
      <c r="AR92" s="4">
        <v>2</v>
      </c>
      <c r="AS92" s="4">
        <f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f>
        <v>5</v>
      </c>
      <c r="AT92" s="4">
        <v>3</v>
      </c>
      <c r="AU92" s="4">
        <f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f>
        <v>4</v>
      </c>
      <c r="AV92" s="4">
        <v>2</v>
      </c>
      <c r="AW92" s="4">
        <f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f>
        <v>4</v>
      </c>
      <c r="AX92" s="2">
        <v>4</v>
      </c>
      <c r="AY92" s="2">
        <f>IF(Table_EH_Pre_Survey_May_20__2023_08_229[[#This Row],[Q4]] = 3, 1, IF(Table_EH_Pre_Survey_May_20__2023_08_229[[#This Row],[Q4]] = 2.5, 0.5, IF(Table_EH_Pre_Survey_May_20__2023_08_229[[#This Row],[Q4]] = 3.5, 0.5, 0)))</f>
        <v>0</v>
      </c>
      <c r="AZ92" s="2">
        <f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f>
        <v>4</v>
      </c>
      <c r="BA92" s="2">
        <f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f>
        <v>0</v>
      </c>
      <c r="BB92" t="s">
        <v>130</v>
      </c>
      <c r="BC92">
        <f>IF(Table_EH_Pre_Survey_May_20__2023_08_229[[#This Row],[Q5 ]]="PM &lt; 2.5 μm", 1, 0)</f>
        <v>0</v>
      </c>
      <c r="BD92" t="str">
        <f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f>
        <v>PM &lt; 0.25 μm</v>
      </c>
      <c r="BE92">
        <f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f>
        <v>0</v>
      </c>
      <c r="BF92" t="s">
        <v>175</v>
      </c>
      <c r="BG92">
        <f>IF(Table_EH_Pre_Survey_May_20__2023_08_229[[#This Row],[Q6]]="Particles of this size are generally absorbed in the respiratory tract and safely excreted in mucus.", 1, 0)</f>
        <v>1</v>
      </c>
      <c r="BH92" t="str">
        <f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f>
        <v>Particles of this size reach the bronchial tree where they corrode the alveolar parenchyma.</v>
      </c>
      <c r="BI92">
        <f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f>
        <v>0</v>
      </c>
      <c r="BJ92" t="s">
        <v>650</v>
      </c>
      <c r="BK92">
        <f>IF(ISNUMBER(SEARCH("Trucks", Table_EH_Pre_Survey_May_20__2023_08_229[[#This Row],[Q7]])) = TRUE, 1, 0) + IF(ISNUMBER(SEARCH("Cars", Table_EH_Pre_Survey_May_20__2023_08_229[[#This Row],[Q7]])) = TRUE, 1, 0) + IF(ISNUMBER(SEARCH("Fireplaces", Table_EH_Pre_Survey_May_20__2023_08_229[[#This Row],[Q7]])) = TRUE, 1, 0) + IF(ISNUMBER(SEARCH("Dirt Roads", Table_EH_Pre_Survey_May_20__2023_08_229[[#This Row],[Q7]])) = TRUE, 1, 0) - IF(ISNUMBER(SEARCH("Electric Vehicles", Table_EH_Pre_Survey_May_20__2023_08_229[[#This Row],[Q7]])) = TRUE, 1, 0) - IF(ISNUMBER(SEARCH("Pollen", Table_EH_Pre_Survey_May_20__2023_08_229[[#This Row],[Q7]])) = TRUE, 1, 0)</f>
        <v>3</v>
      </c>
      <c r="BL92" t="str">
        <f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f>
        <v>Cars,Dirt Roads,Electric Vehicles,Fireplaces,Trucks</v>
      </c>
      <c r="BM92">
        <f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f>
        <v>3</v>
      </c>
      <c r="BN92">
        <v>3</v>
      </c>
      <c r="BO92">
        <f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f>
        <v>5</v>
      </c>
      <c r="BP92">
        <v>2</v>
      </c>
      <c r="BQ92">
        <f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f>
        <v>5</v>
      </c>
      <c r="BR92">
        <v>3</v>
      </c>
      <c r="BS92">
        <f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f>
        <v>5</v>
      </c>
      <c r="BT92">
        <v>3</v>
      </c>
      <c r="BU92">
        <f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f>
        <v>5</v>
      </c>
      <c r="BV92">
        <v>4</v>
      </c>
      <c r="BW92">
        <f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f>
        <v>5</v>
      </c>
      <c r="BX92">
        <v>4</v>
      </c>
      <c r="BY92">
        <f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f>
        <v>5</v>
      </c>
      <c r="BZ92">
        <v>4</v>
      </c>
      <c r="CA92">
        <f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f>
        <v>10</v>
      </c>
      <c r="CB92" t="s">
        <v>111</v>
      </c>
      <c r="CC92" t="str">
        <f>IF(ISTEXT(VLOOKUP(Table_EH_Pre_Survey_May_20__2023_08_229[[#This Row],[Unique Identifier]], 'Post-Survey Full Set'!$D$1:$AU$72, 1, 0)), VLOOKUP(Table_EH_Pre_Survey_May_20__2023_08_229[[#This Row],[Unique Identifier]], 'Post-Survey Full Set'!$D$1:$AU$72, 43, 0), VLOOKUP(Table_EH_Pre_Survey_May_20__2023_08_229[[#This Row],[Unique Identifier]], 'Post-Survey Full Set'!$V$1:$AU$72, 25, 0))</f>
        <v/>
      </c>
    </row>
    <row r="93" spans="1:81" hidden="1" x14ac:dyDescent="0.25">
      <c r="A93" t="s">
        <v>685</v>
      </c>
      <c r="B93" t="s">
        <v>686</v>
      </c>
      <c r="C93" t="s">
        <v>42</v>
      </c>
      <c r="D93" t="s">
        <v>687</v>
      </c>
      <c r="E93" t="str">
        <f>IF(COUNTIF($D$2:$D$103, Table_EH_Pre_Survey_May_20__2023_08_229[[#This Row],[IPAddress - IP Address]])=1, "Unique", "")</f>
        <v>Unique</v>
      </c>
      <c r="F93" t="e">
        <f>VLOOKUP(Table_EH_Pre_Survey_May_20__2023_08_229[[#This Row],[IPAddress - IP Address]], 'Post-Survey Full Set'!D:AU, 2, 0)</f>
        <v>#N/A</v>
      </c>
      <c r="G93" t="e">
        <f>VLOOKUP(Table_EH_Pre_Survey_May_20__2023_08_229[[#This Row],[IPAddress - IP Address]], 'Post-Survey Full Set'!$D$1:$AU$72, 1, 0)</f>
        <v>#N/A</v>
      </c>
      <c r="H93" s="35" t="e">
        <v>#N/A</v>
      </c>
      <c r="I93">
        <v>1</v>
      </c>
      <c r="J93" t="s">
        <v>112</v>
      </c>
      <c r="K93">
        <f>_xlfn.NUMBERVALUE(Table_EH_Pre_Survey_May_20__2023_08_229[[#This Row],[Duration (in seconds) - Duration (in seconds)2]])</f>
        <v>336</v>
      </c>
      <c r="L93" t="s">
        <v>688</v>
      </c>
      <c r="M93" t="s">
        <v>114</v>
      </c>
      <c r="N93" t="s">
        <v>686</v>
      </c>
      <c r="O93" t="str">
        <f>VLOOKUP(Table_EH_Pre_Survey_May_20__2023_08_229[[#This Row],[LocationLatitude - Location Latitude]], 'Post-Survey Full Set'!Q:AU, 1, 0)</f>
        <v>40.488</v>
      </c>
      <c r="P93" t="str">
        <f>VLOOKUP(Table_EH_Pre_Survey_May_20__2023_08_229[[#This Row],[LocationLongitude - Location Longitude]], 'Post-Survey Full Set'!S:AV, 1, 0)</f>
        <v>-74.4544</v>
      </c>
      <c r="Q93" t="s">
        <v>689</v>
      </c>
      <c r="R93" t="s">
        <v>111</v>
      </c>
      <c r="S93" t="s">
        <v>111</v>
      </c>
      <c r="T93" t="s">
        <v>111</v>
      </c>
      <c r="U93" t="s">
        <v>111</v>
      </c>
      <c r="V93" t="s">
        <v>351</v>
      </c>
      <c r="W93" t="str">
        <f>IF(COUNTIF($V$2:$V$103, Table_EH_Pre_Survey_May_20__2023_08_229[[#This Row],[LocationLatitude - Location Latitude]])=1, "Unique", "")</f>
        <v/>
      </c>
      <c r="X93" t="str">
        <f>VLOOKUP(Table_EH_Pre_Survey_May_20__2023_08_229[[#This Row],[LocationLatitude - Location Latitude]], 'Post-Survey Full Set'!Q:AU, 2, 0)</f>
        <v/>
      </c>
      <c r="Y93" t="s">
        <v>352</v>
      </c>
      <c r="Z93" t="e">
        <f>VLOOKUP(Table_EH_Pre_Survey_May_20__2023_08_229[[#This Row],[ResponseId - Response ID]], 'Post-Survey Full Set'!L:AU, 1, 0)</f>
        <v>#N/A</v>
      </c>
      <c r="AA93" t="s">
        <v>487</v>
      </c>
      <c r="AB93" t="s">
        <v>117</v>
      </c>
      <c r="AC93" s="35" t="s">
        <v>111</v>
      </c>
      <c r="AE93" t="str">
        <f>IF(ISTEXT(Table_EH_Pre_Survey_May_20__2023_08_229[[#This Row],[Post-Survey NetID''s]]) = TRUE, "Match", "")</f>
        <v/>
      </c>
      <c r="AF93" t="str">
        <f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f>
        <v/>
      </c>
      <c r="AG93" t="str">
        <f>IF(Table_EH_Pre_Survey_May_20__2023_08_229[[#This Row],[NetID Match]] = "Match",  "Match", IF(ISTEXT(Table_EH_Pre_Survey_May_20__2023_08_229[[#This Row],[IP Address Match]]) = TRUE, "Match", ""))</f>
        <v/>
      </c>
      <c r="AH93" s="8">
        <v>4</v>
      </c>
      <c r="AI93" s="8">
        <f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f>
        <v>3</v>
      </c>
      <c r="AJ93" s="4">
        <v>5</v>
      </c>
      <c r="AK93" s="4">
        <f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f>
        <v>4</v>
      </c>
      <c r="AL93" s="4">
        <v>1</v>
      </c>
      <c r="AM93" s="4">
        <f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f>
        <v>4</v>
      </c>
      <c r="AN93" s="4">
        <v>3</v>
      </c>
      <c r="AO93" s="4">
        <f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f>
        <v>4</v>
      </c>
      <c r="AP93" s="4">
        <v>5</v>
      </c>
      <c r="AQ93" s="4">
        <f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f>
        <v>4</v>
      </c>
      <c r="AR93" s="4">
        <v>2</v>
      </c>
      <c r="AS93" s="4">
        <f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f>
        <v>5</v>
      </c>
      <c r="AT93" s="4">
        <v>5</v>
      </c>
      <c r="AU93" s="4">
        <f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f>
        <v>4</v>
      </c>
      <c r="AV93" s="4">
        <v>4</v>
      </c>
      <c r="AW93" s="4">
        <f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f>
        <v>4</v>
      </c>
      <c r="AX93" s="2">
        <v>4</v>
      </c>
      <c r="AY93" s="2">
        <f>IF(Table_EH_Pre_Survey_May_20__2023_08_229[[#This Row],[Q4]] = 3, 1, IF(Table_EH_Pre_Survey_May_20__2023_08_229[[#This Row],[Q4]] = 2.5, 0.5, IF(Table_EH_Pre_Survey_May_20__2023_08_229[[#This Row],[Q4]] = 3.5, 0.5, 0)))</f>
        <v>0</v>
      </c>
      <c r="AZ93" s="2">
        <f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f>
        <v>4</v>
      </c>
      <c r="BA93" s="2">
        <f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f>
        <v>0</v>
      </c>
      <c r="BB93" t="s">
        <v>166</v>
      </c>
      <c r="BC93">
        <f>IF(Table_EH_Pre_Survey_May_20__2023_08_229[[#This Row],[Q5 ]]="PM &lt; 2.5 μm", 1, 0)</f>
        <v>0</v>
      </c>
      <c r="BD93" t="str">
        <f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f>
        <v>PM &lt; 0.25 μm</v>
      </c>
      <c r="BE93">
        <f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f>
        <v>0</v>
      </c>
      <c r="BF93" t="s">
        <v>141</v>
      </c>
      <c r="BG93">
        <f>IF(Table_EH_Pre_Survey_May_20__2023_08_229[[#This Row],[Q6]]="Particles of this size are generally absorbed in the respiratory tract and safely excreted in mucus.", 1, 0)</f>
        <v>0</v>
      </c>
      <c r="BH93" t="str">
        <f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f>
        <v>Particles of this size reach the bronchial tree where they corrode the alveolar parenchyma.</v>
      </c>
      <c r="BI93">
        <f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f>
        <v>0</v>
      </c>
      <c r="BJ93" t="s">
        <v>167</v>
      </c>
      <c r="BK93">
        <f>IF(ISNUMBER(SEARCH("Trucks", Table_EH_Pre_Survey_May_20__2023_08_229[[#This Row],[Q7]])) = TRUE, 1, 0) + IF(ISNUMBER(SEARCH("Cars", Table_EH_Pre_Survey_May_20__2023_08_229[[#This Row],[Q7]])) = TRUE, 1, 0) + IF(ISNUMBER(SEARCH("Fireplaces", Table_EH_Pre_Survey_May_20__2023_08_229[[#This Row],[Q7]])) = TRUE, 1, 0) + IF(ISNUMBER(SEARCH("Dirt Roads", Table_EH_Pre_Survey_May_20__2023_08_229[[#This Row],[Q7]])) = TRUE, 1, 0) - IF(ISNUMBER(SEARCH("Electric Vehicles", Table_EH_Pre_Survey_May_20__2023_08_229[[#This Row],[Q7]])) = TRUE, 1, 0) - IF(ISNUMBER(SEARCH("Pollen", Table_EH_Pre_Survey_May_20__2023_08_229[[#This Row],[Q7]])) = TRUE, 1, 0)</f>
        <v>3</v>
      </c>
      <c r="BL93" t="str">
        <f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f>
        <v>Cars,Dirt Roads,Electric Vehicles,Fireplaces,Trucks</v>
      </c>
      <c r="BM93">
        <f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f>
        <v>3</v>
      </c>
      <c r="BN93">
        <v>4</v>
      </c>
      <c r="BO93">
        <f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f>
        <v>5</v>
      </c>
      <c r="BP93">
        <v>5</v>
      </c>
      <c r="BQ93">
        <f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f>
        <v>5</v>
      </c>
      <c r="BR93">
        <v>5</v>
      </c>
      <c r="BS93">
        <f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f>
        <v>5</v>
      </c>
      <c r="BU93">
        <f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f>
        <v>5</v>
      </c>
      <c r="BV93">
        <v>5</v>
      </c>
      <c r="BW93">
        <f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f>
        <v>5</v>
      </c>
      <c r="BX93">
        <v>4</v>
      </c>
      <c r="BY93">
        <f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f>
        <v>5</v>
      </c>
      <c r="BZ93">
        <v>9</v>
      </c>
      <c r="CA93">
        <f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f>
        <v>10</v>
      </c>
      <c r="CB93" t="s">
        <v>111</v>
      </c>
      <c r="CC93" t="str">
        <f>IF(ISTEXT(VLOOKUP(Table_EH_Pre_Survey_May_20__2023_08_229[[#This Row],[Unique Identifier]], 'Post-Survey Full Set'!$D$1:$AU$72, 1, 0)), VLOOKUP(Table_EH_Pre_Survey_May_20__2023_08_229[[#This Row],[Unique Identifier]], 'Post-Survey Full Set'!$D$1:$AU$72, 43, 0), VLOOKUP(Table_EH_Pre_Survey_May_20__2023_08_229[[#This Row],[Unique Identifier]], 'Post-Survey Full Set'!$V$1:$AU$72, 25, 0))</f>
        <v/>
      </c>
    </row>
    <row r="94" spans="1:81" hidden="1" x14ac:dyDescent="0.25">
      <c r="A94" t="s">
        <v>690</v>
      </c>
      <c r="B94" t="s">
        <v>691</v>
      </c>
      <c r="C94" t="s">
        <v>42</v>
      </c>
      <c r="D94" t="s">
        <v>692</v>
      </c>
      <c r="E94" t="str">
        <f>IF(COUNTIF($D$2:$D$103, Table_EH_Pre_Survey_May_20__2023_08_229[[#This Row],[IPAddress - IP Address]])=1, "Unique", "")</f>
        <v>Unique</v>
      </c>
      <c r="F94" t="e">
        <f>VLOOKUP(Table_EH_Pre_Survey_May_20__2023_08_229[[#This Row],[IPAddress - IP Address]], 'Post-Survey Full Set'!D:AU, 2, 0)</f>
        <v>#N/A</v>
      </c>
      <c r="G94" t="e">
        <f>VLOOKUP(Table_EH_Pre_Survey_May_20__2023_08_229[[#This Row],[IPAddress - IP Address]], 'Post-Survey Full Set'!$D$1:$AU$72, 1, 0)</f>
        <v>#N/A</v>
      </c>
      <c r="H94" s="35" t="e">
        <v>#N/A</v>
      </c>
      <c r="I94">
        <v>1</v>
      </c>
      <c r="J94" t="s">
        <v>112</v>
      </c>
      <c r="K94">
        <f>_xlfn.NUMBERVALUE(Table_EH_Pre_Survey_May_20__2023_08_229[[#This Row],[Duration (in seconds) - Duration (in seconds)2]])</f>
        <v>303</v>
      </c>
      <c r="L94" t="s">
        <v>693</v>
      </c>
      <c r="M94" t="s">
        <v>114</v>
      </c>
      <c r="N94" t="s">
        <v>691</v>
      </c>
      <c r="O94" t="str">
        <f>VLOOKUP(Table_EH_Pre_Survey_May_20__2023_08_229[[#This Row],[LocationLatitude - Location Latitude]], 'Post-Survey Full Set'!Q:AU, 1, 0)</f>
        <v>40.5511</v>
      </c>
      <c r="P94" t="str">
        <f>VLOOKUP(Table_EH_Pre_Survey_May_20__2023_08_229[[#This Row],[LocationLongitude - Location Longitude]], 'Post-Survey Full Set'!S:AV, 1, 0)</f>
        <v>-74.4606</v>
      </c>
      <c r="Q94" t="s">
        <v>694</v>
      </c>
      <c r="R94" t="s">
        <v>111</v>
      </c>
      <c r="S94" t="s">
        <v>111</v>
      </c>
      <c r="T94" t="s">
        <v>111</v>
      </c>
      <c r="U94" t="s">
        <v>111</v>
      </c>
      <c r="V94" t="s">
        <v>115</v>
      </c>
      <c r="W94" t="str">
        <f>IF(COUNTIF($V$2:$V$103, Table_EH_Pre_Survey_May_20__2023_08_229[[#This Row],[LocationLatitude - Location Latitude]])=1, "Unique", "")</f>
        <v/>
      </c>
      <c r="X94" t="str">
        <f>VLOOKUP(Table_EH_Pre_Survey_May_20__2023_08_229[[#This Row],[LocationLatitude - Location Latitude]], 'Post-Survey Full Set'!Q:AU, 2, 0)</f>
        <v/>
      </c>
      <c r="Y94" t="s">
        <v>116</v>
      </c>
      <c r="Z94" t="e">
        <f>VLOOKUP(Table_EH_Pre_Survey_May_20__2023_08_229[[#This Row],[ResponseId - Response ID]], 'Post-Survey Full Set'!L:AU, 1, 0)</f>
        <v>#N/A</v>
      </c>
      <c r="AA94" t="s">
        <v>127</v>
      </c>
      <c r="AB94" t="s">
        <v>117</v>
      </c>
      <c r="AC94" s="35" t="s">
        <v>111</v>
      </c>
      <c r="AE94" t="str">
        <f>IF(ISTEXT(Table_EH_Pre_Survey_May_20__2023_08_229[[#This Row],[Post-Survey NetID''s]]) = TRUE, "Match", "")</f>
        <v/>
      </c>
      <c r="AF94" t="str">
        <f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f>
        <v/>
      </c>
      <c r="AG94" t="str">
        <f>IF(Table_EH_Pre_Survey_May_20__2023_08_229[[#This Row],[NetID Match]] = "Match",  "Match", IF(ISTEXT(Table_EH_Pre_Survey_May_20__2023_08_229[[#This Row],[IP Address Match]]) = TRUE, "Match", ""))</f>
        <v/>
      </c>
      <c r="AH94" s="8">
        <v>3</v>
      </c>
      <c r="AI94" s="8">
        <f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f>
        <v>3</v>
      </c>
      <c r="AJ94" s="4">
        <v>1</v>
      </c>
      <c r="AK94" s="4">
        <f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f>
        <v>4</v>
      </c>
      <c r="AL94" s="4">
        <v>4</v>
      </c>
      <c r="AM94" s="4">
        <f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f>
        <v>4</v>
      </c>
      <c r="AN94" s="4">
        <v>3</v>
      </c>
      <c r="AO94" s="4">
        <f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f>
        <v>4</v>
      </c>
      <c r="AP94" s="4">
        <v>1</v>
      </c>
      <c r="AQ94" s="4">
        <f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f>
        <v>4</v>
      </c>
      <c r="AR94" s="4">
        <v>4</v>
      </c>
      <c r="AS94" s="4">
        <f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f>
        <v>5</v>
      </c>
      <c r="AT94" s="4">
        <v>5</v>
      </c>
      <c r="AU94" s="4">
        <f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f>
        <v>4</v>
      </c>
      <c r="AV94" s="4">
        <v>2</v>
      </c>
      <c r="AW94" s="4">
        <f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f>
        <v>4</v>
      </c>
      <c r="AX94" s="2">
        <v>3</v>
      </c>
      <c r="AY94" s="2">
        <f>IF(Table_EH_Pre_Survey_May_20__2023_08_229[[#This Row],[Q4]] = 3, 1, IF(Table_EH_Pre_Survey_May_20__2023_08_229[[#This Row],[Q4]] = 2.5, 0.5, IF(Table_EH_Pre_Survey_May_20__2023_08_229[[#This Row],[Q4]] = 3.5, 0.5, 0)))</f>
        <v>1</v>
      </c>
      <c r="AZ94" s="2">
        <f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f>
        <v>4</v>
      </c>
      <c r="BA94" s="2">
        <f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f>
        <v>0</v>
      </c>
      <c r="BB94" t="s">
        <v>525</v>
      </c>
      <c r="BC94">
        <f>IF(Table_EH_Pre_Survey_May_20__2023_08_229[[#This Row],[Q5 ]]="PM &lt; 2.5 μm", 1, 0)</f>
        <v>0</v>
      </c>
      <c r="BD94" t="str">
        <f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f>
        <v>PM &lt; 0.25 μm</v>
      </c>
      <c r="BE94">
        <f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f>
        <v>0</v>
      </c>
      <c r="BF94" t="s">
        <v>141</v>
      </c>
      <c r="BG94">
        <f>IF(Table_EH_Pre_Survey_May_20__2023_08_229[[#This Row],[Q6]]="Particles of this size are generally absorbed in the respiratory tract and safely excreted in mucus.", 1, 0)</f>
        <v>0</v>
      </c>
      <c r="BH94" t="str">
        <f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f>
        <v>Particles of this size reach the bronchial tree where they corrode the alveolar parenchyma.</v>
      </c>
      <c r="BI94">
        <f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f>
        <v>0</v>
      </c>
      <c r="BJ94" t="s">
        <v>450</v>
      </c>
      <c r="BK94">
        <f>IF(ISNUMBER(SEARCH("Trucks", Table_EH_Pre_Survey_May_20__2023_08_229[[#This Row],[Q7]])) = TRUE, 1, 0) + IF(ISNUMBER(SEARCH("Cars", Table_EH_Pre_Survey_May_20__2023_08_229[[#This Row],[Q7]])) = TRUE, 1, 0) + IF(ISNUMBER(SEARCH("Fireplaces", Table_EH_Pre_Survey_May_20__2023_08_229[[#This Row],[Q7]])) = TRUE, 1, 0) + IF(ISNUMBER(SEARCH("Dirt Roads", Table_EH_Pre_Survey_May_20__2023_08_229[[#This Row],[Q7]])) = TRUE, 1, 0) - IF(ISNUMBER(SEARCH("Electric Vehicles", Table_EH_Pre_Survey_May_20__2023_08_229[[#This Row],[Q7]])) = TRUE, 1, 0) - IF(ISNUMBER(SEARCH("Pollen", Table_EH_Pre_Survey_May_20__2023_08_229[[#This Row],[Q7]])) = TRUE, 1, 0)</f>
        <v>2</v>
      </c>
      <c r="BL94" t="str">
        <f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f>
        <v>Cars,Dirt Roads,Electric Vehicles,Fireplaces,Trucks</v>
      </c>
      <c r="BM94">
        <f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f>
        <v>3</v>
      </c>
      <c r="BN94">
        <v>2</v>
      </c>
      <c r="BO94">
        <f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f>
        <v>5</v>
      </c>
      <c r="BP94">
        <v>1</v>
      </c>
      <c r="BQ94">
        <f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f>
        <v>5</v>
      </c>
      <c r="BS94">
        <f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f>
        <v>5</v>
      </c>
      <c r="BU94">
        <f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f>
        <v>5</v>
      </c>
      <c r="BW94">
        <f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f>
        <v>5</v>
      </c>
      <c r="BY94">
        <f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f>
        <v>5</v>
      </c>
      <c r="BZ94">
        <v>2</v>
      </c>
      <c r="CA94">
        <f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f>
        <v>10</v>
      </c>
      <c r="CB94" t="s">
        <v>695</v>
      </c>
      <c r="CC94" t="str">
        <f>IF(ISTEXT(VLOOKUP(Table_EH_Pre_Survey_May_20__2023_08_229[[#This Row],[Unique Identifier]], 'Post-Survey Full Set'!$D$1:$AU$72, 1, 0)), VLOOKUP(Table_EH_Pre_Survey_May_20__2023_08_229[[#This Row],[Unique Identifier]], 'Post-Survey Full Set'!$D$1:$AU$72, 43, 0), VLOOKUP(Table_EH_Pre_Survey_May_20__2023_08_229[[#This Row],[Unique Identifier]], 'Post-Survey Full Set'!$V$1:$AU$72, 25, 0))</f>
        <v/>
      </c>
    </row>
    <row r="95" spans="1:81" hidden="1" x14ac:dyDescent="0.25">
      <c r="A95" t="s">
        <v>702</v>
      </c>
      <c r="B95" t="s">
        <v>703</v>
      </c>
      <c r="C95" t="s">
        <v>42</v>
      </c>
      <c r="D95" t="s">
        <v>704</v>
      </c>
      <c r="E95" t="str">
        <f>IF(COUNTIF($D$2:$D$103, Table_EH_Pre_Survey_May_20__2023_08_229[[#This Row],[IPAddress - IP Address]])=1, "Unique", "")</f>
        <v>Unique</v>
      </c>
      <c r="F95" t="e">
        <f>VLOOKUP(Table_EH_Pre_Survey_May_20__2023_08_229[[#This Row],[IPAddress - IP Address]], 'Post-Survey Full Set'!D:AU, 2, 0)</f>
        <v>#N/A</v>
      </c>
      <c r="G95" t="e">
        <f>VLOOKUP(Table_EH_Pre_Survey_May_20__2023_08_229[[#This Row],[IPAddress - IP Address]], 'Post-Survey Full Set'!$D$1:$AU$72, 1, 0)</f>
        <v>#N/A</v>
      </c>
      <c r="H95" s="35" t="e">
        <v>#N/A</v>
      </c>
      <c r="I95">
        <v>1</v>
      </c>
      <c r="J95" t="s">
        <v>112</v>
      </c>
      <c r="K95">
        <f>_xlfn.NUMBERVALUE(Table_EH_Pre_Survey_May_20__2023_08_229[[#This Row],[Duration (in seconds) - Duration (in seconds)2]])</f>
        <v>384</v>
      </c>
      <c r="L95" t="s">
        <v>705</v>
      </c>
      <c r="M95" t="s">
        <v>114</v>
      </c>
      <c r="N95" t="s">
        <v>703</v>
      </c>
      <c r="O95" t="e">
        <f>VLOOKUP(Table_EH_Pre_Survey_May_20__2023_08_229[[#This Row],[LocationLatitude - Location Latitude]], 'Post-Survey Full Set'!Q:AU, 1, 0)</f>
        <v>#N/A</v>
      </c>
      <c r="P95" t="e">
        <f>VLOOKUP(Table_EH_Pre_Survey_May_20__2023_08_229[[#This Row],[LocationLongitude - Location Longitude]], 'Post-Survey Full Set'!S:AV, 1, 0)</f>
        <v>#N/A</v>
      </c>
      <c r="Q95" t="s">
        <v>706</v>
      </c>
      <c r="R95" t="s">
        <v>111</v>
      </c>
      <c r="S95" t="s">
        <v>111</v>
      </c>
      <c r="T95" t="s">
        <v>111</v>
      </c>
      <c r="U95" t="s">
        <v>111</v>
      </c>
      <c r="V95" t="s">
        <v>435</v>
      </c>
      <c r="W95" t="str">
        <f>IF(COUNTIF($V$2:$V$103, Table_EH_Pre_Survey_May_20__2023_08_229[[#This Row],[LocationLatitude - Location Latitude]])=1, "Unique", "")</f>
        <v/>
      </c>
      <c r="X95" t="e">
        <f>VLOOKUP(Table_EH_Pre_Survey_May_20__2023_08_229[[#This Row],[LocationLatitude - Location Latitude]], 'Post-Survey Full Set'!Q:AU, 2, 0)</f>
        <v>#N/A</v>
      </c>
      <c r="Y95" t="s">
        <v>436</v>
      </c>
      <c r="Z95" t="e">
        <f>VLOOKUP(Table_EH_Pre_Survey_May_20__2023_08_229[[#This Row],[ResponseId - Response ID]], 'Post-Survey Full Set'!L:AU, 1, 0)</f>
        <v>#N/A</v>
      </c>
      <c r="AA95" t="s">
        <v>487</v>
      </c>
      <c r="AB95" t="s">
        <v>117</v>
      </c>
      <c r="AC95" s="35" t="s">
        <v>111</v>
      </c>
      <c r="AE95" t="str">
        <f>IF(ISTEXT(Table_EH_Pre_Survey_May_20__2023_08_229[[#This Row],[Post-Survey NetID''s]]) = TRUE, "Match", "")</f>
        <v/>
      </c>
      <c r="AF95" t="str">
        <f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f>
        <v/>
      </c>
      <c r="AG95" t="str">
        <f>IF(Table_EH_Pre_Survey_May_20__2023_08_229[[#This Row],[NetID Match]] = "Match",  "Match", IF(ISTEXT(Table_EH_Pre_Survey_May_20__2023_08_229[[#This Row],[IP Address Match]]) = TRUE, "Match", ""))</f>
        <v/>
      </c>
      <c r="AH95" s="8">
        <v>5</v>
      </c>
      <c r="AI95" s="8">
        <f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f>
        <v>3</v>
      </c>
      <c r="AJ95" s="4">
        <v>5</v>
      </c>
      <c r="AK95" s="4">
        <f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f>
        <v>4</v>
      </c>
      <c r="AL95" s="4">
        <v>4</v>
      </c>
      <c r="AM95" s="4">
        <f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f>
        <v>4</v>
      </c>
      <c r="AN95" s="4">
        <v>5</v>
      </c>
      <c r="AO95" s="4">
        <f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f>
        <v>4</v>
      </c>
      <c r="AP95" s="4">
        <v>4</v>
      </c>
      <c r="AQ95" s="4">
        <f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f>
        <v>4</v>
      </c>
      <c r="AR95" s="4">
        <v>4</v>
      </c>
      <c r="AS95" s="4">
        <f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f>
        <v>5</v>
      </c>
      <c r="AT95" s="4">
        <v>5</v>
      </c>
      <c r="AU95" s="4">
        <f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f>
        <v>4</v>
      </c>
      <c r="AV95" s="4">
        <v>3</v>
      </c>
      <c r="AW95" s="4">
        <f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f>
        <v>4</v>
      </c>
      <c r="AX95" s="2">
        <v>4</v>
      </c>
      <c r="AY95" s="2">
        <f>IF(Table_EH_Pre_Survey_May_20__2023_08_229[[#This Row],[Q4]] = 3, 1, IF(Table_EH_Pre_Survey_May_20__2023_08_229[[#This Row],[Q4]] = 2.5, 0.5, IF(Table_EH_Pre_Survey_May_20__2023_08_229[[#This Row],[Q4]] = 3.5, 0.5, 0)))</f>
        <v>0</v>
      </c>
      <c r="AZ95" s="2">
        <f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f>
        <v>4</v>
      </c>
      <c r="BA95" s="2">
        <f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f>
        <v>0</v>
      </c>
      <c r="BB95" t="s">
        <v>130</v>
      </c>
      <c r="BC95">
        <f>IF(Table_EH_Pre_Survey_May_20__2023_08_229[[#This Row],[Q5 ]]="PM &lt; 2.5 μm", 1, 0)</f>
        <v>0</v>
      </c>
      <c r="BD95" t="str">
        <f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f>
        <v>PM &lt; 0.25 μm</v>
      </c>
      <c r="BE95">
        <f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f>
        <v>0</v>
      </c>
      <c r="BF95" t="s">
        <v>175</v>
      </c>
      <c r="BG95">
        <f>IF(Table_EH_Pre_Survey_May_20__2023_08_229[[#This Row],[Q6]]="Particles of this size are generally absorbed in the respiratory tract and safely excreted in mucus.", 1, 0)</f>
        <v>1</v>
      </c>
      <c r="BH95" t="str">
        <f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f>
        <v>Particles of this size reach the bronchial tree where they corrode the alveolar parenchyma.</v>
      </c>
      <c r="BI95">
        <f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f>
        <v>0</v>
      </c>
      <c r="BJ95" t="s">
        <v>167</v>
      </c>
      <c r="BK95">
        <f>IF(ISNUMBER(SEARCH("Trucks", Table_EH_Pre_Survey_May_20__2023_08_229[[#This Row],[Q7]])) = TRUE, 1, 0) + IF(ISNUMBER(SEARCH("Cars", Table_EH_Pre_Survey_May_20__2023_08_229[[#This Row],[Q7]])) = TRUE, 1, 0) + IF(ISNUMBER(SEARCH("Fireplaces", Table_EH_Pre_Survey_May_20__2023_08_229[[#This Row],[Q7]])) = TRUE, 1, 0) + IF(ISNUMBER(SEARCH("Dirt Roads", Table_EH_Pre_Survey_May_20__2023_08_229[[#This Row],[Q7]])) = TRUE, 1, 0) - IF(ISNUMBER(SEARCH("Electric Vehicles", Table_EH_Pre_Survey_May_20__2023_08_229[[#This Row],[Q7]])) = TRUE, 1, 0) - IF(ISNUMBER(SEARCH("Pollen", Table_EH_Pre_Survey_May_20__2023_08_229[[#This Row],[Q7]])) = TRUE, 1, 0)</f>
        <v>3</v>
      </c>
      <c r="BL95" t="str">
        <f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f>
        <v>Cars,Dirt Roads,Electric Vehicles,Fireplaces,Trucks</v>
      </c>
      <c r="BM95">
        <f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f>
        <v>3</v>
      </c>
      <c r="BN95">
        <v>3</v>
      </c>
      <c r="BO95">
        <f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f>
        <v>5</v>
      </c>
      <c r="BP95">
        <v>4</v>
      </c>
      <c r="BQ95">
        <f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f>
        <v>5</v>
      </c>
      <c r="BR95">
        <v>2</v>
      </c>
      <c r="BS95">
        <f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f>
        <v>5</v>
      </c>
      <c r="BT95">
        <v>1</v>
      </c>
      <c r="BU95">
        <f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f>
        <v>5</v>
      </c>
      <c r="BV95">
        <v>3</v>
      </c>
      <c r="BW95">
        <f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f>
        <v>5</v>
      </c>
      <c r="BX95">
        <v>3</v>
      </c>
      <c r="BY95">
        <f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f>
        <v>5</v>
      </c>
      <c r="BZ95">
        <v>8</v>
      </c>
      <c r="CA95">
        <f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f>
        <v>10</v>
      </c>
      <c r="CB95" t="s">
        <v>707</v>
      </c>
      <c r="CC95" t="str">
        <f>IF(ISTEXT(VLOOKUP(Table_EH_Pre_Survey_May_20__2023_08_229[[#This Row],[Unique Identifier]], 'Post-Survey Full Set'!$D$1:$AU$72, 1, 0)), VLOOKUP(Table_EH_Pre_Survey_May_20__2023_08_229[[#This Row],[Unique Identifier]], 'Post-Survey Full Set'!$D$1:$AU$72, 43, 0), VLOOKUP(Table_EH_Pre_Survey_May_20__2023_08_229[[#This Row],[Unique Identifier]], 'Post-Survey Full Set'!$V$1:$AU$72, 25, 0))</f>
        <v/>
      </c>
    </row>
    <row r="96" spans="1:81" x14ac:dyDescent="0.25">
      <c r="A96" t="s">
        <v>554</v>
      </c>
      <c r="B96" t="s">
        <v>708</v>
      </c>
      <c r="C96" t="s">
        <v>42</v>
      </c>
      <c r="D96" t="s">
        <v>709</v>
      </c>
      <c r="E96" t="str">
        <f>IF(COUNTIF($D$2:$D$103, Table_EH_Pre_Survey_May_20__2023_08_229[[#This Row],[IPAddress - IP Address]])=1, "Unique", "")</f>
        <v>Unique</v>
      </c>
      <c r="F96" t="str">
        <f>VLOOKUP(Table_EH_Pre_Survey_May_20__2023_08_229[[#This Row],[IPAddress - IP Address]], 'Post-Survey Full Set'!D:AU, 2, 0)</f>
        <v>Unique</v>
      </c>
      <c r="G96" t="str">
        <f>VLOOKUP(Table_EH_Pre_Survey_May_20__2023_08_229[[#This Row],[IPAddress - IP Address]], 'Post-Survey Full Set'!$D$1:$AU$72, 1, 0)</f>
        <v>174.206.235.247</v>
      </c>
      <c r="H96" s="35" t="s">
        <v>709</v>
      </c>
      <c r="I96">
        <v>1</v>
      </c>
      <c r="J96" t="s">
        <v>112</v>
      </c>
      <c r="K96">
        <f>_xlfn.NUMBERVALUE(Table_EH_Pre_Survey_May_20__2023_08_229[[#This Row],[Duration (in seconds) - Duration (in seconds)2]])</f>
        <v>385</v>
      </c>
      <c r="L96" t="s">
        <v>710</v>
      </c>
      <c r="M96" t="s">
        <v>114</v>
      </c>
      <c r="N96" t="s">
        <v>708</v>
      </c>
      <c r="O96" t="str">
        <f>VLOOKUP(Table_EH_Pre_Survey_May_20__2023_08_229[[#This Row],[LocationLatitude - Location Latitude]], 'Post-Survey Full Set'!Q:AU, 1, 0)</f>
        <v>40.6129</v>
      </c>
      <c r="P96" t="str">
        <f>VLOOKUP(Table_EH_Pre_Survey_May_20__2023_08_229[[#This Row],[LocationLongitude - Location Longitude]], 'Post-Survey Full Set'!S:AV, 1, 0)</f>
        <v>-74.416</v>
      </c>
      <c r="Q96" t="s">
        <v>711</v>
      </c>
      <c r="R96" t="s">
        <v>111</v>
      </c>
      <c r="S96" t="s">
        <v>111</v>
      </c>
      <c r="T96" t="s">
        <v>111</v>
      </c>
      <c r="U96" t="s">
        <v>111</v>
      </c>
      <c r="V96" t="s">
        <v>712</v>
      </c>
      <c r="W96" t="str">
        <f>IF(COUNTIF($V$2:$V$103, Table_EH_Pre_Survey_May_20__2023_08_229[[#This Row],[LocationLatitude - Location Latitude]])=1, "Unique", "")</f>
        <v/>
      </c>
      <c r="X96" t="str">
        <f>VLOOKUP(Table_EH_Pre_Survey_May_20__2023_08_229[[#This Row],[LocationLatitude - Location Latitude]], 'Post-Survey Full Set'!Q:AU, 2, 0)</f>
        <v>Unique</v>
      </c>
      <c r="Y96" t="s">
        <v>713</v>
      </c>
      <c r="Z96" t="e">
        <f>VLOOKUP(Table_EH_Pre_Survey_May_20__2023_08_229[[#This Row],[ResponseId - Response ID]], 'Post-Survey Full Set'!L:AU, 1, 0)</f>
        <v>#N/A</v>
      </c>
      <c r="AA96" t="s">
        <v>487</v>
      </c>
      <c r="AB96" t="s">
        <v>117</v>
      </c>
      <c r="AC96" s="35" t="s">
        <v>111</v>
      </c>
      <c r="AE96" t="str">
        <f>IF(ISTEXT(Table_EH_Pre_Survey_May_20__2023_08_229[[#This Row],[Post-Survey NetID''s]]) = TRUE, "Match", "")</f>
        <v/>
      </c>
      <c r="AF96" t="str">
        <f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f>
        <v>174.206.235.247</v>
      </c>
      <c r="AG96" t="str">
        <f>IF(Table_EH_Pre_Survey_May_20__2023_08_229[[#This Row],[NetID Match]] = "Match",  "Match", IF(ISTEXT(Table_EH_Pre_Survey_May_20__2023_08_229[[#This Row],[IP Address Match]]) = TRUE, "Match", ""))</f>
        <v>Match</v>
      </c>
      <c r="AH96" s="8">
        <v>4</v>
      </c>
      <c r="AI96" s="8">
        <f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f>
        <v>5</v>
      </c>
      <c r="AJ96" s="4">
        <v>4</v>
      </c>
      <c r="AK96" s="4">
        <f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f>
        <v>5</v>
      </c>
      <c r="AL96" s="4">
        <v>3</v>
      </c>
      <c r="AM96" s="4">
        <f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f>
        <v>4</v>
      </c>
      <c r="AN96" s="4">
        <v>5</v>
      </c>
      <c r="AO96" s="4">
        <f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f>
        <v>5</v>
      </c>
      <c r="AP96" s="4">
        <v>2</v>
      </c>
      <c r="AQ96" s="4">
        <f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f>
        <v>3</v>
      </c>
      <c r="AR96" s="4">
        <v>3</v>
      </c>
      <c r="AS96" s="4">
        <f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f>
        <v>2</v>
      </c>
      <c r="AT96" s="4">
        <v>5</v>
      </c>
      <c r="AU96" s="4">
        <f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f>
        <v>5</v>
      </c>
      <c r="AV96" s="4">
        <v>1</v>
      </c>
      <c r="AW96" s="4">
        <f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f>
        <v>3</v>
      </c>
      <c r="AX96" s="2">
        <v>3.5</v>
      </c>
      <c r="AY96" s="2">
        <f>IF(Table_EH_Pre_Survey_May_20__2023_08_229[[#This Row],[Q4]] = 3, 1, IF(Table_EH_Pre_Survey_May_20__2023_08_229[[#This Row],[Q4]] = 2.5, 0.5, IF(Table_EH_Pre_Survey_May_20__2023_08_229[[#This Row],[Q4]] = 3.5, 0.5, 0)))</f>
        <v>0.5</v>
      </c>
      <c r="AZ96" s="2">
        <f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f>
        <v>3</v>
      </c>
      <c r="BA96" s="2">
        <f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f>
        <v>1</v>
      </c>
      <c r="BB96" t="s">
        <v>185</v>
      </c>
      <c r="BC96">
        <f>IF(Table_EH_Pre_Survey_May_20__2023_08_229[[#This Row],[Q5 ]]="PM &lt; 2.5 μm", 1, 0)</f>
        <v>0</v>
      </c>
      <c r="BD96" t="str">
        <f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f>
        <v>PM &lt; 2.5 μm</v>
      </c>
      <c r="BE96">
        <f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f>
        <v>1</v>
      </c>
      <c r="BF96" t="s">
        <v>141</v>
      </c>
      <c r="BG96">
        <f>IF(Table_EH_Pre_Survey_May_20__2023_08_229[[#This Row],[Q6]]="Particles of this size are generally absorbed in the respiratory tract and safely excreted in mucus.", 1, 0)</f>
        <v>0</v>
      </c>
      <c r="BH96" t="str">
        <f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f>
        <v>Particles of this size are generally absorbed in the respiratory tract and safely excreted in mucus.</v>
      </c>
      <c r="BI96">
        <f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f>
        <v>1</v>
      </c>
      <c r="BJ96" t="s">
        <v>714</v>
      </c>
      <c r="BK96">
        <f>IF(ISNUMBER(SEARCH("Trucks", Table_EH_Pre_Survey_May_20__2023_08_229[[#This Row],[Q7]])) = TRUE, 1, 0) + IF(ISNUMBER(SEARCH("Cars", Table_EH_Pre_Survey_May_20__2023_08_229[[#This Row],[Q7]])) = TRUE, 1, 0) + IF(ISNUMBER(SEARCH("Fireplaces", Table_EH_Pre_Survey_May_20__2023_08_229[[#This Row],[Q7]])) = TRUE, 1, 0) + IF(ISNUMBER(SEARCH("Dirt Roads", Table_EH_Pre_Survey_May_20__2023_08_229[[#This Row],[Q7]])) = TRUE, 1, 0) - IF(ISNUMBER(SEARCH("Electric Vehicles", Table_EH_Pre_Survey_May_20__2023_08_229[[#This Row],[Q7]])) = TRUE, 1, 0) - IF(ISNUMBER(SEARCH("Pollen", Table_EH_Pre_Survey_May_20__2023_08_229[[#This Row],[Q7]])) = TRUE, 1, 0)</f>
        <v>0</v>
      </c>
      <c r="BL96" t="str">
        <f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f>
        <v>Cars,Fireplaces</v>
      </c>
      <c r="BM96">
        <f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f>
        <v>2</v>
      </c>
      <c r="BN96">
        <v>4</v>
      </c>
      <c r="BO96">
        <f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f>
        <v>4</v>
      </c>
      <c r="BP96">
        <v>4</v>
      </c>
      <c r="BQ96">
        <f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f>
        <v>5</v>
      </c>
      <c r="BR96">
        <v>5</v>
      </c>
      <c r="BS96">
        <f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f>
        <v>4</v>
      </c>
      <c r="BT96">
        <v>3</v>
      </c>
      <c r="BU96">
        <f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f>
        <v>4</v>
      </c>
      <c r="BV96">
        <v>4</v>
      </c>
      <c r="BW96">
        <f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f>
        <v>4</v>
      </c>
      <c r="BX96">
        <v>5</v>
      </c>
      <c r="BY96">
        <f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f>
        <v>5</v>
      </c>
      <c r="BZ96">
        <v>7</v>
      </c>
      <c r="CA96">
        <f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f>
        <v>9</v>
      </c>
      <c r="CB96" t="s">
        <v>715</v>
      </c>
      <c r="CC96" t="str">
        <f>IF(ISTEXT(VLOOKUP(Table_EH_Pre_Survey_May_20__2023_08_229[[#This Row],[Unique Identifier]], 'Post-Survey Full Set'!$D$1:$AU$72, 1, 0)), VLOOKUP(Table_EH_Pre_Survey_May_20__2023_08_229[[#This Row],[Unique Identifier]], 'Post-Survey Full Set'!$D$1:$AU$72, 43, 0), VLOOKUP(Table_EH_Pre_Survey_May_20__2023_08_229[[#This Row],[Unique Identifier]], 'Post-Survey Full Set'!$V$1:$AU$72, 25, 0))</f>
        <v/>
      </c>
    </row>
    <row r="97" spans="1:83" hidden="1" x14ac:dyDescent="0.25">
      <c r="A97" t="s">
        <v>716</v>
      </c>
      <c r="B97" t="s">
        <v>717</v>
      </c>
      <c r="C97" t="s">
        <v>42</v>
      </c>
      <c r="D97" t="s">
        <v>389</v>
      </c>
      <c r="E97" t="str">
        <f>IF(COUNTIF($D$2:$D$103, Table_EH_Pre_Survey_May_20__2023_08_229[[#This Row],[IPAddress - IP Address]])=1, "Unique", "")</f>
        <v/>
      </c>
      <c r="F97" t="str">
        <f>VLOOKUP(Table_EH_Pre_Survey_May_20__2023_08_229[[#This Row],[IPAddress - IP Address]], 'Post-Survey Full Set'!D:AU, 2, 0)</f>
        <v/>
      </c>
      <c r="G97" t="str">
        <f>VLOOKUP(Table_EH_Pre_Survey_May_20__2023_08_229[[#This Row],[IPAddress - IP Address]], 'Post-Survey Full Set'!$D$1:$AU$72, 1, 0)</f>
        <v>130.219.10.90</v>
      </c>
      <c r="I97">
        <v>1</v>
      </c>
      <c r="J97" t="s">
        <v>112</v>
      </c>
      <c r="K97">
        <f>_xlfn.NUMBERVALUE(Table_EH_Pre_Survey_May_20__2023_08_229[[#This Row],[Duration (in seconds) - Duration (in seconds)2]])</f>
        <v>107</v>
      </c>
      <c r="L97" t="s">
        <v>308</v>
      </c>
      <c r="M97" t="s">
        <v>114</v>
      </c>
      <c r="N97" t="s">
        <v>717</v>
      </c>
      <c r="O97" t="str">
        <f>VLOOKUP(Table_EH_Pre_Survey_May_20__2023_08_229[[#This Row],[LocationLatitude - Location Latitude]], 'Post-Survey Full Set'!Q:AU, 1, 0)</f>
        <v>40.7337</v>
      </c>
      <c r="P97" t="str">
        <f>VLOOKUP(Table_EH_Pre_Survey_May_20__2023_08_229[[#This Row],[LocationLongitude - Location Longitude]], 'Post-Survey Full Set'!S:AV, 1, 0)</f>
        <v>-74.1939</v>
      </c>
      <c r="Q97" t="s">
        <v>718</v>
      </c>
      <c r="R97" t="s">
        <v>111</v>
      </c>
      <c r="S97" t="s">
        <v>111</v>
      </c>
      <c r="T97" t="s">
        <v>111</v>
      </c>
      <c r="U97" t="s">
        <v>111</v>
      </c>
      <c r="V97" t="s">
        <v>392</v>
      </c>
      <c r="W97" t="str">
        <f>IF(COUNTIF($V$2:$V$103, Table_EH_Pre_Survey_May_20__2023_08_229[[#This Row],[LocationLatitude - Location Latitude]])=1, "Unique", "")</f>
        <v/>
      </c>
      <c r="X97" t="str">
        <f>VLOOKUP(Table_EH_Pre_Survey_May_20__2023_08_229[[#This Row],[LocationLatitude - Location Latitude]], 'Post-Survey Full Set'!Q:AU, 2, 0)</f>
        <v/>
      </c>
      <c r="Y97" t="s">
        <v>393</v>
      </c>
      <c r="Z97" t="e">
        <f>VLOOKUP(Table_EH_Pre_Survey_May_20__2023_08_229[[#This Row],[ResponseId - Response ID]], 'Post-Survey Full Set'!L:AU, 1, 0)</f>
        <v>#N/A</v>
      </c>
      <c r="AA97" t="s">
        <v>127</v>
      </c>
      <c r="AB97" t="s">
        <v>117</v>
      </c>
      <c r="AC97" s="35" t="s">
        <v>111</v>
      </c>
      <c r="AE97" t="str">
        <f>IF(ISTEXT(Table_EH_Pre_Survey_May_20__2023_08_229[[#This Row],[Post-Survey NetID''s]]) = TRUE, "Match", "")</f>
        <v/>
      </c>
      <c r="AF97" t="str">
        <f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f>
        <v/>
      </c>
      <c r="AG97" t="str">
        <f>IF(Table_EH_Pre_Survey_May_20__2023_08_229[[#This Row],[NetID Match]] = "Match",  "Match", IF(ISTEXT(Table_EH_Pre_Survey_May_20__2023_08_229[[#This Row],[IP Address Match]]) = TRUE, "Match", ""))</f>
        <v/>
      </c>
      <c r="AH97" s="8">
        <v>4</v>
      </c>
      <c r="AI97" s="8">
        <f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f>
        <v>3</v>
      </c>
      <c r="AJ97" s="4">
        <v>4</v>
      </c>
      <c r="AK97" s="4">
        <f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f>
        <v>4</v>
      </c>
      <c r="AL97" s="4">
        <v>4</v>
      </c>
      <c r="AM97" s="4">
        <f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f>
        <v>4</v>
      </c>
      <c r="AN97" s="4">
        <v>4</v>
      </c>
      <c r="AO97" s="4">
        <f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f>
        <v>4</v>
      </c>
      <c r="AP97" s="4">
        <v>3</v>
      </c>
      <c r="AQ97" s="4">
        <f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f>
        <v>4</v>
      </c>
      <c r="AR97" s="4">
        <v>3</v>
      </c>
      <c r="AS97" s="4">
        <f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f>
        <v>5</v>
      </c>
      <c r="AT97" s="4">
        <v>4</v>
      </c>
      <c r="AU97" s="4">
        <f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f>
        <v>4</v>
      </c>
      <c r="AV97" s="4">
        <v>3</v>
      </c>
      <c r="AW97" s="4">
        <f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f>
        <v>4</v>
      </c>
      <c r="AX97" s="2">
        <v>5</v>
      </c>
      <c r="AY97" s="2">
        <f>IF(Table_EH_Pre_Survey_May_20__2023_08_229[[#This Row],[Q4]] = 3, 1, IF(Table_EH_Pre_Survey_May_20__2023_08_229[[#This Row],[Q4]] = 2.5, 0.5, IF(Table_EH_Pre_Survey_May_20__2023_08_229[[#This Row],[Q4]] = 3.5, 0.5, 0)))</f>
        <v>0</v>
      </c>
      <c r="AZ97" s="2">
        <f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f>
        <v>4</v>
      </c>
      <c r="BA97" s="2">
        <f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f>
        <v>0</v>
      </c>
      <c r="BB97" t="s">
        <v>130</v>
      </c>
      <c r="BC97">
        <f>IF(Table_EH_Pre_Survey_May_20__2023_08_229[[#This Row],[Q5 ]]="PM &lt; 2.5 μm", 1, 0)</f>
        <v>0</v>
      </c>
      <c r="BD97" t="str">
        <f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f>
        <v>PM &lt; 0.25 μm</v>
      </c>
      <c r="BE97">
        <f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f>
        <v>0</v>
      </c>
      <c r="BF97" t="s">
        <v>131</v>
      </c>
      <c r="BG97">
        <f>IF(Table_EH_Pre_Survey_May_20__2023_08_229[[#This Row],[Q6]]="Particles of this size are generally absorbed in the respiratory tract and safely excreted in mucus.", 1, 0)</f>
        <v>0</v>
      </c>
      <c r="BH97" t="str">
        <f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f>
        <v>Particles of this size reach the bronchial tree where they corrode the alveolar parenchyma.</v>
      </c>
      <c r="BI97">
        <f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f>
        <v>0</v>
      </c>
      <c r="BJ97" t="s">
        <v>224</v>
      </c>
      <c r="BK97">
        <f>IF(ISNUMBER(SEARCH("Trucks", Table_EH_Pre_Survey_May_20__2023_08_229[[#This Row],[Q7]])) = TRUE, 1, 0) + IF(ISNUMBER(SEARCH("Cars", Table_EH_Pre_Survey_May_20__2023_08_229[[#This Row],[Q7]])) = TRUE, 1, 0) + IF(ISNUMBER(SEARCH("Fireplaces", Table_EH_Pre_Survey_May_20__2023_08_229[[#This Row],[Q7]])) = TRUE, 1, 0) + IF(ISNUMBER(SEARCH("Dirt Roads", Table_EH_Pre_Survey_May_20__2023_08_229[[#This Row],[Q7]])) = TRUE, 1, 0) - IF(ISNUMBER(SEARCH("Electric Vehicles", Table_EH_Pre_Survey_May_20__2023_08_229[[#This Row],[Q7]])) = TRUE, 1, 0) - IF(ISNUMBER(SEARCH("Pollen", Table_EH_Pre_Survey_May_20__2023_08_229[[#This Row],[Q7]])) = TRUE, 1, 0)</f>
        <v>1</v>
      </c>
      <c r="BL97" t="str">
        <f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f>
        <v>Cars,Dirt Roads,Electric Vehicles,Fireplaces,Trucks</v>
      </c>
      <c r="BM97">
        <f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f>
        <v>3</v>
      </c>
      <c r="BN97">
        <v>4</v>
      </c>
      <c r="BO97">
        <f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f>
        <v>5</v>
      </c>
      <c r="BP97">
        <v>4</v>
      </c>
      <c r="BQ97">
        <f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f>
        <v>5</v>
      </c>
      <c r="BR97">
        <v>3</v>
      </c>
      <c r="BS97">
        <f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f>
        <v>5</v>
      </c>
      <c r="BT97">
        <v>3</v>
      </c>
      <c r="BU97">
        <f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f>
        <v>5</v>
      </c>
      <c r="BV97">
        <v>4</v>
      </c>
      <c r="BW97">
        <f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f>
        <v>5</v>
      </c>
      <c r="BX97">
        <v>3</v>
      </c>
      <c r="BY97">
        <f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f>
        <v>5</v>
      </c>
      <c r="BZ97">
        <v>6</v>
      </c>
      <c r="CA97">
        <f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f>
        <v>10</v>
      </c>
      <c r="CB97" t="s">
        <v>111</v>
      </c>
      <c r="CC97" t="str">
        <f>IF(ISTEXT(VLOOKUP(Table_EH_Pre_Survey_May_20__2023_08_229[[#This Row],[Unique Identifier]], 'Post-Survey Full Set'!$D$1:$AU$72, 1, 0)), VLOOKUP(Table_EH_Pre_Survey_May_20__2023_08_229[[#This Row],[Unique Identifier]], 'Post-Survey Full Set'!$D$1:$AU$72, 43, 0), VLOOKUP(Table_EH_Pre_Survey_May_20__2023_08_229[[#This Row],[Unique Identifier]], 'Post-Survey Full Set'!$V$1:$AU$72, 25, 0))</f>
        <v/>
      </c>
    </row>
    <row r="98" spans="1:83" x14ac:dyDescent="0.25">
      <c r="A98" t="s">
        <v>719</v>
      </c>
      <c r="B98" t="s">
        <v>720</v>
      </c>
      <c r="C98" t="s">
        <v>42</v>
      </c>
      <c r="D98" t="s">
        <v>721</v>
      </c>
      <c r="E98" t="str">
        <f>IF(COUNTIF($D$2:$D$103, Table_EH_Pre_Survey_May_20__2023_08_229[[#This Row],[IPAddress - IP Address]])=1, "Unique", "")</f>
        <v>Unique</v>
      </c>
      <c r="F98" t="str">
        <f>VLOOKUP(Table_EH_Pre_Survey_May_20__2023_08_229[[#This Row],[IPAddress - IP Address]], 'Post-Survey Full Set'!D:AU, 2, 0)</f>
        <v>Unique</v>
      </c>
      <c r="G98" t="str">
        <f>VLOOKUP(Table_EH_Pre_Survey_May_20__2023_08_229[[#This Row],[IPAddress - IP Address]], 'Post-Survey Full Set'!$D$1:$AU$72, 1, 0)</f>
        <v>128.6.36.67</v>
      </c>
      <c r="H98" s="35" t="s">
        <v>721</v>
      </c>
      <c r="I98">
        <v>1</v>
      </c>
      <c r="J98" t="s">
        <v>112</v>
      </c>
      <c r="K98">
        <f>_xlfn.NUMBERVALUE(Table_EH_Pre_Survey_May_20__2023_08_229[[#This Row],[Duration (in seconds) - Duration (in seconds)2]])</f>
        <v>505</v>
      </c>
      <c r="L98" t="s">
        <v>722</v>
      </c>
      <c r="M98" t="s">
        <v>114</v>
      </c>
      <c r="N98" t="s">
        <v>723</v>
      </c>
      <c r="O98" t="str">
        <f>VLOOKUP(Table_EH_Pre_Survey_May_20__2023_08_229[[#This Row],[LocationLatitude - Location Latitude]], 'Post-Survey Full Set'!Q:AU, 1, 0)</f>
        <v>40.488</v>
      </c>
      <c r="P98" t="str">
        <f>VLOOKUP(Table_EH_Pre_Survey_May_20__2023_08_229[[#This Row],[LocationLongitude - Location Longitude]], 'Post-Survey Full Set'!S:AV, 1, 0)</f>
        <v>-74.4544</v>
      </c>
      <c r="Q98" t="s">
        <v>724</v>
      </c>
      <c r="R98" t="s">
        <v>111</v>
      </c>
      <c r="S98" t="s">
        <v>111</v>
      </c>
      <c r="T98" t="s">
        <v>111</v>
      </c>
      <c r="U98" t="s">
        <v>111</v>
      </c>
      <c r="V98" t="s">
        <v>351</v>
      </c>
      <c r="W98" t="str">
        <f>IF(COUNTIF($V$2:$V$103, Table_EH_Pre_Survey_May_20__2023_08_229[[#This Row],[LocationLatitude - Location Latitude]])=1, "Unique", "")</f>
        <v/>
      </c>
      <c r="X98" t="str">
        <f>VLOOKUP(Table_EH_Pre_Survey_May_20__2023_08_229[[#This Row],[LocationLatitude - Location Latitude]], 'Post-Survey Full Set'!Q:AU, 2, 0)</f>
        <v/>
      </c>
      <c r="Y98" t="s">
        <v>352</v>
      </c>
      <c r="Z98" t="e">
        <f>VLOOKUP(Table_EH_Pre_Survey_May_20__2023_08_229[[#This Row],[ResponseId - Response ID]], 'Post-Survey Full Set'!L:AU, 1, 0)</f>
        <v>#N/A</v>
      </c>
      <c r="AA98" t="s">
        <v>487</v>
      </c>
      <c r="AB98" t="s">
        <v>117</v>
      </c>
      <c r="AC98" s="35" t="s">
        <v>111</v>
      </c>
      <c r="AE98" t="str">
        <f>IF(ISTEXT(Table_EH_Pre_Survey_May_20__2023_08_229[[#This Row],[Post-Survey NetID''s]]) = TRUE, "Match", "")</f>
        <v/>
      </c>
      <c r="AF98" t="str">
        <f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f>
        <v>128.6.36.67</v>
      </c>
      <c r="AG98" t="str">
        <f>IF(Table_EH_Pre_Survey_May_20__2023_08_229[[#This Row],[NetID Match]] = "Match",  "Match", IF(ISTEXT(Table_EH_Pre_Survey_May_20__2023_08_229[[#This Row],[IP Address Match]]) = TRUE, "Match", ""))</f>
        <v>Match</v>
      </c>
      <c r="AH98" s="8">
        <v>4</v>
      </c>
      <c r="AI98" s="8">
        <f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f>
        <v>4</v>
      </c>
      <c r="AJ98" s="4">
        <v>4</v>
      </c>
      <c r="AK98" s="4">
        <f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f>
        <v>4</v>
      </c>
      <c r="AL98" s="4">
        <v>3</v>
      </c>
      <c r="AM98" s="4">
        <f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f>
        <v>3</v>
      </c>
      <c r="AN98" s="4">
        <v>5</v>
      </c>
      <c r="AO98" s="4">
        <f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f>
        <v>5</v>
      </c>
      <c r="AP98" s="4">
        <v>3</v>
      </c>
      <c r="AQ98" s="4">
        <f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f>
        <v>3</v>
      </c>
      <c r="AR98" s="4">
        <v>4</v>
      </c>
      <c r="AS98" s="4">
        <f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f>
        <v>3</v>
      </c>
      <c r="AT98" s="4">
        <v>5</v>
      </c>
      <c r="AU98" s="4">
        <f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f>
        <v>4</v>
      </c>
      <c r="AV98" s="4">
        <v>3</v>
      </c>
      <c r="AW98" s="4">
        <f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f>
        <v>3</v>
      </c>
      <c r="AX98" s="2">
        <v>2.5</v>
      </c>
      <c r="AY98" s="2">
        <f>IF(Table_EH_Pre_Survey_May_20__2023_08_229[[#This Row],[Q4]] = 3, 1, IF(Table_EH_Pre_Survey_May_20__2023_08_229[[#This Row],[Q4]] = 2.5, 0.5, IF(Table_EH_Pre_Survey_May_20__2023_08_229[[#This Row],[Q4]] = 3.5, 0.5, 0)))</f>
        <v>0.5</v>
      </c>
      <c r="AZ98" s="2">
        <f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f>
        <v>3</v>
      </c>
      <c r="BA98" s="2">
        <f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f>
        <v>1</v>
      </c>
      <c r="BB98" t="s">
        <v>130</v>
      </c>
      <c r="BC98">
        <f>IF(Table_EH_Pre_Survey_May_20__2023_08_229[[#This Row],[Q5 ]]="PM &lt; 2.5 μm", 1, 0)</f>
        <v>0</v>
      </c>
      <c r="BD98" t="str">
        <f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f>
        <v>PM &lt; 2.5 μm</v>
      </c>
      <c r="BE98">
        <f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f>
        <v>1</v>
      </c>
      <c r="BF98" t="s">
        <v>131</v>
      </c>
      <c r="BG98">
        <f>IF(Table_EH_Pre_Survey_May_20__2023_08_229[[#This Row],[Q6]]="Particles of this size are generally absorbed in the respiratory tract and safely excreted in mucus.", 1, 0)</f>
        <v>0</v>
      </c>
      <c r="BH98" t="str">
        <f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f>
        <v>Particles of this diameter are unable to be suspended in air.</v>
      </c>
      <c r="BI98">
        <f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f>
        <v>0</v>
      </c>
      <c r="BJ98" t="s">
        <v>725</v>
      </c>
      <c r="BK98">
        <f>IF(ISNUMBER(SEARCH("Trucks", Table_EH_Pre_Survey_May_20__2023_08_229[[#This Row],[Q7]])) = TRUE, 1, 0) + IF(ISNUMBER(SEARCH("Cars", Table_EH_Pre_Survey_May_20__2023_08_229[[#This Row],[Q7]])) = TRUE, 1, 0) + IF(ISNUMBER(SEARCH("Fireplaces", Table_EH_Pre_Survey_May_20__2023_08_229[[#This Row],[Q7]])) = TRUE, 1, 0) + IF(ISNUMBER(SEARCH("Dirt Roads", Table_EH_Pre_Survey_May_20__2023_08_229[[#This Row],[Q7]])) = TRUE, 1, 0) - IF(ISNUMBER(SEARCH("Electric Vehicles", Table_EH_Pre_Survey_May_20__2023_08_229[[#This Row],[Q7]])) = TRUE, 1, 0) - IF(ISNUMBER(SEARCH("Pollen", Table_EH_Pre_Survey_May_20__2023_08_229[[#This Row],[Q7]])) = TRUE, 1, 0)</f>
        <v>0</v>
      </c>
      <c r="BL98" t="str">
        <f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f>
        <v>Cars,Dirt Roads,Electric Vehicles,Fireplaces,Pollen,Trucks</v>
      </c>
      <c r="BM98">
        <f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f>
        <v>2</v>
      </c>
      <c r="BN98">
        <v>3</v>
      </c>
      <c r="BO98">
        <f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f>
        <v>4</v>
      </c>
      <c r="BP98">
        <v>3</v>
      </c>
      <c r="BQ98">
        <f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f>
        <v>4</v>
      </c>
      <c r="BR98">
        <v>4</v>
      </c>
      <c r="BS98">
        <f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f>
        <v>4</v>
      </c>
      <c r="BT98">
        <v>3</v>
      </c>
      <c r="BU98">
        <f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f>
        <v>4</v>
      </c>
      <c r="BV98">
        <v>4</v>
      </c>
      <c r="BW98">
        <f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f>
        <v>4</v>
      </c>
      <c r="BX98">
        <v>5</v>
      </c>
      <c r="BY98">
        <f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f>
        <v>4</v>
      </c>
      <c r="BZ98">
        <v>8</v>
      </c>
      <c r="CA98">
        <f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f>
        <v>8</v>
      </c>
      <c r="CB98" t="s">
        <v>726</v>
      </c>
      <c r="CC98" t="str">
        <f>IF(ISTEXT(VLOOKUP(Table_EH_Pre_Survey_May_20__2023_08_229[[#This Row],[Unique Identifier]], 'Post-Survey Full Set'!$D$1:$AU$72, 1, 0)), VLOOKUP(Table_EH_Pre_Survey_May_20__2023_08_229[[#This Row],[Unique Identifier]], 'Post-Survey Full Set'!$D$1:$AU$72, 43, 0), VLOOKUP(Table_EH_Pre_Survey_May_20__2023_08_229[[#This Row],[Unique Identifier]], 'Post-Survey Full Set'!$V$1:$AU$72, 25, 0))</f>
        <v>Pollution</v>
      </c>
    </row>
    <row r="99" spans="1:83" hidden="1" x14ac:dyDescent="0.25">
      <c r="A99" t="s">
        <v>750</v>
      </c>
      <c r="B99" t="s">
        <v>751</v>
      </c>
      <c r="C99" t="s">
        <v>42</v>
      </c>
      <c r="D99" t="s">
        <v>752</v>
      </c>
      <c r="E99" t="str">
        <f>IF(COUNTIF($D$2:$D$103, Table_EH_Pre_Survey_May_20__2023_08_229[[#This Row],[IPAddress - IP Address]])=1, "Unique", "")</f>
        <v>Unique</v>
      </c>
      <c r="F99" t="e">
        <f>VLOOKUP(Table_EH_Pre_Survey_May_20__2023_08_229[[#This Row],[IPAddress - IP Address]], 'Post-Survey Full Set'!D:AU, 2, 0)</f>
        <v>#N/A</v>
      </c>
      <c r="G99" t="e">
        <f>VLOOKUP(Table_EH_Pre_Survey_May_20__2023_08_229[[#This Row],[IPAddress - IP Address]], 'Post-Survey Full Set'!$D$1:$AU$72, 1, 0)</f>
        <v>#N/A</v>
      </c>
      <c r="H99" s="35" t="e">
        <v>#N/A</v>
      </c>
      <c r="I99">
        <v>1</v>
      </c>
      <c r="J99" t="s">
        <v>112</v>
      </c>
      <c r="K99">
        <f>_xlfn.NUMBERVALUE(Table_EH_Pre_Survey_May_20__2023_08_229[[#This Row],[Duration (in seconds) - Duration (in seconds)2]])</f>
        <v>94</v>
      </c>
      <c r="L99" t="s">
        <v>753</v>
      </c>
      <c r="M99" t="s">
        <v>114</v>
      </c>
      <c r="N99" t="s">
        <v>754</v>
      </c>
      <c r="O99" t="str">
        <f>VLOOKUP(Table_EH_Pre_Survey_May_20__2023_08_229[[#This Row],[LocationLatitude - Location Latitude]], 'Post-Survey Full Set'!Q:AU, 1, 0)</f>
        <v>40.7265</v>
      </c>
      <c r="P99" t="str">
        <f>VLOOKUP(Table_EH_Pre_Survey_May_20__2023_08_229[[#This Row],[LocationLongitude - Location Longitude]], 'Post-Survey Full Set'!S:AV, 1, 0)</f>
        <v>-74.1782</v>
      </c>
      <c r="Q99" t="s">
        <v>755</v>
      </c>
      <c r="R99" t="s">
        <v>111</v>
      </c>
      <c r="S99" t="s">
        <v>111</v>
      </c>
      <c r="T99" t="s">
        <v>111</v>
      </c>
      <c r="U99" t="s">
        <v>111</v>
      </c>
      <c r="V99" t="s">
        <v>656</v>
      </c>
      <c r="W99" t="str">
        <f>IF(COUNTIF($V$2:$V$103, Table_EH_Pre_Survey_May_20__2023_08_229[[#This Row],[LocationLatitude - Location Latitude]])=1, "Unique", "")</f>
        <v/>
      </c>
      <c r="X99" t="str">
        <f>VLOOKUP(Table_EH_Pre_Survey_May_20__2023_08_229[[#This Row],[LocationLatitude - Location Latitude]], 'Post-Survey Full Set'!Q:AU, 2, 0)</f>
        <v/>
      </c>
      <c r="Y99" t="s">
        <v>657</v>
      </c>
      <c r="Z99" t="e">
        <f>VLOOKUP(Table_EH_Pre_Survey_May_20__2023_08_229[[#This Row],[ResponseId - Response ID]], 'Post-Survey Full Set'!L:AU, 1, 0)</f>
        <v>#N/A</v>
      </c>
      <c r="AA99" t="s">
        <v>127</v>
      </c>
      <c r="AB99" t="s">
        <v>117</v>
      </c>
      <c r="AC99" s="35" t="s">
        <v>111</v>
      </c>
      <c r="AE99" t="str">
        <f>IF(ISTEXT(Table_EH_Pre_Survey_May_20__2023_08_229[[#This Row],[Post-Survey NetID''s]]) = TRUE, "Match", "")</f>
        <v/>
      </c>
      <c r="AF99" t="str">
        <f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f>
        <v/>
      </c>
      <c r="AG99" t="str">
        <f>IF(Table_EH_Pre_Survey_May_20__2023_08_229[[#This Row],[NetID Match]] = "Match",  "Match", IF(ISTEXT(Table_EH_Pre_Survey_May_20__2023_08_229[[#This Row],[IP Address Match]]) = TRUE, "Match", ""))</f>
        <v/>
      </c>
      <c r="AH99" s="8">
        <v>5</v>
      </c>
      <c r="AI99" s="8">
        <f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f>
        <v>3</v>
      </c>
      <c r="AJ99" s="4">
        <v>5</v>
      </c>
      <c r="AK99" s="4">
        <f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f>
        <v>4</v>
      </c>
      <c r="AL99" s="4">
        <v>3</v>
      </c>
      <c r="AM99" s="4">
        <f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f>
        <v>4</v>
      </c>
      <c r="AN99" s="4">
        <v>5</v>
      </c>
      <c r="AO99" s="4">
        <f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f>
        <v>4</v>
      </c>
      <c r="AP99" s="4">
        <v>2</v>
      </c>
      <c r="AQ99" s="4">
        <f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f>
        <v>4</v>
      </c>
      <c r="AR99" s="4">
        <v>3</v>
      </c>
      <c r="AS99" s="4">
        <f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f>
        <v>5</v>
      </c>
      <c r="AT99" s="4">
        <v>5</v>
      </c>
      <c r="AU99" s="4">
        <f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f>
        <v>4</v>
      </c>
      <c r="AV99" s="4">
        <v>2</v>
      </c>
      <c r="AW99" s="4">
        <f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f>
        <v>4</v>
      </c>
      <c r="AX99" s="2">
        <v>5</v>
      </c>
      <c r="AY99" s="2">
        <f>IF(Table_EH_Pre_Survey_May_20__2023_08_229[[#This Row],[Q4]] = 3, 1, IF(Table_EH_Pre_Survey_May_20__2023_08_229[[#This Row],[Q4]] = 2.5, 0.5, IF(Table_EH_Pre_Survey_May_20__2023_08_229[[#This Row],[Q4]] = 3.5, 0.5, 0)))</f>
        <v>0</v>
      </c>
      <c r="AZ99" s="2">
        <f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f>
        <v>4</v>
      </c>
      <c r="BA99" s="2">
        <f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f>
        <v>0</v>
      </c>
      <c r="BB99" t="s">
        <v>166</v>
      </c>
      <c r="BC99">
        <f>IF(Table_EH_Pre_Survey_May_20__2023_08_229[[#This Row],[Q5 ]]="PM &lt; 2.5 μm", 1, 0)</f>
        <v>0</v>
      </c>
      <c r="BD99" t="str">
        <f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f>
        <v>PM &lt; 0.25 μm</v>
      </c>
      <c r="BE99">
        <f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f>
        <v>0</v>
      </c>
      <c r="BF99" t="s">
        <v>155</v>
      </c>
      <c r="BG99">
        <f>IF(Table_EH_Pre_Survey_May_20__2023_08_229[[#This Row],[Q6]]="Particles of this size are generally absorbed in the respiratory tract and safely excreted in mucus.", 1, 0)</f>
        <v>0</v>
      </c>
      <c r="BH99" t="str">
        <f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f>
        <v>Particles of this size reach the bronchial tree where they corrode the alveolar parenchyma.</v>
      </c>
      <c r="BI99">
        <f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f>
        <v>0</v>
      </c>
      <c r="BJ99" t="s">
        <v>526</v>
      </c>
      <c r="BK99">
        <f>IF(ISNUMBER(SEARCH("Trucks", Table_EH_Pre_Survey_May_20__2023_08_229[[#This Row],[Q7]])) = TRUE, 1, 0) + IF(ISNUMBER(SEARCH("Cars", Table_EH_Pre_Survey_May_20__2023_08_229[[#This Row],[Q7]])) = TRUE, 1, 0) + IF(ISNUMBER(SEARCH("Fireplaces", Table_EH_Pre_Survey_May_20__2023_08_229[[#This Row],[Q7]])) = TRUE, 1, 0) + IF(ISNUMBER(SEARCH("Dirt Roads", Table_EH_Pre_Survey_May_20__2023_08_229[[#This Row],[Q7]])) = TRUE, 1, 0) - IF(ISNUMBER(SEARCH("Electric Vehicles", Table_EH_Pre_Survey_May_20__2023_08_229[[#This Row],[Q7]])) = TRUE, 1, 0) - IF(ISNUMBER(SEARCH("Pollen", Table_EH_Pre_Survey_May_20__2023_08_229[[#This Row],[Q7]])) = TRUE, 1, 0)</f>
        <v>-1</v>
      </c>
      <c r="BL99" t="str">
        <f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f>
        <v>Cars,Dirt Roads,Electric Vehicles,Fireplaces,Trucks</v>
      </c>
      <c r="BM99">
        <f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f>
        <v>3</v>
      </c>
      <c r="BN99">
        <v>4</v>
      </c>
      <c r="BO99">
        <f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f>
        <v>5</v>
      </c>
      <c r="BP99">
        <v>3</v>
      </c>
      <c r="BQ99">
        <f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f>
        <v>5</v>
      </c>
      <c r="BR99">
        <v>5</v>
      </c>
      <c r="BS99">
        <f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f>
        <v>5</v>
      </c>
      <c r="BT99">
        <v>5</v>
      </c>
      <c r="BU99">
        <f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f>
        <v>5</v>
      </c>
      <c r="BV99">
        <v>5</v>
      </c>
      <c r="BW99">
        <f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f>
        <v>5</v>
      </c>
      <c r="BX99">
        <v>4</v>
      </c>
      <c r="BY99">
        <f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f>
        <v>5</v>
      </c>
      <c r="BZ99">
        <v>10</v>
      </c>
      <c r="CA99">
        <f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f>
        <v>10</v>
      </c>
      <c r="CB99" t="s">
        <v>111</v>
      </c>
      <c r="CC99" t="str">
        <f>IF(ISTEXT(VLOOKUP(Table_EH_Pre_Survey_May_20__2023_08_229[[#This Row],[Unique Identifier]], 'Post-Survey Full Set'!$D$1:$AU$72, 1, 0)), VLOOKUP(Table_EH_Pre_Survey_May_20__2023_08_229[[#This Row],[Unique Identifier]], 'Post-Survey Full Set'!$D$1:$AU$72, 43, 0), VLOOKUP(Table_EH_Pre_Survey_May_20__2023_08_229[[#This Row],[Unique Identifier]], 'Post-Survey Full Set'!$V$1:$AU$72, 25, 0))</f>
        <v/>
      </c>
    </row>
    <row r="100" spans="1:83" hidden="1" x14ac:dyDescent="0.25">
      <c r="A100" t="s">
        <v>775</v>
      </c>
      <c r="B100" t="s">
        <v>776</v>
      </c>
      <c r="C100" t="s">
        <v>42</v>
      </c>
      <c r="D100" t="s">
        <v>389</v>
      </c>
      <c r="E100" t="str">
        <f>IF(COUNTIF($D$2:$D$103, Table_EH_Pre_Survey_May_20__2023_08_229[[#This Row],[IPAddress - IP Address]])=1, "Unique", "")</f>
        <v/>
      </c>
      <c r="F100" t="str">
        <f>VLOOKUP(Table_EH_Pre_Survey_May_20__2023_08_229[[#This Row],[IPAddress - IP Address]], 'Post-Survey Full Set'!D:AU, 2, 0)</f>
        <v/>
      </c>
      <c r="G100" t="str">
        <f>VLOOKUP(Table_EH_Pre_Survey_May_20__2023_08_229[[#This Row],[IPAddress - IP Address]], 'Post-Survey Full Set'!$D$1:$AU$72, 1, 0)</f>
        <v>130.219.10.90</v>
      </c>
      <c r="I100">
        <v>1</v>
      </c>
      <c r="J100" t="s">
        <v>112</v>
      </c>
      <c r="K100">
        <f>_xlfn.NUMBERVALUE(Table_EH_Pre_Survey_May_20__2023_08_229[[#This Row],[Duration (in seconds) - Duration (in seconds)2]])</f>
        <v>958</v>
      </c>
      <c r="L100" t="s">
        <v>777</v>
      </c>
      <c r="M100" t="s">
        <v>114</v>
      </c>
      <c r="N100" t="s">
        <v>776</v>
      </c>
      <c r="O100" t="str">
        <f>VLOOKUP(Table_EH_Pre_Survey_May_20__2023_08_229[[#This Row],[LocationLatitude - Location Latitude]], 'Post-Survey Full Set'!Q:AU, 1, 0)</f>
        <v>40.7337</v>
      </c>
      <c r="P100" t="str">
        <f>VLOOKUP(Table_EH_Pre_Survey_May_20__2023_08_229[[#This Row],[LocationLongitude - Location Longitude]], 'Post-Survey Full Set'!S:AV, 1, 0)</f>
        <v>-74.1939</v>
      </c>
      <c r="Q100" t="s">
        <v>778</v>
      </c>
      <c r="R100" t="s">
        <v>111</v>
      </c>
      <c r="S100" t="s">
        <v>111</v>
      </c>
      <c r="T100" t="s">
        <v>111</v>
      </c>
      <c r="U100" t="s">
        <v>111</v>
      </c>
      <c r="V100" t="s">
        <v>392</v>
      </c>
      <c r="W100" t="str">
        <f>IF(COUNTIF($V$2:$V$103, Table_EH_Pre_Survey_May_20__2023_08_229[[#This Row],[LocationLatitude - Location Latitude]])=1, "Unique", "")</f>
        <v/>
      </c>
      <c r="X100" t="str">
        <f>VLOOKUP(Table_EH_Pre_Survey_May_20__2023_08_229[[#This Row],[LocationLatitude - Location Latitude]], 'Post-Survey Full Set'!Q:AU, 2, 0)</f>
        <v/>
      </c>
      <c r="Y100" t="s">
        <v>393</v>
      </c>
      <c r="Z100" t="e">
        <f>VLOOKUP(Table_EH_Pre_Survey_May_20__2023_08_229[[#This Row],[ResponseId - Response ID]], 'Post-Survey Full Set'!L:AU, 1, 0)</f>
        <v>#N/A</v>
      </c>
      <c r="AA100" t="s">
        <v>127</v>
      </c>
      <c r="AB100" t="s">
        <v>117</v>
      </c>
      <c r="AC100" s="35" t="s">
        <v>111</v>
      </c>
      <c r="AE100" t="str">
        <f>IF(ISTEXT(Table_EH_Pre_Survey_May_20__2023_08_229[[#This Row],[Post-Survey NetID''s]]) = TRUE, "Match", "")</f>
        <v/>
      </c>
      <c r="AF100" t="str">
        <f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f>
        <v/>
      </c>
      <c r="AG100" t="str">
        <f>IF(Table_EH_Pre_Survey_May_20__2023_08_229[[#This Row],[NetID Match]] = "Match",  "Match", IF(ISTEXT(Table_EH_Pre_Survey_May_20__2023_08_229[[#This Row],[IP Address Match]]) = TRUE, "Match", ""))</f>
        <v/>
      </c>
      <c r="AH100" s="8">
        <v>5</v>
      </c>
      <c r="AI100" s="8">
        <f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f>
        <v>3</v>
      </c>
      <c r="AJ100" s="4">
        <v>5</v>
      </c>
      <c r="AK100" s="4">
        <f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f>
        <v>4</v>
      </c>
      <c r="AL100" s="4">
        <v>5</v>
      </c>
      <c r="AM100" s="4">
        <f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f>
        <v>4</v>
      </c>
      <c r="AN100" s="4">
        <v>5</v>
      </c>
      <c r="AO100" s="4">
        <f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f>
        <v>4</v>
      </c>
      <c r="AP100" s="4">
        <v>5</v>
      </c>
      <c r="AQ100" s="4">
        <f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f>
        <v>4</v>
      </c>
      <c r="AR100" s="4">
        <v>5</v>
      </c>
      <c r="AS100" s="4">
        <f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f>
        <v>5</v>
      </c>
      <c r="AT100" s="4">
        <v>5</v>
      </c>
      <c r="AU100" s="4">
        <f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f>
        <v>4</v>
      </c>
      <c r="AV100" s="4">
        <v>5</v>
      </c>
      <c r="AW100" s="4">
        <f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f>
        <v>4</v>
      </c>
      <c r="AX100" s="2">
        <v>4</v>
      </c>
      <c r="AY100" s="2">
        <f>IF(Table_EH_Pre_Survey_May_20__2023_08_229[[#This Row],[Q4]] = 3, 1, IF(Table_EH_Pre_Survey_May_20__2023_08_229[[#This Row],[Q4]] = 2.5, 0.5, IF(Table_EH_Pre_Survey_May_20__2023_08_229[[#This Row],[Q4]] = 3.5, 0.5, 0)))</f>
        <v>0</v>
      </c>
      <c r="AZ100" s="2">
        <f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f>
        <v>4</v>
      </c>
      <c r="BA100" s="2">
        <f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f>
        <v>0</v>
      </c>
      <c r="BB100" t="s">
        <v>130</v>
      </c>
      <c r="BC100">
        <f>IF(Table_EH_Pre_Survey_May_20__2023_08_229[[#This Row],[Q5 ]]="PM &lt; 2.5 μm", 1, 0)</f>
        <v>0</v>
      </c>
      <c r="BD100" t="str">
        <f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f>
        <v>PM &lt; 0.25 μm</v>
      </c>
      <c r="BE100">
        <f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f>
        <v>0</v>
      </c>
      <c r="BF100" t="s">
        <v>131</v>
      </c>
      <c r="BG100">
        <f>IF(Table_EH_Pre_Survey_May_20__2023_08_229[[#This Row],[Q6]]="Particles of this size are generally absorbed in the respiratory tract and safely excreted in mucus.", 1, 0)</f>
        <v>0</v>
      </c>
      <c r="BH100" t="str">
        <f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f>
        <v>Particles of this size reach the bronchial tree where they corrode the alveolar parenchyma.</v>
      </c>
      <c r="BI100">
        <f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f>
        <v>0</v>
      </c>
      <c r="BJ100" t="s">
        <v>142</v>
      </c>
      <c r="BK100">
        <f>IF(ISNUMBER(SEARCH("Trucks", Table_EH_Pre_Survey_May_20__2023_08_229[[#This Row],[Q7]])) = TRUE, 1, 0) + IF(ISNUMBER(SEARCH("Cars", Table_EH_Pre_Survey_May_20__2023_08_229[[#This Row],[Q7]])) = TRUE, 1, 0) + IF(ISNUMBER(SEARCH("Fireplaces", Table_EH_Pre_Survey_May_20__2023_08_229[[#This Row],[Q7]])) = TRUE, 1, 0) + IF(ISNUMBER(SEARCH("Dirt Roads", Table_EH_Pre_Survey_May_20__2023_08_229[[#This Row],[Q7]])) = TRUE, 1, 0) - IF(ISNUMBER(SEARCH("Electric Vehicles", Table_EH_Pre_Survey_May_20__2023_08_229[[#This Row],[Q7]])) = TRUE, 1, 0) - IF(ISNUMBER(SEARCH("Pollen", Table_EH_Pre_Survey_May_20__2023_08_229[[#This Row],[Q7]])) = TRUE, 1, 0)</f>
        <v>2</v>
      </c>
      <c r="BL100" t="str">
        <f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f>
        <v>Cars,Dirt Roads,Electric Vehicles,Fireplaces,Trucks</v>
      </c>
      <c r="BM100">
        <f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f>
        <v>3</v>
      </c>
      <c r="BN100">
        <v>3</v>
      </c>
      <c r="BO100">
        <f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f>
        <v>5</v>
      </c>
      <c r="BP100">
        <v>3</v>
      </c>
      <c r="BQ100">
        <f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f>
        <v>5</v>
      </c>
      <c r="BR100">
        <v>4</v>
      </c>
      <c r="BS100">
        <f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f>
        <v>5</v>
      </c>
      <c r="BT100">
        <v>4</v>
      </c>
      <c r="BU100">
        <f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f>
        <v>5</v>
      </c>
      <c r="BV100">
        <v>4</v>
      </c>
      <c r="BW100">
        <f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f>
        <v>5</v>
      </c>
      <c r="BX100">
        <v>3</v>
      </c>
      <c r="BY100">
        <f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f>
        <v>5</v>
      </c>
      <c r="BZ100">
        <v>10</v>
      </c>
      <c r="CA100">
        <f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f>
        <v>10</v>
      </c>
      <c r="CB100" t="s">
        <v>111</v>
      </c>
      <c r="CC100" t="str">
        <f>IF(ISTEXT(VLOOKUP(Table_EH_Pre_Survey_May_20__2023_08_229[[#This Row],[Unique Identifier]], 'Post-Survey Full Set'!$D$1:$AU$72, 1, 0)), VLOOKUP(Table_EH_Pre_Survey_May_20__2023_08_229[[#This Row],[Unique Identifier]], 'Post-Survey Full Set'!$D$1:$AU$72, 43, 0), VLOOKUP(Table_EH_Pre_Survey_May_20__2023_08_229[[#This Row],[Unique Identifier]], 'Post-Survey Full Set'!$V$1:$AU$72, 25, 0))</f>
        <v/>
      </c>
    </row>
    <row r="101" spans="1:83" hidden="1" x14ac:dyDescent="0.25">
      <c r="A101" t="s">
        <v>800</v>
      </c>
      <c r="B101" t="s">
        <v>801</v>
      </c>
      <c r="C101" t="s">
        <v>42</v>
      </c>
      <c r="D101" t="s">
        <v>802</v>
      </c>
      <c r="E101" t="str">
        <f>IF(COUNTIF($D$2:$D$103, Table_EH_Pre_Survey_May_20__2023_08_229[[#This Row],[IPAddress - IP Address]])=1, "Unique", "")</f>
        <v>Unique</v>
      </c>
      <c r="F101" t="e">
        <f>VLOOKUP(Table_EH_Pre_Survey_May_20__2023_08_229[[#This Row],[IPAddress - IP Address]], 'Post-Survey Full Set'!D:AU, 2, 0)</f>
        <v>#N/A</v>
      </c>
      <c r="G101" t="e">
        <f>VLOOKUP(Table_EH_Pre_Survey_May_20__2023_08_229[[#This Row],[IPAddress - IP Address]], 'Post-Survey Full Set'!$D$1:$AU$72, 1, 0)</f>
        <v>#N/A</v>
      </c>
      <c r="H101" s="35" t="e">
        <v>#N/A</v>
      </c>
      <c r="I101">
        <v>1</v>
      </c>
      <c r="J101" t="s">
        <v>112</v>
      </c>
      <c r="K101">
        <f>_xlfn.NUMBERVALUE(Table_EH_Pre_Survey_May_20__2023_08_229[[#This Row],[Duration (in seconds) - Duration (in seconds)2]])</f>
        <v>322</v>
      </c>
      <c r="L101" t="s">
        <v>357</v>
      </c>
      <c r="M101" t="s">
        <v>114</v>
      </c>
      <c r="N101" t="s">
        <v>803</v>
      </c>
      <c r="O101" t="str">
        <f>VLOOKUP(Table_EH_Pre_Survey_May_20__2023_08_229[[#This Row],[LocationLatitude - Location Latitude]], 'Post-Survey Full Set'!Q:AU, 1, 0)</f>
        <v>40.6129</v>
      </c>
      <c r="P101" t="str">
        <f>VLOOKUP(Table_EH_Pre_Survey_May_20__2023_08_229[[#This Row],[LocationLongitude - Location Longitude]], 'Post-Survey Full Set'!S:AV, 1, 0)</f>
        <v>-74.416</v>
      </c>
      <c r="Q101" t="s">
        <v>804</v>
      </c>
      <c r="R101" t="s">
        <v>111</v>
      </c>
      <c r="S101" t="s">
        <v>111</v>
      </c>
      <c r="T101" t="s">
        <v>111</v>
      </c>
      <c r="U101" t="s">
        <v>111</v>
      </c>
      <c r="V101" t="s">
        <v>712</v>
      </c>
      <c r="W101" t="str">
        <f>IF(COUNTIF($V$2:$V$103, Table_EH_Pre_Survey_May_20__2023_08_229[[#This Row],[LocationLatitude - Location Latitude]])=1, "Unique", "")</f>
        <v/>
      </c>
      <c r="X101" t="str">
        <f>VLOOKUP(Table_EH_Pre_Survey_May_20__2023_08_229[[#This Row],[LocationLatitude - Location Latitude]], 'Post-Survey Full Set'!Q:AU, 2, 0)</f>
        <v>Unique</v>
      </c>
      <c r="Y101" t="s">
        <v>713</v>
      </c>
      <c r="Z101" t="e">
        <f>VLOOKUP(Table_EH_Pre_Survey_May_20__2023_08_229[[#This Row],[ResponseId - Response ID]], 'Post-Survey Full Set'!L:AU, 1, 0)</f>
        <v>#N/A</v>
      </c>
      <c r="AA101" t="s">
        <v>487</v>
      </c>
      <c r="AB101" t="s">
        <v>117</v>
      </c>
      <c r="AC101" s="35" t="s">
        <v>111</v>
      </c>
      <c r="AE101" t="str">
        <f>IF(ISTEXT(Table_EH_Pre_Survey_May_20__2023_08_229[[#This Row],[Post-Survey NetID''s]]) = TRUE, "Match", "")</f>
        <v/>
      </c>
      <c r="AF101" t="str">
        <f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f>
        <v/>
      </c>
      <c r="AG101" t="str">
        <f>IF(Table_EH_Pre_Survey_May_20__2023_08_229[[#This Row],[NetID Match]] = "Match",  "Match", IF(ISTEXT(Table_EH_Pre_Survey_May_20__2023_08_229[[#This Row],[IP Address Match]]) = TRUE, "Match", ""))</f>
        <v/>
      </c>
      <c r="AH101" s="8">
        <v>4</v>
      </c>
      <c r="AI101" s="8">
        <f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f>
        <v>3</v>
      </c>
      <c r="AJ101" s="4">
        <v>4</v>
      </c>
      <c r="AK101" s="4">
        <f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f>
        <v>4</v>
      </c>
      <c r="AL101" s="4">
        <v>4</v>
      </c>
      <c r="AM101" s="4">
        <f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f>
        <v>4</v>
      </c>
      <c r="AN101" s="4">
        <v>4</v>
      </c>
      <c r="AO101" s="4">
        <f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f>
        <v>4</v>
      </c>
      <c r="AP101" s="4">
        <v>3</v>
      </c>
      <c r="AQ101" s="4">
        <f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f>
        <v>4</v>
      </c>
      <c r="AR101" s="4">
        <v>3</v>
      </c>
      <c r="AS101" s="4">
        <f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f>
        <v>5</v>
      </c>
      <c r="AT101" s="4">
        <v>5</v>
      </c>
      <c r="AU101" s="4">
        <f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f>
        <v>4</v>
      </c>
      <c r="AV101" s="4">
        <v>3</v>
      </c>
      <c r="AW101" s="4">
        <f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f>
        <v>4</v>
      </c>
      <c r="AX101" s="2">
        <v>4</v>
      </c>
      <c r="AY101" s="2">
        <f>IF(Table_EH_Pre_Survey_May_20__2023_08_229[[#This Row],[Q4]] = 3, 1, IF(Table_EH_Pre_Survey_May_20__2023_08_229[[#This Row],[Q4]] = 2.5, 0.5, IF(Table_EH_Pre_Survey_May_20__2023_08_229[[#This Row],[Q4]] = 3.5, 0.5, 0)))</f>
        <v>0</v>
      </c>
      <c r="AZ101" s="2">
        <f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f>
        <v>4</v>
      </c>
      <c r="BA101" s="2">
        <f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f>
        <v>0</v>
      </c>
      <c r="BB101" t="s">
        <v>525</v>
      </c>
      <c r="BC101">
        <f>IF(Table_EH_Pre_Survey_May_20__2023_08_229[[#This Row],[Q5 ]]="PM &lt; 2.5 μm", 1, 0)</f>
        <v>0</v>
      </c>
      <c r="BD101" t="str">
        <f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f>
        <v>PM &lt; 0.25 μm</v>
      </c>
      <c r="BE101">
        <f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f>
        <v>0</v>
      </c>
      <c r="BF101" t="s">
        <v>141</v>
      </c>
      <c r="BG101">
        <f>IF(Table_EH_Pre_Survey_May_20__2023_08_229[[#This Row],[Q6]]="Particles of this size are generally absorbed in the respiratory tract and safely excreted in mucus.", 1, 0)</f>
        <v>0</v>
      </c>
      <c r="BH101" t="str">
        <f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f>
        <v>Particles of this size reach the bronchial tree where they corrode the alveolar parenchyma.</v>
      </c>
      <c r="BI101">
        <f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f>
        <v>0</v>
      </c>
      <c r="BJ101" t="s">
        <v>167</v>
      </c>
      <c r="BK101">
        <f>IF(ISNUMBER(SEARCH("Trucks", Table_EH_Pre_Survey_May_20__2023_08_229[[#This Row],[Q7]])) = TRUE, 1, 0) + IF(ISNUMBER(SEARCH("Cars", Table_EH_Pre_Survey_May_20__2023_08_229[[#This Row],[Q7]])) = TRUE, 1, 0) + IF(ISNUMBER(SEARCH("Fireplaces", Table_EH_Pre_Survey_May_20__2023_08_229[[#This Row],[Q7]])) = TRUE, 1, 0) + IF(ISNUMBER(SEARCH("Dirt Roads", Table_EH_Pre_Survey_May_20__2023_08_229[[#This Row],[Q7]])) = TRUE, 1, 0) - IF(ISNUMBER(SEARCH("Electric Vehicles", Table_EH_Pre_Survey_May_20__2023_08_229[[#This Row],[Q7]])) = TRUE, 1, 0) - IF(ISNUMBER(SEARCH("Pollen", Table_EH_Pre_Survey_May_20__2023_08_229[[#This Row],[Q7]])) = TRUE, 1, 0)</f>
        <v>3</v>
      </c>
      <c r="BL101" t="str">
        <f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f>
        <v>Cars,Dirt Roads,Electric Vehicles,Fireplaces,Trucks</v>
      </c>
      <c r="BM101">
        <f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f>
        <v>3</v>
      </c>
      <c r="BN101">
        <v>5</v>
      </c>
      <c r="BO101">
        <f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f>
        <v>5</v>
      </c>
      <c r="BP101">
        <v>3</v>
      </c>
      <c r="BQ101">
        <f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f>
        <v>5</v>
      </c>
      <c r="BR101">
        <v>2</v>
      </c>
      <c r="BS101">
        <f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f>
        <v>5</v>
      </c>
      <c r="BT101">
        <v>2</v>
      </c>
      <c r="BU101">
        <f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f>
        <v>5</v>
      </c>
      <c r="BV101">
        <v>3</v>
      </c>
      <c r="BW101">
        <f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f>
        <v>5</v>
      </c>
      <c r="BX101">
        <v>3</v>
      </c>
      <c r="BY101">
        <f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f>
        <v>5</v>
      </c>
      <c r="BZ101">
        <v>8</v>
      </c>
      <c r="CA101">
        <f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f>
        <v>10</v>
      </c>
      <c r="CB101" t="s">
        <v>805</v>
      </c>
      <c r="CC101" t="str">
        <f>IF(ISTEXT(VLOOKUP(Table_EH_Pre_Survey_May_20__2023_08_229[[#This Row],[Unique Identifier]], 'Post-Survey Full Set'!$D$1:$AU$72, 1, 0)), VLOOKUP(Table_EH_Pre_Survey_May_20__2023_08_229[[#This Row],[Unique Identifier]], 'Post-Survey Full Set'!$D$1:$AU$72, 43, 0), VLOOKUP(Table_EH_Pre_Survey_May_20__2023_08_229[[#This Row],[Unique Identifier]], 'Post-Survey Full Set'!$V$1:$AU$72, 25, 0))</f>
        <v/>
      </c>
    </row>
    <row r="102" spans="1:83" hidden="1" x14ac:dyDescent="0.25">
      <c r="A102" t="s">
        <v>618</v>
      </c>
      <c r="B102" t="s">
        <v>876</v>
      </c>
      <c r="C102" t="s">
        <v>42</v>
      </c>
      <c r="D102" t="s">
        <v>877</v>
      </c>
      <c r="E102" t="str">
        <f>IF(COUNTIF($D$2:$D$103, Table_EH_Pre_Survey_May_20__2023_08_229[[#This Row],[IPAddress - IP Address]])=1, "Unique", "")</f>
        <v>Unique</v>
      </c>
      <c r="F102" t="e">
        <f>VLOOKUP(Table_EH_Pre_Survey_May_20__2023_08_229[[#This Row],[IPAddress - IP Address]], 'Post-Survey Full Set'!D:AU, 2, 0)</f>
        <v>#N/A</v>
      </c>
      <c r="G102" t="e">
        <f>VLOOKUP(Table_EH_Pre_Survey_May_20__2023_08_229[[#This Row],[IPAddress - IP Address]], 'Post-Survey Full Set'!$D$1:$AU$72, 1, 0)</f>
        <v>#N/A</v>
      </c>
      <c r="H102" s="35" t="e">
        <v>#N/A</v>
      </c>
      <c r="I102">
        <v>1</v>
      </c>
      <c r="J102" t="s">
        <v>878</v>
      </c>
      <c r="K102">
        <f>_xlfn.NUMBERVALUE(Table_EH_Pre_Survey_May_20__2023_08_229[[#This Row],[Duration (in seconds) - Duration (in seconds)2]])</f>
        <v>110</v>
      </c>
      <c r="L102" s="4" t="s">
        <v>879</v>
      </c>
      <c r="M102" s="4" t="s">
        <v>821</v>
      </c>
      <c r="N102" s="4" t="s">
        <v>880</v>
      </c>
      <c r="O102" s="4" t="str">
        <f>VLOOKUP(Table_EH_Pre_Survey_May_20__2023_08_229[[#This Row],[LocationLatitude - Location Latitude]], 'Post-Survey Full Set'!Q:AU, 1, 0)</f>
        <v/>
      </c>
      <c r="P102" s="4" t="str">
        <f>VLOOKUP(Table_EH_Pre_Survey_May_20__2023_08_229[[#This Row],[LocationLongitude - Location Longitude]], 'Post-Survey Full Set'!S:AV, 1, 0)</f>
        <v/>
      </c>
      <c r="Q102" s="4" t="s">
        <v>881</v>
      </c>
      <c r="R102" s="4" t="s">
        <v>111</v>
      </c>
      <c r="S102" s="4" t="s">
        <v>111</v>
      </c>
      <c r="T102" s="4" t="s">
        <v>111</v>
      </c>
      <c r="U102" s="4" t="s">
        <v>111</v>
      </c>
      <c r="V102" s="4" t="s">
        <v>111</v>
      </c>
      <c r="W102" s="4" t="str">
        <f>IF(COUNTIF($V$2:$V$103, Table_EH_Pre_Survey_May_20__2023_08_229[[#This Row],[LocationLatitude - Location Latitude]])=1, "Unique", "")</f>
        <v/>
      </c>
      <c r="X102" s="4" t="str">
        <f>VLOOKUP(Table_EH_Pre_Survey_May_20__2023_08_229[[#This Row],[LocationLatitude - Location Latitude]], 'Post-Survey Full Set'!Q:AU, 2, 0)</f>
        <v>Unique</v>
      </c>
      <c r="Y102" s="4" t="s">
        <v>111</v>
      </c>
      <c r="Z102" s="4" t="e">
        <f>VLOOKUP(Table_EH_Pre_Survey_May_20__2023_08_229[[#This Row],[ResponseId - Response ID]], 'Post-Survey Full Set'!L:AU, 1, 0)</f>
        <v>#N/A</v>
      </c>
      <c r="AA102" s="4" t="s">
        <v>487</v>
      </c>
      <c r="AB102" s="4" t="s">
        <v>117</v>
      </c>
      <c r="AC102" s="35" t="s">
        <v>111</v>
      </c>
      <c r="AE102" s="4" t="str">
        <f>IF(ISTEXT(Table_EH_Pre_Survey_May_20__2023_08_229[[#This Row],[Post-Survey NetID''s]]) = TRUE, "Match", "")</f>
        <v/>
      </c>
      <c r="AF102" s="4" t="str">
        <f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f>
        <v/>
      </c>
      <c r="AG102" s="4" t="str">
        <f>IF(Table_EH_Pre_Survey_May_20__2023_08_229[[#This Row],[NetID Match]] = "Match",  "Match", IF(ISTEXT(Table_EH_Pre_Survey_May_20__2023_08_229[[#This Row],[IP Address Match]]) = TRUE, "Match", ""))</f>
        <v/>
      </c>
      <c r="AH102" s="4">
        <v>5</v>
      </c>
      <c r="AI102" s="8">
        <f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f>
        <v>3</v>
      </c>
      <c r="AJ102" s="4">
        <v>3</v>
      </c>
      <c r="AK102" s="4">
        <f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f>
        <v>4</v>
      </c>
      <c r="AL102" s="4">
        <v>2</v>
      </c>
      <c r="AM102" s="4">
        <f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f>
        <v>4</v>
      </c>
      <c r="AN102" s="4">
        <v>5</v>
      </c>
      <c r="AO102" s="4">
        <f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f>
        <v>4</v>
      </c>
      <c r="AP102" s="4">
        <v>2</v>
      </c>
      <c r="AQ102" s="4">
        <f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f>
        <v>4</v>
      </c>
      <c r="AR102" s="4">
        <v>2</v>
      </c>
      <c r="AS102" s="4">
        <f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f>
        <v>5</v>
      </c>
      <c r="AT102" s="4">
        <v>5</v>
      </c>
      <c r="AU102" s="4">
        <f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f>
        <v>4</v>
      </c>
      <c r="AV102" s="4">
        <v>2</v>
      </c>
      <c r="AW102" s="4">
        <f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f>
        <v>4</v>
      </c>
      <c r="AX102" s="4">
        <v>3.5</v>
      </c>
      <c r="AY102" t="s">
        <v>111</v>
      </c>
      <c r="AZ102" s="4">
        <f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f>
        <v>4</v>
      </c>
      <c r="BA102" s="4">
        <f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f>
        <v>0</v>
      </c>
      <c r="BB102" t="s">
        <v>130</v>
      </c>
      <c r="BC102" t="s">
        <v>111</v>
      </c>
      <c r="BD102" t="str">
        <f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f>
        <v>PM &lt; 0.25 μm</v>
      </c>
      <c r="BE102">
        <f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f>
        <v>0</v>
      </c>
      <c r="BF102" t="s">
        <v>111</v>
      </c>
      <c r="BG102" t="s">
        <v>111</v>
      </c>
      <c r="BH102" t="str">
        <f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f>
        <v>Particles of this size reach the bronchial tree where they corrode the alveolar parenchyma.</v>
      </c>
      <c r="BI102">
        <f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f>
        <v>0</v>
      </c>
      <c r="BJ102" t="s">
        <v>111</v>
      </c>
      <c r="BK102" t="s">
        <v>111</v>
      </c>
      <c r="BL102" t="str">
        <f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f>
        <v>Cars,Dirt Roads,Electric Vehicles,Fireplaces,Trucks</v>
      </c>
      <c r="BM102">
        <f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f>
        <v>3</v>
      </c>
      <c r="BN102" t="s">
        <v>111</v>
      </c>
      <c r="BO102">
        <f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f>
        <v>5</v>
      </c>
      <c r="BP102" t="s">
        <v>111</v>
      </c>
      <c r="BQ102">
        <f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f>
        <v>5</v>
      </c>
      <c r="BR102" t="s">
        <v>111</v>
      </c>
      <c r="BS102">
        <f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f>
        <v>5</v>
      </c>
      <c r="BU102">
        <f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f>
        <v>5</v>
      </c>
      <c r="BW102">
        <f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f>
        <v>5</v>
      </c>
      <c r="BY102">
        <f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f>
        <v>5</v>
      </c>
      <c r="CA102">
        <f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f>
        <v>10</v>
      </c>
      <c r="CC102" t="str">
        <f>IF(ISTEXT(VLOOKUP(Table_EH_Pre_Survey_May_20__2023_08_229[[#This Row],[Unique Identifier]], 'Post-Survey Full Set'!$D$1:$AU$72, 1, 0)), VLOOKUP(Table_EH_Pre_Survey_May_20__2023_08_229[[#This Row],[Unique Identifier]], 'Post-Survey Full Set'!$D$1:$AU$72, 43, 0), VLOOKUP(Table_EH_Pre_Survey_May_20__2023_08_229[[#This Row],[Unique Identifier]], 'Post-Survey Full Set'!$V$1:$AU$72, 25, 0))</f>
        <v/>
      </c>
    </row>
    <row r="103" spans="1:83" hidden="1" x14ac:dyDescent="0.25">
      <c r="A103" t="s">
        <v>902</v>
      </c>
      <c r="B103" t="s">
        <v>903</v>
      </c>
      <c r="C103" t="s">
        <v>42</v>
      </c>
      <c r="D103" t="s">
        <v>904</v>
      </c>
      <c r="E103" t="str">
        <f>IF(COUNTIF($D$2:$D$103, Table_EH_Pre_Survey_May_20__2023_08_229[[#This Row],[IPAddress - IP Address]])=1, "Unique", "")</f>
        <v>Unique</v>
      </c>
      <c r="F103" t="e">
        <f>VLOOKUP(Table_EH_Pre_Survey_May_20__2023_08_229[[#This Row],[IPAddress - IP Address]], 'Post-Survey Full Set'!D:AU, 2, 0)</f>
        <v>#N/A</v>
      </c>
      <c r="G103" t="e">
        <f>VLOOKUP(Table_EH_Pre_Survey_May_20__2023_08_229[[#This Row],[IPAddress - IP Address]], 'Post-Survey Full Set'!$D$1:$AU$72, 1, 0)</f>
        <v>#N/A</v>
      </c>
      <c r="H103" s="35" t="e">
        <v>#N/A</v>
      </c>
      <c r="I103">
        <v>1</v>
      </c>
      <c r="J103" t="s">
        <v>878</v>
      </c>
      <c r="K103">
        <f>_xlfn.NUMBERVALUE(Table_EH_Pre_Survey_May_20__2023_08_229[[#This Row],[Duration (in seconds) - Duration (in seconds)2]])</f>
        <v>120</v>
      </c>
      <c r="L103">
        <v>120</v>
      </c>
      <c r="M103" t="s">
        <v>821</v>
      </c>
      <c r="N103" t="s">
        <v>905</v>
      </c>
      <c r="O103" t="str">
        <f>VLOOKUP(Table_EH_Pre_Survey_May_20__2023_08_229[[#This Row],[LocationLatitude - Location Latitude]], 'Post-Survey Full Set'!Q:AU, 1, 0)</f>
        <v/>
      </c>
      <c r="P103" t="str">
        <f>VLOOKUP(Table_EH_Pre_Survey_May_20__2023_08_229[[#This Row],[LocationLongitude - Location Longitude]], 'Post-Survey Full Set'!S:AV, 1, 0)</f>
        <v/>
      </c>
      <c r="Q103" t="s">
        <v>906</v>
      </c>
      <c r="R103" t="s">
        <v>111</v>
      </c>
      <c r="S103" t="s">
        <v>111</v>
      </c>
      <c r="T103" t="s">
        <v>111</v>
      </c>
      <c r="U103" t="s">
        <v>111</v>
      </c>
      <c r="V103" t="s">
        <v>111</v>
      </c>
      <c r="W103" t="str">
        <f>IF(COUNTIF($V$2:$V$103, Table_EH_Pre_Survey_May_20__2023_08_229[[#This Row],[LocationLatitude - Location Latitude]])=1, "Unique", "")</f>
        <v/>
      </c>
      <c r="X103" t="str">
        <f>VLOOKUP(Table_EH_Pre_Survey_May_20__2023_08_229[[#This Row],[LocationLatitude - Location Latitude]], 'Post-Survey Full Set'!Q:AU, 2, 0)</f>
        <v>Unique</v>
      </c>
      <c r="Y103" t="s">
        <v>111</v>
      </c>
      <c r="Z103" t="e">
        <f>VLOOKUP(Table_EH_Pre_Survey_May_20__2023_08_229[[#This Row],[ResponseId - Response ID]], 'Post-Survey Full Set'!L:AU, 1, 0)</f>
        <v>#N/A</v>
      </c>
      <c r="AA103" t="s">
        <v>487</v>
      </c>
      <c r="AB103" t="s">
        <v>117</v>
      </c>
      <c r="AC103" s="35" t="s">
        <v>111</v>
      </c>
      <c r="AE103" t="str">
        <f>IF(ISTEXT(Table_EH_Pre_Survey_May_20__2023_08_229[[#This Row],[Post-Survey NetID''s]]) = TRUE, "Match", "")</f>
        <v/>
      </c>
      <c r="AF103" t="str">
        <f>IF(Table_EH_Pre_Survey_May_20__2023_08_229[[#This Row],[NetID Match]]= "Match", Table_EH_Pre_Survey_May_20__2023_08_229[[#This Row],[Q1 - NetID]], IF(ISTEXT(Table_EH_Pre_Survey_May_20__2023_08_229[[#This Row],[IP Address Match]]) = TRUE, Table_EH_Pre_Survey_May_20__2023_08_229[[#This Row],[IP Address Match]], ""))</f>
        <v/>
      </c>
      <c r="AG103" t="str">
        <f>IF(Table_EH_Pre_Survey_May_20__2023_08_229[[#This Row],[NetID Match]] = "Match",  "Match", IF(ISTEXT(Table_EH_Pre_Survey_May_20__2023_08_229[[#This Row],[IP Address Match]]) = TRUE, "Match", ""))</f>
        <v/>
      </c>
      <c r="AH103">
        <v>4</v>
      </c>
      <c r="AI103" s="8">
        <f>IF(ISTEXT(VLOOKUP(Table_EH_Pre_Survey_May_20__2023_08_229[[#This Row],[Unique Identifier]], 'Post-Survey Full Set'!$D$1:$AU$72, 1, 0)), VLOOKUP(Table_EH_Pre_Survey_May_20__2023_08_229[[#This Row],[Unique Identifier]], 'Post-Survey Full Set'!$D$1:$AU$72, 20, 0), VLOOKUP(Table_EH_Pre_Survey_May_20__2023_08_229[[#This Row],[Unique Identifier]], 'Post-Survey Full Set'!$V$1:$AU$72, 2, 0))</f>
        <v>3</v>
      </c>
      <c r="AJ103">
        <v>5</v>
      </c>
      <c r="AK103" s="4">
        <f>IF(ISTEXT(VLOOKUP(Table_EH_Pre_Survey_May_20__2023_08_229[[#This Row],[Unique Identifier]], 'Post-Survey Full Set'!$D$1:$AU$72, 1, 0)), VLOOKUP(Table_EH_Pre_Survey_May_20__2023_08_229[[#This Row],[Unique Identifier]], 'Post-Survey Full Set'!$D$1:$AU$72, 21, 0), VLOOKUP(Table_EH_Pre_Survey_May_20__2023_08_229[[#This Row],[Unique Identifier]], 'Post-Survey Full Set'!$V$1:$AU$72, 3, 0))</f>
        <v>4</v>
      </c>
      <c r="AL103">
        <v>5</v>
      </c>
      <c r="AM103" s="4">
        <f>IF(ISTEXT(VLOOKUP(Table_EH_Pre_Survey_May_20__2023_08_229[[#This Row],[Unique Identifier]], 'Post-Survey Full Set'!$D$1:$AU$72, 1, 0)), VLOOKUP(Table_EH_Pre_Survey_May_20__2023_08_229[[#This Row],[Unique Identifier]], 'Post-Survey Full Set'!$D$1:$AU$72, 22, 0), VLOOKUP(Table_EH_Pre_Survey_May_20__2023_08_229[[#This Row],[Unique Identifier]], 'Post-Survey Full Set'!$V$1:$AU$72, 4, 0))</f>
        <v>4</v>
      </c>
      <c r="AN103">
        <v>5</v>
      </c>
      <c r="AO103" s="4">
        <f>IF(ISTEXT(VLOOKUP(Table_EH_Pre_Survey_May_20__2023_08_229[[#This Row],[Unique Identifier]], 'Post-Survey Full Set'!$D$1:$AU$72, 1, 0)), VLOOKUP(Table_EH_Pre_Survey_May_20__2023_08_229[[#This Row],[Unique Identifier]], 'Post-Survey Full Set'!$D$1:$AU$72, 23, 0), VLOOKUP(Table_EH_Pre_Survey_May_20__2023_08_229[[#This Row],[Unique Identifier]], 'Post-Survey Full Set'!$V$1:$AU$72, 5, 0))</f>
        <v>4</v>
      </c>
      <c r="AP103">
        <v>5</v>
      </c>
      <c r="AQ103" s="4">
        <f>IF(ISTEXT(VLOOKUP(Table_EH_Pre_Survey_May_20__2023_08_229[[#This Row],[Unique Identifier]], 'Post-Survey Full Set'!$D$1:$AU$72, 1, 0)), VLOOKUP(Table_EH_Pre_Survey_May_20__2023_08_229[[#This Row],[Unique Identifier]], 'Post-Survey Full Set'!$D$1:$AU$72, 24, 0), VLOOKUP(Table_EH_Pre_Survey_May_20__2023_08_229[[#This Row],[Unique Identifier]], 'Post-Survey Full Set'!$V$1:$AU$72, 6, 0))</f>
        <v>4</v>
      </c>
      <c r="AR103">
        <v>5</v>
      </c>
      <c r="AS103" s="4">
        <f>IF(ISTEXT(VLOOKUP(Table_EH_Pre_Survey_May_20__2023_08_229[[#This Row],[Unique Identifier]], 'Post-Survey Full Set'!$D$1:$AU$72, 1, 0)), VLOOKUP(Table_EH_Pre_Survey_May_20__2023_08_229[[#This Row],[Unique Identifier]], 'Post-Survey Full Set'!$D$1:$AU$72, 25, 0), VLOOKUP(Table_EH_Pre_Survey_May_20__2023_08_229[[#This Row],[Unique Identifier]], 'Post-Survey Full Set'!$V$1:$AU$72, 7, 0))</f>
        <v>5</v>
      </c>
      <c r="AT103">
        <v>5</v>
      </c>
      <c r="AU103" s="4">
        <f>IF(ISTEXT(VLOOKUP(Table_EH_Pre_Survey_May_20__2023_08_229[[#This Row],[Unique Identifier]], 'Post-Survey Full Set'!$D$1:$AU$72, 1, 0)), VLOOKUP(Table_EH_Pre_Survey_May_20__2023_08_229[[#This Row],[Unique Identifier]], 'Post-Survey Full Set'!$D$1:$AU$72, 26, 0), VLOOKUP(Table_EH_Pre_Survey_May_20__2023_08_229[[#This Row],[Unique Identifier]], 'Post-Survey Full Set'!$V$1:$AU$72, 8, 0))</f>
        <v>4</v>
      </c>
      <c r="AV103">
        <v>3</v>
      </c>
      <c r="AW103" s="4">
        <f>IF(ISTEXT(VLOOKUP(Table_EH_Pre_Survey_May_20__2023_08_229[[#This Row],[Unique Identifier]], 'Post-Survey Full Set'!$D$1:$AU$72, 1, 0)), VLOOKUP(Table_EH_Pre_Survey_May_20__2023_08_229[[#This Row],[Unique Identifier]], 'Post-Survey Full Set'!$D$1:$AU$72, 27, 0), VLOOKUP(Table_EH_Pre_Survey_May_20__2023_08_229[[#This Row],[Unique Identifier]], 'Post-Survey Full Set'!$V$1:$AU$72, 9, 0))</f>
        <v>4</v>
      </c>
      <c r="AX103">
        <v>5</v>
      </c>
      <c r="AY103" s="2"/>
      <c r="AZ103" s="2">
        <f>IF(ISTEXT(VLOOKUP(Table_EH_Pre_Survey_May_20__2023_08_229[[#This Row],[Unique Identifier]], 'Post-Survey Full Set'!$D$1:$AU$72, 1, 0)), VLOOKUP(Table_EH_Pre_Survey_May_20__2023_08_229[[#This Row],[Unique Identifier]], 'Post-Survey Full Set'!$D$1:$AU$72, 28, 0), VLOOKUP(Table_EH_Pre_Survey_May_20__2023_08_229[[#This Row],[Unique Identifier]], 'Post-Survey Full Set'!$V$1:$AU$72, 10, 0))</f>
        <v>4</v>
      </c>
      <c r="BA103" s="2">
        <f>IF(ISTEXT(VLOOKUP(Table_EH_Pre_Survey_May_20__2023_08_229[[#This Row],[Unique Identifier]], 'Post-Survey Full Set'!$D$1:$AU$72, 1, 0)), VLOOKUP(Table_EH_Pre_Survey_May_20__2023_08_229[[#This Row],[Unique Identifier]], 'Post-Survey Full Set'!$D$1:$AU$72, 29, 0), VLOOKUP(Table_EH_Pre_Survey_May_20__2023_08_229[[#This Row],[Unique Identifier]], 'Post-Survey Full Set'!$V$1:$AU$72, 11, 0))</f>
        <v>0</v>
      </c>
      <c r="BB103" t="s">
        <v>154</v>
      </c>
      <c r="BC103" t="s">
        <v>111</v>
      </c>
      <c r="BD103" t="str">
        <f>IF(ISTEXT(VLOOKUP(Table_EH_Pre_Survey_May_20__2023_08_229[[#This Row],[Unique Identifier]], 'Post-Survey Full Set'!$D$1:$AU$72, 1, 0)), VLOOKUP(Table_EH_Pre_Survey_May_20__2023_08_229[[#This Row],[Unique Identifier]], 'Post-Survey Full Set'!$D$1:$AU$72, 30, 0), VLOOKUP(Table_EH_Pre_Survey_May_20__2023_08_229[[#This Row],[Unique Identifier]], 'Post-Survey Full Set'!$V$1:$AU$72, 12, 0))</f>
        <v>PM &lt; 0.25 μm</v>
      </c>
      <c r="BE103">
        <f>IF(ISTEXT(VLOOKUP(Table_EH_Pre_Survey_May_20__2023_08_229[[#This Row],[Unique Identifier]], 'Post-Survey Full Set'!$D$1:$AU$72, 1, 0)), VLOOKUP(Table_EH_Pre_Survey_May_20__2023_08_229[[#This Row],[Unique Identifier]], 'Post-Survey Full Set'!$D$1:$AU$72, 31, 0), VLOOKUP(Table_EH_Pre_Survey_May_20__2023_08_229[[#This Row],[Unique Identifier]], 'Post-Survey Full Set'!$V$1:$AU$72, 13, 0))</f>
        <v>0</v>
      </c>
      <c r="BF103" t="s">
        <v>111</v>
      </c>
      <c r="BG103" t="s">
        <v>111</v>
      </c>
      <c r="BH103" t="str">
        <f>IF(ISTEXT(VLOOKUP(Table_EH_Pre_Survey_May_20__2023_08_229[[#This Row],[Unique Identifier]], 'Post-Survey Full Set'!$D$1:$AU$72, 1, 0)), VLOOKUP(Table_EH_Pre_Survey_May_20__2023_08_229[[#This Row],[Unique Identifier]], 'Post-Survey Full Set'!$D$1:$AU$72, 32, 0), VLOOKUP(Table_EH_Pre_Survey_May_20__2023_08_229[[#This Row],[Unique Identifier]], 'Post-Survey Full Set'!$V$1:$AU$72, 14, 0))</f>
        <v>Particles of this size reach the bronchial tree where they corrode the alveolar parenchyma.</v>
      </c>
      <c r="BI103">
        <f>IF(ISTEXT(VLOOKUP(Table_EH_Pre_Survey_May_20__2023_08_229[[#This Row],[Unique Identifier]], 'Post-Survey Full Set'!$D$1:$AU$72, 1, 0)), VLOOKUP(Table_EH_Pre_Survey_May_20__2023_08_229[[#This Row],[Unique Identifier]], 'Post-Survey Full Set'!$D$1:$AU$72, 33, 0), VLOOKUP(Table_EH_Pre_Survey_May_20__2023_08_229[[#This Row],[Unique Identifier]], 'Post-Survey Full Set'!$V$1:$AU$72, 15, 0))</f>
        <v>0</v>
      </c>
      <c r="BJ103" t="s">
        <v>111</v>
      </c>
      <c r="BK103" t="s">
        <v>111</v>
      </c>
      <c r="BL103" t="str">
        <f>IF(ISTEXT(VLOOKUP(Table_EH_Pre_Survey_May_20__2023_08_229[[#This Row],[Unique Identifier]], 'Post-Survey Full Set'!$D$1:$AU$72, 1, 0)), VLOOKUP(Table_EH_Pre_Survey_May_20__2023_08_229[[#This Row],[Unique Identifier]], 'Post-Survey Full Set'!$D$1:$AU$72, 34, 0), VLOOKUP(Table_EH_Pre_Survey_May_20__2023_08_229[[#This Row],[Unique Identifier]], 'Post-Survey Full Set'!$V$1:$AU$72, 16, 0))</f>
        <v>Cars,Dirt Roads,Electric Vehicles,Fireplaces,Trucks</v>
      </c>
      <c r="BM103">
        <f>IF(ISTEXT(VLOOKUP(Table_EH_Pre_Survey_May_20__2023_08_229[[#This Row],[Unique Identifier]], 'Post-Survey Full Set'!$D$1:$AU$72, 1, 0)), VLOOKUP(Table_EH_Pre_Survey_May_20__2023_08_229[[#This Row],[Unique Identifier]], 'Post-Survey Full Set'!$D$1:$AU$72, 35, 0), VLOOKUP(Table_EH_Pre_Survey_May_20__2023_08_229[[#This Row],[Unique Identifier]], 'Post-Survey Full Set'!$V$1:$AU$72, 17, 0))</f>
        <v>3</v>
      </c>
      <c r="BN103" t="s">
        <v>111</v>
      </c>
      <c r="BO103">
        <f>IF(ISTEXT(VLOOKUP(Table_EH_Pre_Survey_May_20__2023_08_229[[#This Row],[Unique Identifier]], 'Post-Survey Full Set'!$D$1:$AU$72, 1, 0)), VLOOKUP(Table_EH_Pre_Survey_May_20__2023_08_229[[#This Row],[Unique Identifier]], 'Post-Survey Full Set'!$D$1:$AU$72, 36, 0), VLOOKUP(Table_EH_Pre_Survey_May_20__2023_08_229[[#This Row],[Unique Identifier]], 'Post-Survey Full Set'!$V$1:$AU$72, 18, 0))</f>
        <v>5</v>
      </c>
      <c r="BP103" t="s">
        <v>111</v>
      </c>
      <c r="BQ103">
        <f>IF(ISTEXT(VLOOKUP(Table_EH_Pre_Survey_May_20__2023_08_229[[#This Row],[Unique Identifier]], 'Post-Survey Full Set'!$D$1:$AU$72, 1, 0)), VLOOKUP(Table_EH_Pre_Survey_May_20__2023_08_229[[#This Row],[Unique Identifier]], 'Post-Survey Full Set'!$D$1:$AU$72, 37, 0), VLOOKUP(Table_EH_Pre_Survey_May_20__2023_08_229[[#This Row],[Unique Identifier]], 'Post-Survey Full Set'!$V$1:$AU$72, 19, 0))</f>
        <v>5</v>
      </c>
      <c r="BR103" t="s">
        <v>111</v>
      </c>
      <c r="BS103">
        <f>IF(ISTEXT(VLOOKUP(Table_EH_Pre_Survey_May_20__2023_08_229[[#This Row],[Unique Identifier]], 'Post-Survey Full Set'!$D$1:$AU$72, 1, 0)), VLOOKUP(Table_EH_Pre_Survey_May_20__2023_08_229[[#This Row],[Unique Identifier]], 'Post-Survey Full Set'!$D$1:$AU$72, 38, 0), VLOOKUP(Table_EH_Pre_Survey_May_20__2023_08_229[[#This Row],[Unique Identifier]], 'Post-Survey Full Set'!$V$1:$AU$72, 20, 0))</f>
        <v>5</v>
      </c>
      <c r="BT103" t="s">
        <v>111</v>
      </c>
      <c r="BU103">
        <f>IF(ISTEXT(VLOOKUP(Table_EH_Pre_Survey_May_20__2023_08_229[[#This Row],[Unique Identifier]], 'Post-Survey Full Set'!$D$1:$AU$72, 1, 0)), VLOOKUP(Table_EH_Pre_Survey_May_20__2023_08_229[[#This Row],[Unique Identifier]], 'Post-Survey Full Set'!$D$1:$AU$72, 39, 0), VLOOKUP(Table_EH_Pre_Survey_May_20__2023_08_229[[#This Row],[Unique Identifier]], 'Post-Survey Full Set'!$V$1:$AU$72, 21, 0))</f>
        <v>5</v>
      </c>
      <c r="BW103">
        <f>IF(ISTEXT(VLOOKUP(Table_EH_Pre_Survey_May_20__2023_08_229[[#This Row],[Unique Identifier]], 'Post-Survey Full Set'!$D$1:$AU$72, 1, 0)), VLOOKUP(Table_EH_Pre_Survey_May_20__2023_08_229[[#This Row],[Unique Identifier]], 'Post-Survey Full Set'!$D$1:$AU$72, 40, 0), VLOOKUP(Table_EH_Pre_Survey_May_20__2023_08_229[[#This Row],[Unique Identifier]], 'Post-Survey Full Set'!$V$1:$AU$72, 22, 0))</f>
        <v>5</v>
      </c>
      <c r="BY103">
        <f>IF(ISTEXT(VLOOKUP(Table_EH_Pre_Survey_May_20__2023_08_229[[#This Row],[Unique Identifier]], 'Post-Survey Full Set'!$D$1:$AU$72, 1, 0)), VLOOKUP(Table_EH_Pre_Survey_May_20__2023_08_229[[#This Row],[Unique Identifier]], 'Post-Survey Full Set'!$D$1:$AU$72, 41, 0), VLOOKUP(Table_EH_Pre_Survey_May_20__2023_08_229[[#This Row],[Unique Identifier]], 'Post-Survey Full Set'!$V$1:$AU$72, 23, 0))</f>
        <v>5</v>
      </c>
      <c r="CA103">
        <f>IF(ISTEXT(VLOOKUP(Table_EH_Pre_Survey_May_20__2023_08_229[[#This Row],[Unique Identifier]], 'Post-Survey Full Set'!$D$1:$AU$72, 1, 0)), VLOOKUP(Table_EH_Pre_Survey_May_20__2023_08_229[[#This Row],[Unique Identifier]], 'Post-Survey Full Set'!$D$1:$AU$72, 42, 0), VLOOKUP(Table_EH_Pre_Survey_May_20__2023_08_229[[#This Row],[Unique Identifier]], 'Post-Survey Full Set'!$V$1:$AU$72, 24, 0))</f>
        <v>10</v>
      </c>
      <c r="CC103" t="str">
        <f>IF(ISTEXT(VLOOKUP(Table_EH_Pre_Survey_May_20__2023_08_229[[#This Row],[Unique Identifier]], 'Post-Survey Full Set'!$D$1:$AU$72, 1, 0)), VLOOKUP(Table_EH_Pre_Survey_May_20__2023_08_229[[#This Row],[Unique Identifier]], 'Post-Survey Full Set'!$D$1:$AU$72, 43, 0), VLOOKUP(Table_EH_Pre_Survey_May_20__2023_08_229[[#This Row],[Unique Identifier]], 'Post-Survey Full Set'!$V$1:$AU$72, 25, 0))</f>
        <v/>
      </c>
    </row>
    <row r="104" spans="1:83" x14ac:dyDescent="0.25">
      <c r="J104" t="s">
        <v>1315</v>
      </c>
      <c r="K104" s="5">
        <f t="shared" ref="K104:AC104" si="0">AVERAGE(K2:K99)</f>
        <v>1035.6020408163265</v>
      </c>
      <c r="L104" s="5">
        <f t="shared" si="0"/>
        <v>126</v>
      </c>
      <c r="M104" s="5" t="e">
        <f t="shared" si="0"/>
        <v>#DIV/0!</v>
      </c>
      <c r="N104" s="5" t="e">
        <f t="shared" si="0"/>
        <v>#DIV/0!</v>
      </c>
      <c r="O104" s="5"/>
      <c r="P104" s="5"/>
      <c r="Q104" s="5" t="e">
        <f t="shared" si="0"/>
        <v>#DIV/0!</v>
      </c>
      <c r="R104" s="5" t="e">
        <f t="shared" si="0"/>
        <v>#DIV/0!</v>
      </c>
      <c r="S104" s="5" t="e">
        <f t="shared" si="0"/>
        <v>#DIV/0!</v>
      </c>
      <c r="T104" s="5" t="e">
        <f t="shared" si="0"/>
        <v>#DIV/0!</v>
      </c>
      <c r="U104" s="5" t="e">
        <f t="shared" si="0"/>
        <v>#DIV/0!</v>
      </c>
      <c r="V104" s="5" t="e">
        <f t="shared" si="0"/>
        <v>#DIV/0!</v>
      </c>
      <c r="W104" s="5"/>
      <c r="X104" s="5"/>
      <c r="Y104" s="5" t="e">
        <f t="shared" si="0"/>
        <v>#DIV/0!</v>
      </c>
      <c r="Z104" s="5"/>
      <c r="AA104" s="5" t="e">
        <f t="shared" si="0"/>
        <v>#DIV/0!</v>
      </c>
      <c r="AB104" s="5" t="e">
        <f t="shared" si="0"/>
        <v>#DIV/0!</v>
      </c>
      <c r="AC104" s="35" t="e">
        <f t="shared" si="0"/>
        <v>#DIV/0!</v>
      </c>
      <c r="AD104" s="5"/>
      <c r="AE104" s="5"/>
      <c r="AF104" s="5"/>
      <c r="AG104" s="5"/>
      <c r="AH104" s="5">
        <f>AVERAGE(AH2:AH103)</f>
        <v>4.1274509803921573</v>
      </c>
      <c r="AI104" s="5">
        <f t="shared" ref="AI104:AQ104" si="1">AVERAGE(AI2:AI103)</f>
        <v>3.6960784313725492</v>
      </c>
      <c r="AJ104" s="5">
        <f t="shared" si="1"/>
        <v>3.7745098039215685</v>
      </c>
      <c r="AK104" s="5">
        <f t="shared" si="1"/>
        <v>4.1568627450980395</v>
      </c>
      <c r="AL104" s="5">
        <f t="shared" si="1"/>
        <v>3.9215686274509802</v>
      </c>
      <c r="AM104" s="5">
        <f t="shared" si="1"/>
        <v>4.0294117647058822</v>
      </c>
      <c r="AN104" s="5">
        <f t="shared" si="1"/>
        <v>4.4215686274509807</v>
      </c>
      <c r="AO104" s="5">
        <f t="shared" si="1"/>
        <v>4.2450980392156863</v>
      </c>
      <c r="AP104" s="5">
        <f t="shared" si="1"/>
        <v>3.0594059405940595</v>
      </c>
      <c r="AQ104" s="5">
        <f t="shared" si="1"/>
        <v>3.7647058823529411</v>
      </c>
      <c r="AR104" s="5">
        <f t="shared" ref="AR104:BA104" si="2">AVERAGE(AR2:AR103)</f>
        <v>3.58</v>
      </c>
      <c r="AS104" s="5">
        <f t="shared" si="2"/>
        <v>4.4215686274509807</v>
      </c>
      <c r="AT104" s="5">
        <f t="shared" si="2"/>
        <v>4.6078431372549016</v>
      </c>
      <c r="AU104" s="5">
        <f t="shared" si="2"/>
        <v>4.3921568627450984</v>
      </c>
      <c r="AV104" s="5">
        <f t="shared" si="2"/>
        <v>2.804123711340206</v>
      </c>
      <c r="AW104" s="5">
        <f t="shared" si="2"/>
        <v>3.5882352941176472</v>
      </c>
      <c r="AX104" s="5">
        <f t="shared" si="2"/>
        <v>3.495049504950495</v>
      </c>
      <c r="AY104" s="5">
        <f t="shared" si="2"/>
        <v>0.31632653061224492</v>
      </c>
      <c r="AZ104" s="5">
        <f t="shared" si="2"/>
        <v>3.6323529411764706</v>
      </c>
      <c r="BA104" s="5">
        <f t="shared" si="2"/>
        <v>0.28431372549019607</v>
      </c>
      <c r="BB104" s="5"/>
      <c r="BC104" s="5">
        <f>AVERAGE(BC2:BC103)</f>
        <v>0.18367346938775511</v>
      </c>
      <c r="BD104" s="5"/>
      <c r="BE104" s="5">
        <f>AVERAGE(BE2:BE103)</f>
        <v>0.30392156862745096</v>
      </c>
      <c r="BF104" s="5"/>
      <c r="BG104" s="5">
        <f>AVERAGE(BG2:BG103)</f>
        <v>0.2857142857142857</v>
      </c>
      <c r="BH104" s="5"/>
      <c r="BI104" s="5">
        <f>AVERAGE(BI2:BI103)</f>
        <v>0.25490196078431371</v>
      </c>
      <c r="BJ104" s="5"/>
      <c r="BK104" s="5">
        <f>AVERAGE(BK2:BK103)</f>
        <v>2.1122448979591835</v>
      </c>
      <c r="BL104" s="5"/>
      <c r="BM104" s="5">
        <f t="shared" ref="BM104:CA104" si="3">AVERAGE(BM2:BM103)</f>
        <v>2.7450980392156863</v>
      </c>
      <c r="BN104" s="5">
        <f t="shared" si="3"/>
        <v>3.2371134020618557</v>
      </c>
      <c r="BO104" s="5">
        <f t="shared" si="3"/>
        <v>4.5392156862745097</v>
      </c>
      <c r="BP104" s="5">
        <f t="shared" si="3"/>
        <v>2.6736842105263157</v>
      </c>
      <c r="BQ104" s="5">
        <f t="shared" si="3"/>
        <v>4.4215686274509807</v>
      </c>
      <c r="BR104" s="5">
        <f t="shared" si="3"/>
        <v>3.1894736842105265</v>
      </c>
      <c r="BS104" s="5">
        <f t="shared" si="3"/>
        <v>4.4705882352941178</v>
      </c>
      <c r="BT104" s="5">
        <f t="shared" si="3"/>
        <v>2.7311827956989245</v>
      </c>
      <c r="BU104" s="5">
        <f t="shared" si="3"/>
        <v>4.2941176470588234</v>
      </c>
      <c r="BV104" s="5">
        <f t="shared" si="3"/>
        <v>3.59375</v>
      </c>
      <c r="BW104" s="5">
        <f t="shared" si="3"/>
        <v>4.5686274509803919</v>
      </c>
      <c r="BX104" s="5">
        <f t="shared" si="3"/>
        <v>3.6631578947368419</v>
      </c>
      <c r="BY104" s="5">
        <f t="shared" si="3"/>
        <v>4.715686274509804</v>
      </c>
      <c r="BZ104" s="5">
        <f t="shared" si="3"/>
        <v>7.3061224489795915</v>
      </c>
      <c r="CA104" s="5">
        <f t="shared" si="3"/>
        <v>9.4509803921568629</v>
      </c>
      <c r="CB104" s="5"/>
      <c r="CC104" s="5">
        <f>AVERAGE(CC2:CC103)</f>
        <v>0</v>
      </c>
      <c r="CD104" s="9"/>
    </row>
    <row r="105" spans="1:83" x14ac:dyDescent="0.25">
      <c r="J105" t="s">
        <v>1316</v>
      </c>
      <c r="K105" s="2">
        <f>TRIMMEAN(K2:K99, 0.1)</f>
        <v>211.88888888888889</v>
      </c>
      <c r="AH105" s="8">
        <f>COUNT(AH2:AH103)</f>
        <v>102</v>
      </c>
      <c r="AI105" s="8">
        <f t="shared" ref="AI105:CC105" si="4">COUNT(AI2:AI103)</f>
        <v>102</v>
      </c>
      <c r="AJ105" s="8">
        <f t="shared" si="4"/>
        <v>102</v>
      </c>
      <c r="AK105" s="8">
        <f t="shared" si="4"/>
        <v>102</v>
      </c>
      <c r="AL105" s="8">
        <f t="shared" si="4"/>
        <v>102</v>
      </c>
      <c r="AM105" s="8">
        <f t="shared" si="4"/>
        <v>102</v>
      </c>
      <c r="AN105" s="8">
        <f t="shared" si="4"/>
        <v>102</v>
      </c>
      <c r="AO105" s="8">
        <f t="shared" si="4"/>
        <v>102</v>
      </c>
      <c r="AP105" s="8">
        <f t="shared" si="4"/>
        <v>101</v>
      </c>
      <c r="AQ105" s="8">
        <f t="shared" si="4"/>
        <v>102</v>
      </c>
      <c r="AR105" s="8">
        <f t="shared" si="4"/>
        <v>100</v>
      </c>
      <c r="AS105" s="8">
        <f t="shared" si="4"/>
        <v>102</v>
      </c>
      <c r="AT105" s="8">
        <f t="shared" si="4"/>
        <v>102</v>
      </c>
      <c r="AU105" s="8">
        <f t="shared" si="4"/>
        <v>102</v>
      </c>
      <c r="AV105" s="8">
        <f t="shared" si="4"/>
        <v>97</v>
      </c>
      <c r="AW105" s="8">
        <f t="shared" si="4"/>
        <v>102</v>
      </c>
      <c r="AX105" s="8">
        <f t="shared" si="4"/>
        <v>101</v>
      </c>
      <c r="AY105" s="8">
        <f t="shared" si="4"/>
        <v>98</v>
      </c>
      <c r="AZ105" s="8">
        <f t="shared" si="4"/>
        <v>102</v>
      </c>
      <c r="BA105" s="8">
        <f t="shared" si="4"/>
        <v>102</v>
      </c>
      <c r="BB105" s="8">
        <f t="shared" si="4"/>
        <v>0</v>
      </c>
      <c r="BC105" s="8">
        <f t="shared" si="4"/>
        <v>98</v>
      </c>
      <c r="BD105" s="8">
        <f t="shared" si="4"/>
        <v>0</v>
      </c>
      <c r="BE105" s="8">
        <f t="shared" si="4"/>
        <v>102</v>
      </c>
      <c r="BF105" s="8">
        <f t="shared" si="4"/>
        <v>0</v>
      </c>
      <c r="BG105" s="8">
        <f t="shared" si="4"/>
        <v>98</v>
      </c>
      <c r="BH105" s="8">
        <f t="shared" si="4"/>
        <v>0</v>
      </c>
      <c r="BI105" s="8">
        <f t="shared" si="4"/>
        <v>102</v>
      </c>
      <c r="BJ105" s="8">
        <f t="shared" si="4"/>
        <v>0</v>
      </c>
      <c r="BK105" s="8">
        <f t="shared" si="4"/>
        <v>98</v>
      </c>
      <c r="BL105" s="8">
        <f t="shared" si="4"/>
        <v>0</v>
      </c>
      <c r="BM105" s="8">
        <f t="shared" si="4"/>
        <v>102</v>
      </c>
      <c r="BN105" s="8">
        <f t="shared" si="4"/>
        <v>97</v>
      </c>
      <c r="BO105" s="8">
        <f t="shared" si="4"/>
        <v>102</v>
      </c>
      <c r="BP105" s="8">
        <f t="shared" si="4"/>
        <v>95</v>
      </c>
      <c r="BQ105" s="8">
        <f t="shared" si="4"/>
        <v>102</v>
      </c>
      <c r="BR105" s="8">
        <f t="shared" si="4"/>
        <v>95</v>
      </c>
      <c r="BS105" s="8">
        <f t="shared" si="4"/>
        <v>102</v>
      </c>
      <c r="BT105" s="8">
        <f t="shared" si="4"/>
        <v>93</v>
      </c>
      <c r="BU105" s="8">
        <f t="shared" si="4"/>
        <v>102</v>
      </c>
      <c r="BV105" s="8">
        <f t="shared" si="4"/>
        <v>96</v>
      </c>
      <c r="BW105" s="8">
        <f t="shared" si="4"/>
        <v>102</v>
      </c>
      <c r="BX105" s="8">
        <f t="shared" si="4"/>
        <v>95</v>
      </c>
      <c r="BY105" s="8">
        <f t="shared" si="4"/>
        <v>102</v>
      </c>
      <c r="BZ105" s="8">
        <f t="shared" si="4"/>
        <v>98</v>
      </c>
      <c r="CA105" s="8">
        <f t="shared" si="4"/>
        <v>102</v>
      </c>
      <c r="CB105" s="8">
        <f t="shared" si="4"/>
        <v>0</v>
      </c>
      <c r="CC105" s="8">
        <f t="shared" si="4"/>
        <v>1</v>
      </c>
      <c r="CD105" s="8">
        <f>COUNT(CC2:CC99)</f>
        <v>1</v>
      </c>
      <c r="CE105" s="8"/>
    </row>
    <row r="106" spans="1:83" x14ac:dyDescent="0.25">
      <c r="K106" t="s">
        <v>1399</v>
      </c>
      <c r="AH106" s="10"/>
      <c r="AI106" s="10"/>
    </row>
    <row r="107" spans="1:83" x14ac:dyDescent="0.25">
      <c r="K107">
        <f>_xlfn.STDEV.P(K2:K99)</f>
        <v>6898.2631631562954</v>
      </c>
      <c r="AH107" s="6" t="e" cm="1">
        <f t="array" ref="AH107">std</f>
        <v>#NAME?</v>
      </c>
    </row>
    <row r="108" spans="1:83" x14ac:dyDescent="0.25">
      <c r="J108" s="5">
        <f>Table_EH_Pre_Survey_May_20__2023_08_229[[#Totals],[Duration (in seconds) - Duration (in seconds)]]-K107</f>
        <v>-5862.6611223399686</v>
      </c>
      <c r="K108" s="5">
        <f>Table_EH_Pre_Survey_May_20__2023_08_229[[#Totals],[Duration (in seconds) - Duration (in seconds)]]+K107</f>
        <v>7933.8652039726221</v>
      </c>
    </row>
    <row r="109" spans="1:83" x14ac:dyDescent="0.25">
      <c r="F109" t="s">
        <v>1435</v>
      </c>
      <c r="K109">
        <f>COUNTIF(K2:K99, "&lt; 7978")</f>
        <v>97</v>
      </c>
      <c r="V109" t="s">
        <v>1443</v>
      </c>
    </row>
    <row r="110" spans="1:83" x14ac:dyDescent="0.25">
      <c r="CD110">
        <f>59/98</f>
        <v>0.60204081632653061</v>
      </c>
    </row>
    <row r="111" spans="1:83" x14ac:dyDescent="0.25">
      <c r="K111">
        <f>AVERAGE(K79:K98,K99,K2:K77)</f>
        <v>1044.7938144329896</v>
      </c>
      <c r="AL111">
        <f>50/300</f>
        <v>0.16666666666666666</v>
      </c>
      <c r="CD111">
        <f>37/67</f>
        <v>0.55223880597014929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8BC80-EC28-457C-905E-D98AC944AE4E}">
  <dimension ref="A1:AS172"/>
  <sheetViews>
    <sheetView topLeftCell="E1" zoomScale="80" zoomScaleNormal="80" workbookViewId="0">
      <selection activeCell="AR3" sqref="AR3"/>
    </sheetView>
  </sheetViews>
  <sheetFormatPr defaultColWidth="10.625" defaultRowHeight="15.75" x14ac:dyDescent="0.25"/>
  <cols>
    <col min="1" max="1" width="50.375" hidden="1" customWidth="1"/>
    <col min="2" max="2" width="49.5" hidden="1" customWidth="1"/>
    <col min="3" max="3" width="18.5" hidden="1" customWidth="1"/>
    <col min="4" max="4" width="21.625" hidden="1" customWidth="1"/>
    <col min="5" max="5" width="21.625" customWidth="1"/>
    <col min="6" max="7" width="20.5" hidden="1" customWidth="1"/>
    <col min="8" max="8" width="22.5" hidden="1" customWidth="1"/>
    <col min="9" max="9" width="20" hidden="1" customWidth="1"/>
    <col min="10" max="10" width="53.875" hidden="1" customWidth="1"/>
    <col min="11" max="11" width="22" hidden="1" customWidth="1"/>
    <col min="12" max="12" width="29.375" hidden="1" customWidth="1"/>
    <col min="13" max="13" width="29.625" hidden="1" customWidth="1"/>
    <col min="14" max="14" width="25.5" hidden="1" customWidth="1"/>
    <col min="15" max="15" width="32.875" hidden="1" customWidth="1"/>
    <col min="16" max="16" width="27" hidden="1" customWidth="1"/>
    <col min="17" max="17" width="28.375" hidden="1" customWidth="1"/>
    <col min="18" max="18" width="29.625" hidden="1" customWidth="1"/>
    <col min="19" max="19" width="25" hidden="1" customWidth="1"/>
    <col min="20" max="20" width="22.625" customWidth="1"/>
    <col min="21" max="21" width="20.875" bestFit="1" customWidth="1"/>
    <col min="22" max="22" width="8.375" customWidth="1"/>
    <col min="23" max="23" width="8.875" customWidth="1"/>
    <col min="24" max="25" width="7.375" customWidth="1"/>
    <col min="26" max="26" width="7.25" customWidth="1"/>
    <col min="27" max="27" width="8" customWidth="1"/>
    <col min="28" max="28" width="9.125" customWidth="1"/>
    <col min="29" max="29" width="7.625" customWidth="1"/>
    <col min="30" max="30" width="11.875" customWidth="1"/>
    <col min="31" max="31" width="12.625" customWidth="1"/>
    <col min="32" max="32" width="12.375" customWidth="1"/>
    <col min="33" max="33" width="24.75" customWidth="1"/>
    <col min="34" max="34" width="12.875" customWidth="1"/>
    <col min="35" max="35" width="20.75" customWidth="1"/>
    <col min="36" max="36" width="12.75" customWidth="1"/>
    <col min="37" max="37" width="7.375" customWidth="1"/>
    <col min="38" max="38" width="9.625" customWidth="1"/>
    <col min="39" max="39" width="9.375" customWidth="1"/>
    <col min="40" max="40" width="8.125" customWidth="1"/>
    <col min="41" max="41" width="7.125" customWidth="1"/>
    <col min="42" max="43" width="7.625" customWidth="1"/>
    <col min="44" max="45" width="20.875" customWidth="1"/>
  </cols>
  <sheetData>
    <row r="1" spans="1:44" ht="33.6" customHeight="1" x14ac:dyDescent="0.25">
      <c r="A1" t="s">
        <v>913</v>
      </c>
      <c r="B1" t="s">
        <v>914</v>
      </c>
      <c r="C1" t="s">
        <v>915</v>
      </c>
      <c r="D1" t="s">
        <v>916</v>
      </c>
      <c r="E1" t="s">
        <v>314</v>
      </c>
      <c r="F1" t="s">
        <v>917</v>
      </c>
      <c r="G1" t="s">
        <v>918</v>
      </c>
      <c r="H1" t="s">
        <v>1313</v>
      </c>
      <c r="I1" t="s">
        <v>919</v>
      </c>
      <c r="J1" t="s">
        <v>920</v>
      </c>
      <c r="K1" t="s">
        <v>921</v>
      </c>
      <c r="L1" t="s">
        <v>922</v>
      </c>
      <c r="M1" t="s">
        <v>923</v>
      </c>
      <c r="N1" t="s">
        <v>924</v>
      </c>
      <c r="O1" t="s">
        <v>925</v>
      </c>
      <c r="P1" t="s">
        <v>926</v>
      </c>
      <c r="Q1" t="s">
        <v>927</v>
      </c>
      <c r="R1" t="s">
        <v>928</v>
      </c>
      <c r="S1" t="s">
        <v>929</v>
      </c>
      <c r="T1" t="s">
        <v>930</v>
      </c>
      <c r="U1" t="s">
        <v>1364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1390</v>
      </c>
      <c r="AE1" t="s">
        <v>1366</v>
      </c>
      <c r="AF1" t="s">
        <v>1381</v>
      </c>
      <c r="AG1" t="s">
        <v>29</v>
      </c>
      <c r="AH1" t="s">
        <v>1382</v>
      </c>
      <c r="AI1" t="s">
        <v>30</v>
      </c>
      <c r="AJ1" t="s">
        <v>1380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</row>
    <row r="2" spans="1:44" ht="15.95" hidden="1" customHeight="1" x14ac:dyDescent="0.25">
      <c r="A2" t="s">
        <v>73</v>
      </c>
      <c r="B2" t="s">
        <v>74</v>
      </c>
      <c r="C2" t="s">
        <v>75</v>
      </c>
      <c r="D2" t="s">
        <v>76</v>
      </c>
      <c r="F2" t="s">
        <v>77</v>
      </c>
      <c r="G2" t="e">
        <f>_xlfn.NUMBERVALUE(#REF!)</f>
        <v>#VALUE!</v>
      </c>
      <c r="H2" t="s">
        <v>78</v>
      </c>
      <c r="I2" t="s">
        <v>79</v>
      </c>
      <c r="J2" t="s">
        <v>80</v>
      </c>
      <c r="K2" t="s">
        <v>81</v>
      </c>
      <c r="L2" t="s">
        <v>82</v>
      </c>
      <c r="M2" t="s">
        <v>83</v>
      </c>
      <c r="N2" t="s">
        <v>84</v>
      </c>
      <c r="O2" t="s">
        <v>85</v>
      </c>
      <c r="P2" t="s">
        <v>86</v>
      </c>
      <c r="Q2" t="s">
        <v>87</v>
      </c>
      <c r="R2" t="s">
        <v>88</v>
      </c>
      <c r="S2" t="s">
        <v>89</v>
      </c>
      <c r="T2" t="s">
        <v>90</v>
      </c>
      <c r="U2" t="s">
        <v>91</v>
      </c>
      <c r="V2" t="s">
        <v>92</v>
      </c>
      <c r="W2" t="s">
        <v>93</v>
      </c>
      <c r="X2" t="s">
        <v>94</v>
      </c>
      <c r="Y2" t="s">
        <v>95</v>
      </c>
      <c r="Z2" t="s">
        <v>96</v>
      </c>
      <c r="AA2" t="s">
        <v>97</v>
      </c>
      <c r="AB2" t="s">
        <v>98</v>
      </c>
      <c r="AC2" t="s">
        <v>99</v>
      </c>
      <c r="AD2">
        <f>IF(#REF! = 3, 1, IF(#REF! = 2.5, 0.5, IF(#REF! = 3.5, 0.5, 0)))</f>
        <v>0</v>
      </c>
      <c r="AE2" t="s">
        <v>100</v>
      </c>
      <c r="AF2">
        <f>IF(#REF!="PM &lt; 2.5 μm", 1, 0)</f>
        <v>0</v>
      </c>
      <c r="AG2" t="s">
        <v>101</v>
      </c>
      <c r="AH2">
        <f>IF(#REF!="Particles of this size are generally absorbed in the respiratory tract and safely excreted in mucus.", 1, 0)</f>
        <v>0</v>
      </c>
      <c r="AI2" t="s">
        <v>102</v>
      </c>
      <c r="AJ2" t="e">
        <f xml:space="preserve"> SEARCH("Trucks",#REF!)</f>
        <v>#VALUE!</v>
      </c>
      <c r="AK2" t="s">
        <v>103</v>
      </c>
      <c r="AL2" t="s">
        <v>104</v>
      </c>
      <c r="AM2" t="s">
        <v>105</v>
      </c>
      <c r="AN2" t="s">
        <v>106</v>
      </c>
      <c r="AO2" t="s">
        <v>107</v>
      </c>
      <c r="AP2" t="s">
        <v>108</v>
      </c>
      <c r="AQ2" t="s">
        <v>109</v>
      </c>
      <c r="AR2" t="s">
        <v>110</v>
      </c>
    </row>
    <row r="3" spans="1:44" x14ac:dyDescent="0.25">
      <c r="A3" t="s">
        <v>457</v>
      </c>
      <c r="B3" t="s">
        <v>458</v>
      </c>
      <c r="C3" t="s">
        <v>42</v>
      </c>
      <c r="D3" t="s">
        <v>389</v>
      </c>
      <c r="E3">
        <v>1</v>
      </c>
      <c r="F3" t="s">
        <v>112</v>
      </c>
      <c r="G3">
        <f>_xlfn.NUMBERVALUE(#REF!)</f>
        <v>126</v>
      </c>
      <c r="H3">
        <v>126</v>
      </c>
      <c r="I3" t="s">
        <v>114</v>
      </c>
      <c r="J3" t="s">
        <v>459</v>
      </c>
      <c r="K3" t="s">
        <v>460</v>
      </c>
      <c r="L3" t="s">
        <v>111</v>
      </c>
      <c r="M3" t="s">
        <v>111</v>
      </c>
      <c r="N3" t="s">
        <v>111</v>
      </c>
      <c r="O3" t="s">
        <v>111</v>
      </c>
      <c r="P3" t="s">
        <v>392</v>
      </c>
      <c r="Q3" t="s">
        <v>393</v>
      </c>
      <c r="R3" t="s">
        <v>127</v>
      </c>
      <c r="S3" t="s">
        <v>117</v>
      </c>
      <c r="T3" t="s">
        <v>461</v>
      </c>
      <c r="U3">
        <v>5</v>
      </c>
      <c r="V3">
        <v>5</v>
      </c>
      <c r="W3">
        <v>5</v>
      </c>
      <c r="X3">
        <v>5</v>
      </c>
      <c r="Y3">
        <v>5</v>
      </c>
      <c r="Z3">
        <v>5</v>
      </c>
      <c r="AA3">
        <v>5</v>
      </c>
      <c r="AB3">
        <v>5</v>
      </c>
      <c r="AC3">
        <v>3</v>
      </c>
      <c r="AD3">
        <f>IF(#REF! = 3, 1, IF(#REF! = 2.5, 0.5, IF(#REF! = 3.5, 0.5, 0)))</f>
        <v>1</v>
      </c>
      <c r="AE3" t="s">
        <v>154</v>
      </c>
      <c r="AF3">
        <f>IF(#REF!="PM &lt; 2.5 μm", 1, 0)</f>
        <v>0</v>
      </c>
      <c r="AG3" t="s">
        <v>141</v>
      </c>
      <c r="AH3">
        <f>IF(#REF!="Particles of this size are generally absorbed in the respiratory tract and safely excreted in mucus.", 1, 0)</f>
        <v>0</v>
      </c>
      <c r="AI3" t="s">
        <v>142</v>
      </c>
      <c r="AJ3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2</v>
      </c>
      <c r="AK3">
        <v>2</v>
      </c>
      <c r="AL3">
        <v>0</v>
      </c>
      <c r="AM3">
        <v>3</v>
      </c>
      <c r="AN3">
        <v>2</v>
      </c>
      <c r="AO3">
        <v>4</v>
      </c>
      <c r="AP3">
        <v>4</v>
      </c>
      <c r="AQ3">
        <v>10</v>
      </c>
      <c r="AR3" t="s">
        <v>462</v>
      </c>
    </row>
    <row r="4" spans="1:44" x14ac:dyDescent="0.25">
      <c r="A4" t="s">
        <v>515</v>
      </c>
      <c r="B4" t="s">
        <v>516</v>
      </c>
      <c r="C4" t="s">
        <v>42</v>
      </c>
      <c r="D4" t="s">
        <v>517</v>
      </c>
      <c r="E4">
        <v>1</v>
      </c>
      <c r="F4" t="s">
        <v>112</v>
      </c>
      <c r="G4">
        <f>_xlfn.NUMBERVALUE(#REF!)</f>
        <v>124</v>
      </c>
      <c r="H4" t="s">
        <v>518</v>
      </c>
      <c r="I4" t="s">
        <v>114</v>
      </c>
      <c r="J4" t="s">
        <v>516</v>
      </c>
      <c r="K4" t="s">
        <v>519</v>
      </c>
      <c r="L4" t="s">
        <v>111</v>
      </c>
      <c r="M4" t="s">
        <v>111</v>
      </c>
      <c r="N4" t="s">
        <v>111</v>
      </c>
      <c r="O4" t="s">
        <v>111</v>
      </c>
      <c r="P4" t="s">
        <v>351</v>
      </c>
      <c r="Q4" t="s">
        <v>352</v>
      </c>
      <c r="R4" t="s">
        <v>487</v>
      </c>
      <c r="S4" t="s">
        <v>117</v>
      </c>
      <c r="T4" t="s">
        <v>520</v>
      </c>
      <c r="U4">
        <v>5</v>
      </c>
      <c r="V4">
        <v>5</v>
      </c>
      <c r="W4">
        <v>5</v>
      </c>
      <c r="X4">
        <v>5</v>
      </c>
      <c r="Y4">
        <v>5</v>
      </c>
      <c r="Z4">
        <v>5</v>
      </c>
      <c r="AA4">
        <v>5</v>
      </c>
      <c r="AB4">
        <v>5</v>
      </c>
      <c r="AC4">
        <v>5</v>
      </c>
      <c r="AD4">
        <f>IF(#REF! = 3, 1, IF(#REF! = 2.5, 0.5, IF(#REF! = 3.5, 0.5, 0)))</f>
        <v>0</v>
      </c>
      <c r="AE4" t="s">
        <v>130</v>
      </c>
      <c r="AF4">
        <f>IF(#REF!="PM &lt; 2.5 μm", 1, 0)</f>
        <v>0</v>
      </c>
      <c r="AG4" t="s">
        <v>131</v>
      </c>
      <c r="AH4">
        <f>IF(#REF!="Particles of this size are generally absorbed in the respiratory tract and safely excreted in mucus.", 1, 0)</f>
        <v>0</v>
      </c>
      <c r="AI4" t="s">
        <v>327</v>
      </c>
      <c r="AJ4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1</v>
      </c>
      <c r="AK4">
        <v>5</v>
      </c>
      <c r="AL4">
        <v>2</v>
      </c>
      <c r="AM4">
        <v>4</v>
      </c>
      <c r="AN4">
        <v>2</v>
      </c>
      <c r="AO4">
        <v>4</v>
      </c>
      <c r="AP4">
        <v>3</v>
      </c>
      <c r="AQ4">
        <v>10</v>
      </c>
      <c r="AR4" t="s">
        <v>111</v>
      </c>
    </row>
    <row r="5" spans="1:44" x14ac:dyDescent="0.25">
      <c r="A5" t="s">
        <v>565</v>
      </c>
      <c r="B5" t="s">
        <v>566</v>
      </c>
      <c r="C5" t="s">
        <v>42</v>
      </c>
      <c r="D5" t="s">
        <v>389</v>
      </c>
      <c r="E5">
        <v>1</v>
      </c>
      <c r="F5" t="s">
        <v>112</v>
      </c>
      <c r="G5">
        <f>_xlfn.NUMBERVALUE(#REF!)</f>
        <v>171</v>
      </c>
      <c r="H5" t="s">
        <v>567</v>
      </c>
      <c r="I5" t="s">
        <v>114</v>
      </c>
      <c r="J5" t="s">
        <v>566</v>
      </c>
      <c r="K5" t="s">
        <v>568</v>
      </c>
      <c r="L5" t="s">
        <v>111</v>
      </c>
      <c r="M5" t="s">
        <v>111</v>
      </c>
      <c r="N5" t="s">
        <v>111</v>
      </c>
      <c r="O5" t="s">
        <v>111</v>
      </c>
      <c r="P5" t="s">
        <v>392</v>
      </c>
      <c r="Q5" t="s">
        <v>393</v>
      </c>
      <c r="R5" t="s">
        <v>487</v>
      </c>
      <c r="S5" t="s">
        <v>117</v>
      </c>
      <c r="T5" t="s">
        <v>569</v>
      </c>
      <c r="U5">
        <v>5</v>
      </c>
      <c r="V5">
        <v>4</v>
      </c>
      <c r="W5">
        <v>5</v>
      </c>
      <c r="X5">
        <v>5</v>
      </c>
      <c r="Y5">
        <v>3</v>
      </c>
      <c r="Z5">
        <v>5</v>
      </c>
      <c r="AA5">
        <v>5</v>
      </c>
      <c r="AC5">
        <v>3.5</v>
      </c>
      <c r="AD5">
        <f>IF(#REF! = 3, 1, IF(#REF! = 2.5, 0.5, IF(#REF! = 3.5, 0.5, 0)))</f>
        <v>0.5</v>
      </c>
      <c r="AE5" t="s">
        <v>185</v>
      </c>
      <c r="AF5">
        <f>IF(#REF!="PM &lt; 2.5 μm", 1, 0)</f>
        <v>0</v>
      </c>
      <c r="AG5" t="s">
        <v>131</v>
      </c>
      <c r="AH5">
        <f>IF(#REF!="Particles of this size are generally absorbed in the respiratory tract and safely excreted in mucus.", 1, 0)</f>
        <v>0</v>
      </c>
      <c r="AI5" t="s">
        <v>280</v>
      </c>
      <c r="AJ5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2</v>
      </c>
      <c r="AK5">
        <v>4</v>
      </c>
      <c r="AL5">
        <v>5</v>
      </c>
      <c r="AM5">
        <v>5</v>
      </c>
      <c r="AN5">
        <v>4</v>
      </c>
      <c r="AO5">
        <v>5</v>
      </c>
      <c r="AP5">
        <v>4</v>
      </c>
      <c r="AQ5">
        <v>7</v>
      </c>
      <c r="AR5" t="s">
        <v>570</v>
      </c>
    </row>
    <row r="6" spans="1:44" x14ac:dyDescent="0.25">
      <c r="A6" t="s">
        <v>577</v>
      </c>
      <c r="B6" t="s">
        <v>578</v>
      </c>
      <c r="C6" t="s">
        <v>42</v>
      </c>
      <c r="D6" t="s">
        <v>579</v>
      </c>
      <c r="E6">
        <v>1</v>
      </c>
      <c r="F6" t="s">
        <v>112</v>
      </c>
      <c r="G6">
        <f>_xlfn.NUMBERVALUE(#REF!)</f>
        <v>137</v>
      </c>
      <c r="H6" t="s">
        <v>580</v>
      </c>
      <c r="I6" t="s">
        <v>114</v>
      </c>
      <c r="J6" t="s">
        <v>581</v>
      </c>
      <c r="K6" t="s">
        <v>582</v>
      </c>
      <c r="L6" t="s">
        <v>111</v>
      </c>
      <c r="M6" t="s">
        <v>111</v>
      </c>
      <c r="N6" t="s">
        <v>111</v>
      </c>
      <c r="O6" t="s">
        <v>111</v>
      </c>
      <c r="P6" t="s">
        <v>351</v>
      </c>
      <c r="Q6" t="s">
        <v>352</v>
      </c>
      <c r="R6" t="s">
        <v>127</v>
      </c>
      <c r="S6" t="s">
        <v>117</v>
      </c>
      <c r="T6" t="s">
        <v>583</v>
      </c>
      <c r="U6">
        <v>3</v>
      </c>
      <c r="V6">
        <v>5</v>
      </c>
      <c r="W6">
        <v>3</v>
      </c>
      <c r="X6">
        <v>3</v>
      </c>
      <c r="Y6">
        <v>0</v>
      </c>
      <c r="Z6">
        <v>2</v>
      </c>
      <c r="AA6">
        <v>5</v>
      </c>
      <c r="AB6">
        <v>1</v>
      </c>
      <c r="AC6">
        <v>4</v>
      </c>
      <c r="AD6">
        <f>IF(#REF! = 3, 1, IF(#REF! = 2.5, 0.5, IF(#REF! = 3.5, 0.5, 0)))</f>
        <v>0</v>
      </c>
      <c r="AE6" t="s">
        <v>140</v>
      </c>
      <c r="AF6">
        <f>IF(#REF!="PM &lt; 2.5 μm", 1, 0)</f>
        <v>1</v>
      </c>
      <c r="AG6" t="s">
        <v>155</v>
      </c>
      <c r="AH6">
        <f>IF(#REF!="Particles of this size are generally absorbed in the respiratory tract and safely excreted in mucus.", 1, 0)</f>
        <v>0</v>
      </c>
      <c r="AI6" t="s">
        <v>280</v>
      </c>
      <c r="AJ6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2</v>
      </c>
      <c r="AK6">
        <v>3</v>
      </c>
      <c r="AL6">
        <v>3</v>
      </c>
      <c r="AM6">
        <v>2</v>
      </c>
      <c r="AN6">
        <v>0</v>
      </c>
      <c r="AO6">
        <v>1</v>
      </c>
      <c r="AP6">
        <v>3</v>
      </c>
      <c r="AQ6">
        <v>5</v>
      </c>
      <c r="AR6" t="s">
        <v>584</v>
      </c>
    </row>
    <row r="7" spans="1:44" x14ac:dyDescent="0.25">
      <c r="A7" t="s">
        <v>488</v>
      </c>
      <c r="B7" t="s">
        <v>626</v>
      </c>
      <c r="C7" t="s">
        <v>42</v>
      </c>
      <c r="D7" t="s">
        <v>627</v>
      </c>
      <c r="E7">
        <v>1</v>
      </c>
      <c r="F7" t="s">
        <v>112</v>
      </c>
      <c r="G7">
        <f>_xlfn.NUMBERVALUE(#REF!)</f>
        <v>237</v>
      </c>
      <c r="H7" t="s">
        <v>628</v>
      </c>
      <c r="I7" t="s">
        <v>114</v>
      </c>
      <c r="J7" t="s">
        <v>626</v>
      </c>
      <c r="K7" t="s">
        <v>629</v>
      </c>
      <c r="L7" t="s">
        <v>111</v>
      </c>
      <c r="M7" t="s">
        <v>111</v>
      </c>
      <c r="N7" t="s">
        <v>111</v>
      </c>
      <c r="O7" t="s">
        <v>111</v>
      </c>
      <c r="P7" t="s">
        <v>351</v>
      </c>
      <c r="Q7" t="s">
        <v>352</v>
      </c>
      <c r="R7" t="s">
        <v>487</v>
      </c>
      <c r="S7" t="s">
        <v>117</v>
      </c>
      <c r="T7" t="s">
        <v>630</v>
      </c>
      <c r="U7">
        <v>5</v>
      </c>
      <c r="V7">
        <v>4</v>
      </c>
      <c r="W7">
        <v>3</v>
      </c>
      <c r="X7">
        <v>3</v>
      </c>
      <c r="Y7">
        <v>3</v>
      </c>
      <c r="Z7">
        <v>3</v>
      </c>
      <c r="AA7">
        <v>4</v>
      </c>
      <c r="AB7">
        <v>4</v>
      </c>
      <c r="AC7">
        <v>4</v>
      </c>
      <c r="AD7">
        <f>IF(#REF! = 3, 1, IF(#REF! = 2.5, 0.5, IF(#REF! = 3.5, 0.5, 0)))</f>
        <v>0</v>
      </c>
      <c r="AE7" t="s">
        <v>166</v>
      </c>
      <c r="AF7">
        <f>IF(#REF!="PM &lt; 2.5 μm", 1, 0)</f>
        <v>0</v>
      </c>
      <c r="AG7" t="s">
        <v>141</v>
      </c>
      <c r="AH7">
        <f>IF(#REF!="Particles of this size are generally absorbed in the respiratory tract and safely excreted in mucus.", 1, 0)</f>
        <v>0</v>
      </c>
      <c r="AI7" t="s">
        <v>353</v>
      </c>
      <c r="AJ7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3</v>
      </c>
      <c r="AK7">
        <v>3</v>
      </c>
      <c r="AL7">
        <v>2</v>
      </c>
      <c r="AM7">
        <v>4</v>
      </c>
      <c r="AN7">
        <v>4</v>
      </c>
      <c r="AO7">
        <v>4</v>
      </c>
      <c r="AP7">
        <v>4</v>
      </c>
      <c r="AQ7">
        <v>9</v>
      </c>
      <c r="AR7" t="s">
        <v>631</v>
      </c>
    </row>
    <row r="8" spans="1:44" x14ac:dyDescent="0.25">
      <c r="A8" t="s">
        <v>591</v>
      </c>
      <c r="B8" t="s">
        <v>592</v>
      </c>
      <c r="C8" t="s">
        <v>42</v>
      </c>
      <c r="D8" t="s">
        <v>593</v>
      </c>
      <c r="E8">
        <v>1</v>
      </c>
      <c r="F8" t="s">
        <v>112</v>
      </c>
      <c r="G8">
        <f>_xlfn.NUMBERVALUE(#REF!)</f>
        <v>115</v>
      </c>
      <c r="H8" t="s">
        <v>594</v>
      </c>
      <c r="I8" t="s">
        <v>114</v>
      </c>
      <c r="J8" t="s">
        <v>595</v>
      </c>
      <c r="K8" t="s">
        <v>596</v>
      </c>
      <c r="L8" t="s">
        <v>111</v>
      </c>
      <c r="M8" t="s">
        <v>111</v>
      </c>
      <c r="N8" t="s">
        <v>111</v>
      </c>
      <c r="O8" t="s">
        <v>111</v>
      </c>
      <c r="P8" t="s">
        <v>115</v>
      </c>
      <c r="Q8" t="s">
        <v>116</v>
      </c>
      <c r="R8" t="s">
        <v>127</v>
      </c>
      <c r="S8" t="s">
        <v>117</v>
      </c>
      <c r="T8" t="s">
        <v>597</v>
      </c>
      <c r="U8">
        <v>4</v>
      </c>
      <c r="V8">
        <v>3</v>
      </c>
      <c r="W8">
        <v>3</v>
      </c>
      <c r="X8">
        <v>5</v>
      </c>
      <c r="Y8">
        <v>3</v>
      </c>
      <c r="Z8">
        <v>5</v>
      </c>
      <c r="AA8">
        <v>5</v>
      </c>
      <c r="AB8">
        <v>3</v>
      </c>
      <c r="AC8">
        <v>4</v>
      </c>
      <c r="AD8">
        <f>IF(#REF! = 3, 1, IF(#REF! = 2.5, 0.5, IF(#REF! = 3.5, 0.5, 0)))</f>
        <v>0</v>
      </c>
      <c r="AE8" t="s">
        <v>185</v>
      </c>
      <c r="AF8">
        <f>IF(#REF!="PM &lt; 2.5 μm", 1, 0)</f>
        <v>0</v>
      </c>
      <c r="AG8" t="s">
        <v>155</v>
      </c>
      <c r="AH8">
        <f>IF(#REF!="Particles of this size are generally absorbed in the respiratory tract and safely excreted in mucus.", 1, 0)</f>
        <v>0</v>
      </c>
      <c r="AI8" t="s">
        <v>598</v>
      </c>
      <c r="AJ8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1</v>
      </c>
      <c r="AK8">
        <v>2</v>
      </c>
      <c r="AL8">
        <v>1</v>
      </c>
      <c r="AM8">
        <v>3</v>
      </c>
      <c r="AN8">
        <v>2</v>
      </c>
      <c r="AO8">
        <v>4</v>
      </c>
      <c r="AP8">
        <v>5</v>
      </c>
      <c r="AQ8">
        <v>7</v>
      </c>
      <c r="AR8" t="s">
        <v>111</v>
      </c>
    </row>
    <row r="9" spans="1:44" x14ac:dyDescent="0.25">
      <c r="A9" t="s">
        <v>533</v>
      </c>
      <c r="B9" t="s">
        <v>534</v>
      </c>
      <c r="C9" t="s">
        <v>42</v>
      </c>
      <c r="D9" t="s">
        <v>535</v>
      </c>
      <c r="E9">
        <v>1</v>
      </c>
      <c r="F9" t="s">
        <v>112</v>
      </c>
      <c r="G9">
        <f>_xlfn.NUMBERVALUE(#REF!)</f>
        <v>344</v>
      </c>
      <c r="H9" t="s">
        <v>536</v>
      </c>
      <c r="I9" t="s">
        <v>114</v>
      </c>
      <c r="J9" t="s">
        <v>534</v>
      </c>
      <c r="K9" t="s">
        <v>537</v>
      </c>
      <c r="L9" t="s">
        <v>111</v>
      </c>
      <c r="M9" t="s">
        <v>111</v>
      </c>
      <c r="N9" t="s">
        <v>111</v>
      </c>
      <c r="O9" t="s">
        <v>111</v>
      </c>
      <c r="P9" t="s">
        <v>351</v>
      </c>
      <c r="Q9" t="s">
        <v>352</v>
      </c>
      <c r="R9" t="s">
        <v>127</v>
      </c>
      <c r="S9" t="s">
        <v>117</v>
      </c>
      <c r="T9" t="s">
        <v>538</v>
      </c>
      <c r="U9">
        <v>2</v>
      </c>
      <c r="V9">
        <v>3</v>
      </c>
      <c r="W9">
        <v>4</v>
      </c>
      <c r="X9">
        <v>5</v>
      </c>
      <c r="Y9">
        <v>4</v>
      </c>
      <c r="Z9">
        <v>2</v>
      </c>
      <c r="AA9">
        <v>5</v>
      </c>
      <c r="AB9">
        <v>2</v>
      </c>
      <c r="AC9">
        <v>3</v>
      </c>
      <c r="AD9">
        <f>IF(#REF! = 3, 1, IF(#REF! = 2.5, 0.5, IF(#REF! = 3.5, 0.5, 0)))</f>
        <v>1</v>
      </c>
      <c r="AE9" t="s">
        <v>185</v>
      </c>
      <c r="AF9">
        <f>IF(#REF!="PM &lt; 2.5 μm", 1, 0)</f>
        <v>0</v>
      </c>
      <c r="AG9" t="s">
        <v>141</v>
      </c>
      <c r="AH9">
        <f>IF(#REF!="Particles of this size are generally absorbed in the respiratory tract and safely excreted in mucus.", 1, 0)</f>
        <v>0</v>
      </c>
      <c r="AI9" t="s">
        <v>156</v>
      </c>
      <c r="AJ9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4</v>
      </c>
      <c r="AK9">
        <v>4</v>
      </c>
      <c r="AL9">
        <v>4</v>
      </c>
      <c r="AM9">
        <v>3</v>
      </c>
      <c r="AN9">
        <v>5</v>
      </c>
      <c r="AO9">
        <v>2</v>
      </c>
      <c r="AP9">
        <v>5</v>
      </c>
      <c r="AQ9">
        <v>7</v>
      </c>
      <c r="AR9" t="s">
        <v>539</v>
      </c>
    </row>
    <row r="10" spans="1:44" x14ac:dyDescent="0.25">
      <c r="A10" t="s">
        <v>659</v>
      </c>
      <c r="B10" t="s">
        <v>660</v>
      </c>
      <c r="C10" t="s">
        <v>42</v>
      </c>
      <c r="D10" t="s">
        <v>661</v>
      </c>
      <c r="E10">
        <v>1</v>
      </c>
      <c r="F10" t="s">
        <v>112</v>
      </c>
      <c r="G10">
        <f>_xlfn.NUMBERVALUE(#REF!)</f>
        <v>160</v>
      </c>
      <c r="H10" t="s">
        <v>662</v>
      </c>
      <c r="I10" t="s">
        <v>114</v>
      </c>
      <c r="J10" t="s">
        <v>660</v>
      </c>
      <c r="K10" t="s">
        <v>663</v>
      </c>
      <c r="L10" t="s">
        <v>111</v>
      </c>
      <c r="M10" t="s">
        <v>111</v>
      </c>
      <c r="N10" t="s">
        <v>111</v>
      </c>
      <c r="O10" t="s">
        <v>111</v>
      </c>
      <c r="P10" t="s">
        <v>115</v>
      </c>
      <c r="Q10" t="s">
        <v>116</v>
      </c>
      <c r="R10" t="s">
        <v>127</v>
      </c>
      <c r="S10" t="s">
        <v>117</v>
      </c>
      <c r="T10" t="s">
        <v>664</v>
      </c>
      <c r="U10">
        <v>5</v>
      </c>
      <c r="V10">
        <v>4</v>
      </c>
      <c r="W10">
        <v>5</v>
      </c>
      <c r="X10">
        <v>5</v>
      </c>
      <c r="Y10">
        <v>5</v>
      </c>
      <c r="Z10">
        <v>3</v>
      </c>
      <c r="AA10">
        <v>5</v>
      </c>
      <c r="AB10">
        <v>3</v>
      </c>
      <c r="AC10">
        <v>4.5</v>
      </c>
      <c r="AD10">
        <f>IF(#REF! = 3, 1, IF(#REF! = 2.5, 0.5, IF(#REF! = 3.5, 0.5, 0)))</f>
        <v>0</v>
      </c>
      <c r="AE10" t="s">
        <v>130</v>
      </c>
      <c r="AF10">
        <f>IF(#REF!="PM &lt; 2.5 μm", 1, 0)</f>
        <v>0</v>
      </c>
      <c r="AG10" t="s">
        <v>155</v>
      </c>
      <c r="AH10">
        <f>IF(#REF!="Particles of this size are generally absorbed in the respiratory tract and safely excreted in mucus.", 1, 0)</f>
        <v>0</v>
      </c>
      <c r="AI10" t="s">
        <v>167</v>
      </c>
      <c r="AJ10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3</v>
      </c>
      <c r="AK10">
        <v>4</v>
      </c>
      <c r="AL10">
        <v>1</v>
      </c>
      <c r="AM10">
        <v>4</v>
      </c>
      <c r="AN10">
        <v>4</v>
      </c>
      <c r="AO10">
        <v>4</v>
      </c>
      <c r="AP10">
        <v>3</v>
      </c>
      <c r="AQ10">
        <v>7</v>
      </c>
      <c r="AR10" t="s">
        <v>665</v>
      </c>
    </row>
    <row r="11" spans="1:44" x14ac:dyDescent="0.25">
      <c r="A11" t="s">
        <v>554</v>
      </c>
      <c r="B11" t="s">
        <v>551</v>
      </c>
      <c r="C11" t="s">
        <v>42</v>
      </c>
      <c r="D11" t="s">
        <v>389</v>
      </c>
      <c r="E11">
        <v>1</v>
      </c>
      <c r="F11" t="s">
        <v>112</v>
      </c>
      <c r="G11">
        <f>_xlfn.NUMBERVALUE(#REF!)</f>
        <v>143</v>
      </c>
      <c r="H11" t="s">
        <v>555</v>
      </c>
      <c r="I11" t="s">
        <v>114</v>
      </c>
      <c r="J11" t="s">
        <v>556</v>
      </c>
      <c r="K11" t="s">
        <v>557</v>
      </c>
      <c r="L11" t="s">
        <v>111</v>
      </c>
      <c r="M11" t="s">
        <v>111</v>
      </c>
      <c r="N11" t="s">
        <v>111</v>
      </c>
      <c r="O11" t="s">
        <v>111</v>
      </c>
      <c r="P11" t="s">
        <v>392</v>
      </c>
      <c r="Q11" t="s">
        <v>393</v>
      </c>
      <c r="R11" t="s">
        <v>127</v>
      </c>
      <c r="S11" t="s">
        <v>117</v>
      </c>
      <c r="T11" t="s">
        <v>558</v>
      </c>
      <c r="U11">
        <v>4</v>
      </c>
      <c r="V11">
        <v>4</v>
      </c>
      <c r="W11">
        <v>4</v>
      </c>
      <c r="X11">
        <v>5</v>
      </c>
      <c r="Y11">
        <v>5</v>
      </c>
      <c r="Z11">
        <v>4</v>
      </c>
      <c r="AA11">
        <v>5</v>
      </c>
      <c r="AB11">
        <v>3</v>
      </c>
      <c r="AC11">
        <v>4</v>
      </c>
      <c r="AD11">
        <f>IF(#REF! = 3, 1, IF(#REF! = 2.5, 0.5, IF(#REF! = 3.5, 0.5, 0)))</f>
        <v>0</v>
      </c>
      <c r="AE11" t="s">
        <v>154</v>
      </c>
      <c r="AF11">
        <f>IF(#REF!="PM &lt; 2.5 μm", 1, 0)</f>
        <v>0</v>
      </c>
      <c r="AG11" t="s">
        <v>175</v>
      </c>
      <c r="AH11">
        <f>IF(#REF!="Particles of this size are generally absorbed in the respiratory tract and safely excreted in mucus.", 1, 0)</f>
        <v>1</v>
      </c>
      <c r="AI11" t="s">
        <v>156</v>
      </c>
      <c r="AJ11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4</v>
      </c>
      <c r="AK11">
        <v>4</v>
      </c>
      <c r="AL11">
        <v>4</v>
      </c>
      <c r="AM11">
        <v>4</v>
      </c>
      <c r="AN11">
        <v>4</v>
      </c>
      <c r="AO11">
        <v>4</v>
      </c>
      <c r="AP11">
        <v>4</v>
      </c>
      <c r="AQ11">
        <v>9</v>
      </c>
      <c r="AR11" t="s">
        <v>559</v>
      </c>
    </row>
    <row r="12" spans="1:44" x14ac:dyDescent="0.25">
      <c r="A12" t="s">
        <v>528</v>
      </c>
      <c r="B12" t="s">
        <v>522</v>
      </c>
      <c r="C12" t="s">
        <v>42</v>
      </c>
      <c r="D12" t="s">
        <v>389</v>
      </c>
      <c r="E12">
        <v>1</v>
      </c>
      <c r="F12" t="s">
        <v>112</v>
      </c>
      <c r="G12">
        <f>_xlfn.NUMBERVALUE(#REF!)</f>
        <v>71</v>
      </c>
      <c r="H12" t="s">
        <v>529</v>
      </c>
      <c r="I12" t="s">
        <v>114</v>
      </c>
      <c r="J12" t="s">
        <v>522</v>
      </c>
      <c r="K12" t="s">
        <v>530</v>
      </c>
      <c r="L12" t="s">
        <v>111</v>
      </c>
      <c r="M12" t="s">
        <v>111</v>
      </c>
      <c r="N12" t="s">
        <v>111</v>
      </c>
      <c r="O12" t="s">
        <v>111</v>
      </c>
      <c r="P12" t="s">
        <v>392</v>
      </c>
      <c r="Q12" t="s">
        <v>393</v>
      </c>
      <c r="R12" t="s">
        <v>487</v>
      </c>
      <c r="S12" t="s">
        <v>117</v>
      </c>
      <c r="T12" t="s">
        <v>531</v>
      </c>
      <c r="U12">
        <v>4</v>
      </c>
      <c r="V12">
        <v>4</v>
      </c>
      <c r="W12">
        <v>1</v>
      </c>
      <c r="X12">
        <v>5</v>
      </c>
      <c r="Y12">
        <v>3</v>
      </c>
      <c r="Z12">
        <v>3</v>
      </c>
      <c r="AA12">
        <v>5</v>
      </c>
      <c r="AB12">
        <v>4</v>
      </c>
      <c r="AC12">
        <v>2.5</v>
      </c>
      <c r="AD12">
        <f>IF(#REF! = 3, 1, IF(#REF! = 2.5, 0.5, IF(#REF! = 3.5, 0.5, 0)))</f>
        <v>0.5</v>
      </c>
      <c r="AE12" t="s">
        <v>130</v>
      </c>
      <c r="AF12">
        <f>IF(#REF!="PM &lt; 2.5 μm", 1, 0)</f>
        <v>0</v>
      </c>
      <c r="AG12" t="s">
        <v>175</v>
      </c>
      <c r="AH12">
        <f>IF(#REF!="Particles of this size are generally absorbed in the respiratory tract and safely excreted in mucus.", 1, 0)</f>
        <v>1</v>
      </c>
      <c r="AI12" t="s">
        <v>532</v>
      </c>
      <c r="AJ12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-1</v>
      </c>
      <c r="AK12">
        <v>3</v>
      </c>
      <c r="AL12">
        <v>2</v>
      </c>
      <c r="AM12">
        <v>4</v>
      </c>
      <c r="AN12">
        <v>3</v>
      </c>
      <c r="AO12">
        <v>4</v>
      </c>
      <c r="AP12">
        <v>3</v>
      </c>
      <c r="AQ12">
        <v>6</v>
      </c>
      <c r="AR12" t="s">
        <v>111</v>
      </c>
    </row>
    <row r="13" spans="1:44" x14ac:dyDescent="0.25">
      <c r="A13" t="s">
        <v>260</v>
      </c>
      <c r="B13" t="s">
        <v>261</v>
      </c>
      <c r="C13" t="s">
        <v>42</v>
      </c>
      <c r="D13" t="s">
        <v>262</v>
      </c>
      <c r="E13">
        <v>1</v>
      </c>
      <c r="F13" t="s">
        <v>112</v>
      </c>
      <c r="G13">
        <f>_xlfn.NUMBERVALUE(#REF!)</f>
        <v>184</v>
      </c>
      <c r="H13" t="s">
        <v>263</v>
      </c>
      <c r="I13" t="s">
        <v>114</v>
      </c>
      <c r="J13" t="s">
        <v>264</v>
      </c>
      <c r="K13" t="s">
        <v>265</v>
      </c>
      <c r="L13" t="s">
        <v>111</v>
      </c>
      <c r="M13" t="s">
        <v>111</v>
      </c>
      <c r="N13" t="s">
        <v>111</v>
      </c>
      <c r="O13" t="s">
        <v>111</v>
      </c>
      <c r="P13" t="s">
        <v>115</v>
      </c>
      <c r="Q13" t="s">
        <v>116</v>
      </c>
      <c r="R13" t="s">
        <v>127</v>
      </c>
      <c r="S13" t="s">
        <v>117</v>
      </c>
      <c r="T13" t="s">
        <v>266</v>
      </c>
      <c r="U13">
        <v>4</v>
      </c>
      <c r="V13">
        <v>4</v>
      </c>
      <c r="W13">
        <v>5</v>
      </c>
      <c r="X13">
        <v>2</v>
      </c>
      <c r="Y13">
        <v>2</v>
      </c>
      <c r="Z13">
        <v>1</v>
      </c>
      <c r="AA13">
        <v>5</v>
      </c>
      <c r="AB13">
        <v>2</v>
      </c>
      <c r="AC13">
        <v>3</v>
      </c>
      <c r="AD13">
        <f>IF(#REF! = 3, 1, IF(#REF! = 2.5, 0.5, IF(#REF! = 3.5, 0.5, 0)))</f>
        <v>1</v>
      </c>
      <c r="AE13" t="s">
        <v>130</v>
      </c>
      <c r="AF13">
        <f>IF(#REF!="PM &lt; 2.5 μm", 1, 0)</f>
        <v>0</v>
      </c>
      <c r="AG13" t="s">
        <v>175</v>
      </c>
      <c r="AH13">
        <f>IF(#REF!="Particles of this size are generally absorbed in the respiratory tract and safely excreted in mucus.", 1, 0)</f>
        <v>1</v>
      </c>
      <c r="AI13" t="s">
        <v>258</v>
      </c>
      <c r="AJ13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1</v>
      </c>
      <c r="AK13">
        <v>2</v>
      </c>
      <c r="AL13">
        <v>2</v>
      </c>
      <c r="AM13">
        <v>3</v>
      </c>
      <c r="AN13">
        <v>2</v>
      </c>
      <c r="AO13">
        <v>5</v>
      </c>
      <c r="AP13">
        <v>4</v>
      </c>
      <c r="AQ13">
        <v>5</v>
      </c>
      <c r="AR13" t="s">
        <v>111</v>
      </c>
    </row>
    <row r="14" spans="1:44" x14ac:dyDescent="0.25">
      <c r="A14" t="s">
        <v>498</v>
      </c>
      <c r="B14" t="s">
        <v>499</v>
      </c>
      <c r="C14" t="s">
        <v>42</v>
      </c>
      <c r="D14" t="s">
        <v>500</v>
      </c>
      <c r="E14">
        <v>1</v>
      </c>
      <c r="F14" t="s">
        <v>112</v>
      </c>
      <c r="G14">
        <f>_xlfn.NUMBERVALUE(#REF!)</f>
        <v>127</v>
      </c>
      <c r="H14" t="s">
        <v>501</v>
      </c>
      <c r="I14" t="s">
        <v>114</v>
      </c>
      <c r="J14" t="s">
        <v>502</v>
      </c>
      <c r="K14" t="s">
        <v>503</v>
      </c>
      <c r="L14" t="s">
        <v>111</v>
      </c>
      <c r="M14" t="s">
        <v>111</v>
      </c>
      <c r="N14" t="s">
        <v>111</v>
      </c>
      <c r="O14" t="s">
        <v>111</v>
      </c>
      <c r="P14" t="s">
        <v>351</v>
      </c>
      <c r="Q14" t="s">
        <v>352</v>
      </c>
      <c r="R14" t="s">
        <v>127</v>
      </c>
      <c r="S14" t="s">
        <v>117</v>
      </c>
      <c r="T14" t="s">
        <v>504</v>
      </c>
      <c r="U14">
        <v>3</v>
      </c>
      <c r="V14">
        <v>3</v>
      </c>
      <c r="W14">
        <v>3</v>
      </c>
      <c r="X14">
        <v>4</v>
      </c>
      <c r="Y14">
        <v>3</v>
      </c>
      <c r="Z14">
        <v>4</v>
      </c>
      <c r="AA14">
        <v>5</v>
      </c>
      <c r="AB14">
        <v>2</v>
      </c>
      <c r="AC14">
        <v>4</v>
      </c>
      <c r="AD14">
        <f>IF(#REF! = 3, 1, IF(#REF! = 2.5, 0.5, IF(#REF! = 3.5, 0.5, 0)))</f>
        <v>0</v>
      </c>
      <c r="AE14" t="s">
        <v>185</v>
      </c>
      <c r="AF14">
        <f>IF(#REF!="PM &lt; 2.5 μm", 1, 0)</f>
        <v>0</v>
      </c>
      <c r="AG14" t="s">
        <v>141</v>
      </c>
      <c r="AH14">
        <f>IF(#REF!="Particles of this size are generally absorbed in the respiratory tract and safely excreted in mucus.", 1, 0)</f>
        <v>0</v>
      </c>
      <c r="AI14" t="s">
        <v>186</v>
      </c>
      <c r="AJ14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3</v>
      </c>
      <c r="AK14">
        <v>3</v>
      </c>
      <c r="AL14">
        <v>3</v>
      </c>
      <c r="AM14">
        <v>3</v>
      </c>
      <c r="AN14">
        <v>3</v>
      </c>
      <c r="AO14">
        <v>3</v>
      </c>
      <c r="AP14">
        <v>3</v>
      </c>
      <c r="AQ14">
        <v>8</v>
      </c>
      <c r="AR14" t="s">
        <v>111</v>
      </c>
    </row>
    <row r="15" spans="1:44" x14ac:dyDescent="0.25">
      <c r="A15" t="s">
        <v>806</v>
      </c>
      <c r="B15" t="s">
        <v>807</v>
      </c>
      <c r="C15" t="s">
        <v>42</v>
      </c>
      <c r="D15" t="s">
        <v>808</v>
      </c>
      <c r="E15">
        <v>1</v>
      </c>
      <c r="F15" t="s">
        <v>112</v>
      </c>
      <c r="G15">
        <f>_xlfn.NUMBERVALUE(#REF!)</f>
        <v>193</v>
      </c>
      <c r="H15" t="s">
        <v>809</v>
      </c>
      <c r="I15" t="s">
        <v>114</v>
      </c>
      <c r="J15" t="s">
        <v>807</v>
      </c>
      <c r="K15" t="s">
        <v>810</v>
      </c>
      <c r="L15" t="s">
        <v>111</v>
      </c>
      <c r="M15" t="s">
        <v>111</v>
      </c>
      <c r="N15" t="s">
        <v>111</v>
      </c>
      <c r="O15" t="s">
        <v>111</v>
      </c>
      <c r="P15" t="s">
        <v>164</v>
      </c>
      <c r="Q15" t="s">
        <v>165</v>
      </c>
      <c r="R15" t="s">
        <v>127</v>
      </c>
      <c r="S15" t="s">
        <v>117</v>
      </c>
      <c r="T15" t="s">
        <v>811</v>
      </c>
      <c r="U15">
        <v>4</v>
      </c>
      <c r="V15">
        <v>2</v>
      </c>
      <c r="W15">
        <v>3</v>
      </c>
      <c r="X15">
        <v>4</v>
      </c>
      <c r="Y15">
        <v>4</v>
      </c>
      <c r="Z15">
        <v>4</v>
      </c>
      <c r="AA15">
        <v>4</v>
      </c>
      <c r="AB15">
        <v>2</v>
      </c>
      <c r="AC15">
        <v>3</v>
      </c>
      <c r="AD15">
        <f>IF(#REF! = 3, 1, IF(#REF! = 2.5, 0.5, IF(#REF! = 3.5, 0.5, 0)))</f>
        <v>1</v>
      </c>
      <c r="AE15" t="s">
        <v>140</v>
      </c>
      <c r="AF15">
        <f>IF(#REF!="PM &lt; 2.5 μm", 1, 0)</f>
        <v>1</v>
      </c>
      <c r="AG15" t="s">
        <v>141</v>
      </c>
      <c r="AH15">
        <f>IF(#REF!="Particles of this size are generally absorbed in the respiratory tract and safely excreted in mucus.", 1, 0)</f>
        <v>0</v>
      </c>
      <c r="AI15" t="s">
        <v>167</v>
      </c>
      <c r="AJ15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3</v>
      </c>
      <c r="AK15">
        <v>3</v>
      </c>
      <c r="AL15">
        <v>2</v>
      </c>
      <c r="AM15">
        <v>3</v>
      </c>
      <c r="AN15">
        <v>3</v>
      </c>
      <c r="AO15">
        <v>3</v>
      </c>
      <c r="AP15">
        <v>3</v>
      </c>
      <c r="AQ15">
        <v>8</v>
      </c>
      <c r="AR15" t="s">
        <v>812</v>
      </c>
    </row>
    <row r="16" spans="1:44" x14ac:dyDescent="0.25">
      <c r="A16" t="s">
        <v>387</v>
      </c>
      <c r="B16" t="s">
        <v>388</v>
      </c>
      <c r="C16" t="s">
        <v>42</v>
      </c>
      <c r="D16" t="s">
        <v>389</v>
      </c>
      <c r="E16">
        <v>1</v>
      </c>
      <c r="F16" t="s">
        <v>112</v>
      </c>
      <c r="G16">
        <f>_xlfn.NUMBERVALUE(#REF!)</f>
        <v>159</v>
      </c>
      <c r="H16" t="s">
        <v>390</v>
      </c>
      <c r="I16" t="s">
        <v>114</v>
      </c>
      <c r="J16" t="s">
        <v>388</v>
      </c>
      <c r="K16" t="s">
        <v>391</v>
      </c>
      <c r="L16" t="s">
        <v>111</v>
      </c>
      <c r="M16" t="s">
        <v>111</v>
      </c>
      <c r="N16" t="s">
        <v>111</v>
      </c>
      <c r="O16" t="s">
        <v>111</v>
      </c>
      <c r="P16" t="s">
        <v>392</v>
      </c>
      <c r="Q16" t="s">
        <v>393</v>
      </c>
      <c r="R16" t="s">
        <v>127</v>
      </c>
      <c r="S16" t="s">
        <v>117</v>
      </c>
      <c r="T16" t="s">
        <v>394</v>
      </c>
      <c r="U16">
        <v>4</v>
      </c>
      <c r="V16">
        <v>4</v>
      </c>
      <c r="W16">
        <v>5</v>
      </c>
      <c r="X16">
        <v>5</v>
      </c>
      <c r="Y16">
        <v>1</v>
      </c>
      <c r="Z16">
        <v>4</v>
      </c>
      <c r="AA16">
        <v>5</v>
      </c>
      <c r="AB16">
        <v>2</v>
      </c>
      <c r="AC16">
        <v>4.5</v>
      </c>
      <c r="AD16">
        <f>IF(#REF! = 3, 1, IF(#REF! = 2.5, 0.5, IF(#REF! = 3.5, 0.5, 0)))</f>
        <v>0</v>
      </c>
      <c r="AE16" t="s">
        <v>185</v>
      </c>
      <c r="AF16">
        <f>IF(#REF!="PM &lt; 2.5 μm", 1, 0)</f>
        <v>0</v>
      </c>
      <c r="AG16" t="s">
        <v>155</v>
      </c>
      <c r="AH16">
        <f>IF(#REF!="Particles of this size are generally absorbed in the respiratory tract and safely excreted in mucus.", 1, 0)</f>
        <v>0</v>
      </c>
      <c r="AI16" t="s">
        <v>156</v>
      </c>
      <c r="AJ16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4</v>
      </c>
      <c r="AK16">
        <v>1</v>
      </c>
      <c r="AL16">
        <v>1</v>
      </c>
      <c r="AM16">
        <v>2</v>
      </c>
      <c r="AN16">
        <v>1</v>
      </c>
      <c r="AO16">
        <v>2</v>
      </c>
      <c r="AP16">
        <v>2</v>
      </c>
      <c r="AQ16">
        <v>6</v>
      </c>
      <c r="AR16" t="s">
        <v>395</v>
      </c>
    </row>
    <row r="17" spans="1:44" x14ac:dyDescent="0.25">
      <c r="A17" t="s">
        <v>605</v>
      </c>
      <c r="B17" t="s">
        <v>600</v>
      </c>
      <c r="C17" t="s">
        <v>42</v>
      </c>
      <c r="D17" t="s">
        <v>606</v>
      </c>
      <c r="E17">
        <v>1</v>
      </c>
      <c r="F17" t="s">
        <v>112</v>
      </c>
      <c r="G17">
        <f>_xlfn.NUMBERVALUE(#REF!)</f>
        <v>206</v>
      </c>
      <c r="H17" t="s">
        <v>607</v>
      </c>
      <c r="I17" t="s">
        <v>114</v>
      </c>
      <c r="J17" t="s">
        <v>600</v>
      </c>
      <c r="K17" t="s">
        <v>608</v>
      </c>
      <c r="L17" t="s">
        <v>111</v>
      </c>
      <c r="M17" t="s">
        <v>111</v>
      </c>
      <c r="N17" t="s">
        <v>111</v>
      </c>
      <c r="O17" t="s">
        <v>111</v>
      </c>
      <c r="P17" t="s">
        <v>351</v>
      </c>
      <c r="Q17" t="s">
        <v>352</v>
      </c>
      <c r="R17" t="s">
        <v>487</v>
      </c>
      <c r="S17" t="s">
        <v>117</v>
      </c>
      <c r="T17" t="s">
        <v>609</v>
      </c>
      <c r="U17">
        <v>4</v>
      </c>
      <c r="V17">
        <v>3</v>
      </c>
      <c r="W17">
        <v>4</v>
      </c>
      <c r="X17">
        <v>5</v>
      </c>
      <c r="Y17">
        <v>3</v>
      </c>
      <c r="Z17">
        <v>4</v>
      </c>
      <c r="AA17">
        <v>5</v>
      </c>
      <c r="AB17">
        <v>3</v>
      </c>
      <c r="AC17">
        <v>4</v>
      </c>
      <c r="AD17">
        <f>IF(#REF! = 3, 1, IF(#REF! = 2.5, 0.5, IF(#REF! = 3.5, 0.5, 0)))</f>
        <v>0</v>
      </c>
      <c r="AE17" t="s">
        <v>130</v>
      </c>
      <c r="AF17">
        <f>IF(#REF!="PM &lt; 2.5 μm", 1, 0)</f>
        <v>0</v>
      </c>
      <c r="AG17" t="s">
        <v>141</v>
      </c>
      <c r="AH17">
        <f>IF(#REF!="Particles of this size are generally absorbed in the respiratory tract and safely excreted in mucus.", 1, 0)</f>
        <v>0</v>
      </c>
      <c r="AI17" t="s">
        <v>610</v>
      </c>
      <c r="AJ17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2</v>
      </c>
      <c r="AK17">
        <v>4</v>
      </c>
      <c r="AL17">
        <v>1</v>
      </c>
      <c r="AM17">
        <v>2</v>
      </c>
      <c r="AN17">
        <v>2</v>
      </c>
      <c r="AO17">
        <v>2</v>
      </c>
      <c r="AP17">
        <v>3</v>
      </c>
      <c r="AQ17">
        <v>8</v>
      </c>
      <c r="AR17" t="s">
        <v>611</v>
      </c>
    </row>
    <row r="18" spans="1:44" x14ac:dyDescent="0.25">
      <c r="A18" t="s">
        <v>618</v>
      </c>
      <c r="B18" t="s">
        <v>619</v>
      </c>
      <c r="C18" t="s">
        <v>42</v>
      </c>
      <c r="D18" t="s">
        <v>620</v>
      </c>
      <c r="E18">
        <v>1</v>
      </c>
      <c r="F18" t="s">
        <v>112</v>
      </c>
      <c r="G18">
        <f>_xlfn.NUMBERVALUE(#REF!)</f>
        <v>197</v>
      </c>
      <c r="H18" t="s">
        <v>621</v>
      </c>
      <c r="I18" t="s">
        <v>114</v>
      </c>
      <c r="J18" t="s">
        <v>622</v>
      </c>
      <c r="K18" t="s">
        <v>623</v>
      </c>
      <c r="L18" t="s">
        <v>111</v>
      </c>
      <c r="M18" t="s">
        <v>111</v>
      </c>
      <c r="N18" t="s">
        <v>111</v>
      </c>
      <c r="O18" t="s">
        <v>111</v>
      </c>
      <c r="P18" t="s">
        <v>214</v>
      </c>
      <c r="Q18" t="s">
        <v>215</v>
      </c>
      <c r="R18" t="s">
        <v>487</v>
      </c>
      <c r="S18" t="s">
        <v>117</v>
      </c>
      <c r="T18" t="s">
        <v>624</v>
      </c>
      <c r="U18">
        <v>3</v>
      </c>
      <c r="V18">
        <v>5</v>
      </c>
      <c r="W18">
        <v>2</v>
      </c>
      <c r="X18">
        <v>3</v>
      </c>
      <c r="Y18">
        <v>3</v>
      </c>
      <c r="Z18">
        <v>3</v>
      </c>
      <c r="AA18">
        <v>5</v>
      </c>
      <c r="AB18">
        <v>2</v>
      </c>
      <c r="AC18">
        <v>3.5</v>
      </c>
      <c r="AD18">
        <f>IF(#REF! = 3, 1, IF(#REF! = 2.5, 0.5, IF(#REF! = 3.5, 0.5, 0)))</f>
        <v>0.5</v>
      </c>
      <c r="AE18" t="s">
        <v>166</v>
      </c>
      <c r="AF18">
        <f>IF(#REF!="PM &lt; 2.5 μm", 1, 0)</f>
        <v>0</v>
      </c>
      <c r="AG18" t="s">
        <v>131</v>
      </c>
      <c r="AH18">
        <f>IF(#REF!="Particles of this size are generally absorbed in the respiratory tract and safely excreted in mucus.", 1, 0)</f>
        <v>0</v>
      </c>
      <c r="AI18" t="s">
        <v>258</v>
      </c>
      <c r="AJ18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1</v>
      </c>
      <c r="AK18">
        <v>4</v>
      </c>
      <c r="AL18">
        <v>3</v>
      </c>
      <c r="AM18">
        <v>3</v>
      </c>
      <c r="AN18">
        <v>4</v>
      </c>
      <c r="AO18">
        <v>3</v>
      </c>
      <c r="AP18">
        <v>3</v>
      </c>
      <c r="AQ18">
        <v>10</v>
      </c>
      <c r="AR18" t="s">
        <v>625</v>
      </c>
    </row>
    <row r="19" spans="1:44" x14ac:dyDescent="0.25">
      <c r="A19" t="s">
        <v>242</v>
      </c>
      <c r="B19" t="s">
        <v>243</v>
      </c>
      <c r="C19" t="s">
        <v>42</v>
      </c>
      <c r="D19" t="s">
        <v>244</v>
      </c>
      <c r="E19">
        <v>1</v>
      </c>
      <c r="F19" t="s">
        <v>112</v>
      </c>
      <c r="G19">
        <f>_xlfn.NUMBERVALUE(#REF!)</f>
        <v>210</v>
      </c>
      <c r="H19" t="s">
        <v>245</v>
      </c>
      <c r="I19" t="s">
        <v>114</v>
      </c>
      <c r="J19" t="s">
        <v>246</v>
      </c>
      <c r="K19" t="s">
        <v>247</v>
      </c>
      <c r="L19" t="s">
        <v>111</v>
      </c>
      <c r="M19" t="s">
        <v>111</v>
      </c>
      <c r="N19" t="s">
        <v>111</v>
      </c>
      <c r="O19" t="s">
        <v>111</v>
      </c>
      <c r="P19" t="s">
        <v>248</v>
      </c>
      <c r="Q19" t="s">
        <v>249</v>
      </c>
      <c r="R19" t="s">
        <v>127</v>
      </c>
      <c r="S19" t="s">
        <v>117</v>
      </c>
      <c r="T19" t="s">
        <v>250</v>
      </c>
      <c r="U19">
        <v>4</v>
      </c>
      <c r="V19">
        <v>3</v>
      </c>
      <c r="W19">
        <v>5</v>
      </c>
      <c r="X19">
        <v>5</v>
      </c>
      <c r="Y19">
        <v>3</v>
      </c>
      <c r="Z19">
        <v>4</v>
      </c>
      <c r="AA19">
        <v>5</v>
      </c>
      <c r="AB19">
        <v>3</v>
      </c>
      <c r="AC19">
        <v>3</v>
      </c>
      <c r="AD19">
        <f>IF(#REF! = 3, 1, IF(#REF! = 2.5, 0.5, IF(#REF! = 3.5, 0.5, 0)))</f>
        <v>1</v>
      </c>
      <c r="AE19" t="s">
        <v>140</v>
      </c>
      <c r="AF19">
        <f>IF(#REF!="PM &lt; 2.5 μm", 1, 0)</f>
        <v>1</v>
      </c>
      <c r="AG19" t="s">
        <v>175</v>
      </c>
      <c r="AH19">
        <f>IF(#REF!="Particles of this size are generally absorbed in the respiratory tract and safely excreted in mucus.", 1, 0)</f>
        <v>1</v>
      </c>
      <c r="AI19" t="s">
        <v>167</v>
      </c>
      <c r="AJ19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3</v>
      </c>
      <c r="AK19">
        <v>1</v>
      </c>
      <c r="AL19">
        <v>1</v>
      </c>
      <c r="AM19">
        <v>2</v>
      </c>
      <c r="AN19">
        <v>3</v>
      </c>
      <c r="AO19">
        <v>5</v>
      </c>
      <c r="AP19">
        <v>2</v>
      </c>
      <c r="AQ19">
        <v>5</v>
      </c>
      <c r="AR19" t="s">
        <v>251</v>
      </c>
    </row>
    <row r="20" spans="1:44" x14ac:dyDescent="0.25">
      <c r="A20" t="s">
        <v>354</v>
      </c>
      <c r="B20" t="s">
        <v>355</v>
      </c>
      <c r="C20" t="s">
        <v>42</v>
      </c>
      <c r="D20" t="s">
        <v>356</v>
      </c>
      <c r="E20">
        <v>1</v>
      </c>
      <c r="F20" t="s">
        <v>112</v>
      </c>
      <c r="G20">
        <f>_xlfn.NUMBERVALUE(#REF!)</f>
        <v>322</v>
      </c>
      <c r="H20" t="s">
        <v>357</v>
      </c>
      <c r="I20" t="s">
        <v>114</v>
      </c>
      <c r="J20" t="s">
        <v>358</v>
      </c>
      <c r="K20" t="s">
        <v>359</v>
      </c>
      <c r="L20" t="s">
        <v>111</v>
      </c>
      <c r="M20" t="s">
        <v>111</v>
      </c>
      <c r="N20" t="s">
        <v>111</v>
      </c>
      <c r="O20" t="s">
        <v>111</v>
      </c>
      <c r="P20" t="s">
        <v>360</v>
      </c>
      <c r="Q20" t="s">
        <v>361</v>
      </c>
      <c r="R20" t="s">
        <v>127</v>
      </c>
      <c r="S20" t="s">
        <v>117</v>
      </c>
      <c r="T20" t="s">
        <v>362</v>
      </c>
      <c r="U20">
        <v>3</v>
      </c>
      <c r="V20">
        <v>2</v>
      </c>
      <c r="W20">
        <v>2</v>
      </c>
      <c r="X20">
        <v>5</v>
      </c>
      <c r="Y20">
        <v>1</v>
      </c>
      <c r="Z20">
        <v>3</v>
      </c>
      <c r="AA20">
        <v>5</v>
      </c>
      <c r="AB20">
        <v>2</v>
      </c>
      <c r="AC20">
        <v>3.5</v>
      </c>
      <c r="AD20">
        <f>IF(#REF! = 3, 1, IF(#REF! = 2.5, 0.5, IF(#REF! = 3.5, 0.5, 0)))</f>
        <v>0.5</v>
      </c>
      <c r="AE20" t="s">
        <v>185</v>
      </c>
      <c r="AF20">
        <f>IF(#REF!="PM &lt; 2.5 μm", 1, 0)</f>
        <v>0</v>
      </c>
      <c r="AG20" t="s">
        <v>175</v>
      </c>
      <c r="AH20">
        <f>IF(#REF!="Particles of this size are generally absorbed in the respiratory tract and safely excreted in mucus.", 1, 0)</f>
        <v>1</v>
      </c>
      <c r="AI20" t="s">
        <v>167</v>
      </c>
      <c r="AJ20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3</v>
      </c>
      <c r="AK20">
        <v>1</v>
      </c>
      <c r="AL20">
        <v>4</v>
      </c>
      <c r="AM20">
        <v>4</v>
      </c>
      <c r="AN20">
        <v>4</v>
      </c>
      <c r="AO20">
        <v>4</v>
      </c>
      <c r="AP20">
        <v>3</v>
      </c>
      <c r="AQ20">
        <v>9</v>
      </c>
      <c r="AR20" t="s">
        <v>363</v>
      </c>
    </row>
    <row r="21" spans="1:44" x14ac:dyDescent="0.25">
      <c r="A21" t="s">
        <v>696</v>
      </c>
      <c r="B21" t="s">
        <v>697</v>
      </c>
      <c r="C21" t="s">
        <v>42</v>
      </c>
      <c r="D21" t="s">
        <v>698</v>
      </c>
      <c r="E21">
        <v>1</v>
      </c>
      <c r="F21" t="s">
        <v>112</v>
      </c>
      <c r="G21">
        <f>_xlfn.NUMBERVALUE(#REF!)</f>
        <v>339</v>
      </c>
      <c r="H21" t="s">
        <v>699</v>
      </c>
      <c r="I21" t="s">
        <v>114</v>
      </c>
      <c r="J21" t="s">
        <v>697</v>
      </c>
      <c r="K21" t="s">
        <v>700</v>
      </c>
      <c r="L21" t="s">
        <v>111</v>
      </c>
      <c r="M21" t="s">
        <v>111</v>
      </c>
      <c r="N21" t="s">
        <v>111</v>
      </c>
      <c r="O21" t="s">
        <v>111</v>
      </c>
      <c r="P21" t="s">
        <v>351</v>
      </c>
      <c r="Q21" t="s">
        <v>352</v>
      </c>
      <c r="R21" t="s">
        <v>487</v>
      </c>
      <c r="S21" t="s">
        <v>117</v>
      </c>
      <c r="T21" t="s">
        <v>701</v>
      </c>
      <c r="U21">
        <v>4</v>
      </c>
      <c r="V21">
        <v>3</v>
      </c>
      <c r="W21">
        <v>5</v>
      </c>
      <c r="X21">
        <v>5</v>
      </c>
      <c r="Y21">
        <v>3</v>
      </c>
      <c r="Z21">
        <v>1</v>
      </c>
      <c r="AA21">
        <v>3</v>
      </c>
      <c r="AB21">
        <v>1</v>
      </c>
      <c r="AC21">
        <v>3.5</v>
      </c>
      <c r="AD21">
        <f>IF(#REF! = 3, 1, IF(#REF! = 2.5, 0.5, IF(#REF! = 3.5, 0.5, 0)))</f>
        <v>0.5</v>
      </c>
      <c r="AE21" t="s">
        <v>140</v>
      </c>
      <c r="AF21">
        <f>IF(#REF!="PM &lt; 2.5 μm", 1, 0)</f>
        <v>1</v>
      </c>
      <c r="AG21" t="s">
        <v>175</v>
      </c>
      <c r="AH21">
        <f>IF(#REF!="Particles of this size are generally absorbed in the respiratory tract and safely excreted in mucus.", 1, 0)</f>
        <v>1</v>
      </c>
      <c r="AI21" t="s">
        <v>224</v>
      </c>
      <c r="AJ21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1</v>
      </c>
      <c r="AK21">
        <v>5</v>
      </c>
      <c r="AL21">
        <v>2</v>
      </c>
      <c r="AM21">
        <v>2</v>
      </c>
      <c r="AN21">
        <v>1</v>
      </c>
      <c r="AO21">
        <v>5</v>
      </c>
      <c r="AP21">
        <v>5</v>
      </c>
      <c r="AQ21">
        <v>7</v>
      </c>
      <c r="AR21" t="s">
        <v>111</v>
      </c>
    </row>
    <row r="22" spans="1:44" x14ac:dyDescent="0.25">
      <c r="A22" t="s">
        <v>335</v>
      </c>
      <c r="B22" t="s">
        <v>336</v>
      </c>
      <c r="C22" t="s">
        <v>42</v>
      </c>
      <c r="D22" t="s">
        <v>337</v>
      </c>
      <c r="E22">
        <v>1</v>
      </c>
      <c r="F22" t="s">
        <v>112</v>
      </c>
      <c r="G22">
        <f>_xlfn.NUMBERVALUE(#REF!)</f>
        <v>335</v>
      </c>
      <c r="H22" t="s">
        <v>338</v>
      </c>
      <c r="I22" t="s">
        <v>114</v>
      </c>
      <c r="J22" t="s">
        <v>339</v>
      </c>
      <c r="K22" t="s">
        <v>340</v>
      </c>
      <c r="L22" t="s">
        <v>111</v>
      </c>
      <c r="M22" t="s">
        <v>111</v>
      </c>
      <c r="N22" t="s">
        <v>111</v>
      </c>
      <c r="O22" t="s">
        <v>111</v>
      </c>
      <c r="P22" t="s">
        <v>341</v>
      </c>
      <c r="Q22" t="s">
        <v>342</v>
      </c>
      <c r="R22" t="s">
        <v>127</v>
      </c>
      <c r="S22" t="s">
        <v>117</v>
      </c>
      <c r="T22" t="s">
        <v>343</v>
      </c>
      <c r="U22">
        <v>5</v>
      </c>
      <c r="V22">
        <v>4</v>
      </c>
      <c r="W22">
        <v>5</v>
      </c>
      <c r="X22">
        <v>5</v>
      </c>
      <c r="Y22">
        <v>4</v>
      </c>
      <c r="Z22">
        <v>5</v>
      </c>
      <c r="AA22">
        <v>5</v>
      </c>
      <c r="AB22">
        <v>4</v>
      </c>
      <c r="AC22">
        <v>3.5</v>
      </c>
      <c r="AD22">
        <f>IF(#REF! = 3, 1, IF(#REF! = 2.5, 0.5, IF(#REF! = 3.5, 0.5, 0)))</f>
        <v>0.5</v>
      </c>
      <c r="AE22" t="s">
        <v>130</v>
      </c>
      <c r="AF22">
        <f>IF(#REF!="PM &lt; 2.5 μm", 1, 0)</f>
        <v>0</v>
      </c>
      <c r="AG22" t="s">
        <v>175</v>
      </c>
      <c r="AH22">
        <f>IF(#REF!="Particles of this size are generally absorbed in the respiratory tract and safely excreted in mucus.", 1, 0)</f>
        <v>1</v>
      </c>
      <c r="AI22" t="s">
        <v>156</v>
      </c>
      <c r="AJ22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4</v>
      </c>
      <c r="AK22">
        <v>1</v>
      </c>
      <c r="AL22">
        <v>1</v>
      </c>
      <c r="AM22">
        <v>2</v>
      </c>
      <c r="AN22">
        <v>1</v>
      </c>
      <c r="AO22">
        <v>4</v>
      </c>
      <c r="AP22">
        <v>1</v>
      </c>
      <c r="AQ22">
        <v>7</v>
      </c>
      <c r="AR22" t="s">
        <v>344</v>
      </c>
    </row>
    <row r="23" spans="1:44" x14ac:dyDescent="0.25">
      <c r="A23" t="s">
        <v>298</v>
      </c>
      <c r="B23" t="s">
        <v>299</v>
      </c>
      <c r="C23" t="s">
        <v>42</v>
      </c>
      <c r="D23" t="s">
        <v>300</v>
      </c>
      <c r="E23">
        <v>1</v>
      </c>
      <c r="F23" t="s">
        <v>112</v>
      </c>
      <c r="G23">
        <f>_xlfn.NUMBERVALUE(#REF!)</f>
        <v>117</v>
      </c>
      <c r="H23" t="s">
        <v>301</v>
      </c>
      <c r="I23" t="s">
        <v>114</v>
      </c>
      <c r="J23" t="s">
        <v>302</v>
      </c>
      <c r="K23" t="s">
        <v>303</v>
      </c>
      <c r="L23" t="s">
        <v>111</v>
      </c>
      <c r="M23" t="s">
        <v>111</v>
      </c>
      <c r="N23" t="s">
        <v>111</v>
      </c>
      <c r="O23" t="s">
        <v>111</v>
      </c>
      <c r="P23" t="s">
        <v>229</v>
      </c>
      <c r="Q23" t="s">
        <v>230</v>
      </c>
      <c r="R23" t="s">
        <v>127</v>
      </c>
      <c r="S23" t="s">
        <v>117</v>
      </c>
      <c r="T23" t="s">
        <v>304</v>
      </c>
      <c r="U23">
        <v>4</v>
      </c>
      <c r="V23">
        <v>4</v>
      </c>
      <c r="W23">
        <v>5</v>
      </c>
      <c r="X23">
        <v>5</v>
      </c>
      <c r="Y23">
        <v>3</v>
      </c>
      <c r="Z23">
        <v>3</v>
      </c>
      <c r="AA23">
        <v>4</v>
      </c>
      <c r="AB23">
        <v>3</v>
      </c>
      <c r="AC23">
        <v>3.5</v>
      </c>
      <c r="AD23">
        <f>IF(#REF! = 3, 1, IF(#REF! = 2.5, 0.5, IF(#REF! = 3.5, 0.5, 0)))</f>
        <v>0.5</v>
      </c>
      <c r="AE23" t="s">
        <v>185</v>
      </c>
      <c r="AF23">
        <f>IF(#REF!="PM &lt; 2.5 μm", 1, 0)</f>
        <v>0</v>
      </c>
      <c r="AG23" t="s">
        <v>155</v>
      </c>
      <c r="AH23">
        <f>IF(#REF!="Particles of this size are generally absorbed in the respiratory tract and safely excreted in mucus.", 1, 0)</f>
        <v>0</v>
      </c>
      <c r="AI23" t="s">
        <v>142</v>
      </c>
      <c r="AJ23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2</v>
      </c>
      <c r="AK23">
        <v>3</v>
      </c>
      <c r="AL23">
        <v>2</v>
      </c>
      <c r="AM23">
        <v>3</v>
      </c>
      <c r="AN23">
        <v>3</v>
      </c>
      <c r="AO23">
        <v>4</v>
      </c>
      <c r="AP23">
        <v>3</v>
      </c>
      <c r="AQ23">
        <v>5</v>
      </c>
      <c r="AR23" t="s">
        <v>111</v>
      </c>
    </row>
    <row r="24" spans="1:44" x14ac:dyDescent="0.25">
      <c r="A24" t="s">
        <v>492</v>
      </c>
      <c r="B24" t="s">
        <v>485</v>
      </c>
      <c r="C24" t="s">
        <v>42</v>
      </c>
      <c r="D24" t="s">
        <v>493</v>
      </c>
      <c r="E24">
        <v>1</v>
      </c>
      <c r="F24" t="s">
        <v>112</v>
      </c>
      <c r="G24">
        <f>_xlfn.NUMBERVALUE(#REF!)</f>
        <v>121</v>
      </c>
      <c r="H24" t="s">
        <v>494</v>
      </c>
      <c r="I24" t="s">
        <v>114</v>
      </c>
      <c r="J24" t="s">
        <v>485</v>
      </c>
      <c r="K24" t="s">
        <v>495</v>
      </c>
      <c r="L24" t="s">
        <v>111</v>
      </c>
      <c r="M24" t="s">
        <v>111</v>
      </c>
      <c r="N24" t="s">
        <v>111</v>
      </c>
      <c r="O24" t="s">
        <v>111</v>
      </c>
      <c r="P24" t="s">
        <v>351</v>
      </c>
      <c r="Q24" t="s">
        <v>352</v>
      </c>
      <c r="R24" t="s">
        <v>487</v>
      </c>
      <c r="S24" t="s">
        <v>117</v>
      </c>
      <c r="T24" t="s">
        <v>496</v>
      </c>
      <c r="U24">
        <v>3</v>
      </c>
      <c r="V24">
        <v>2</v>
      </c>
      <c r="W24">
        <v>4</v>
      </c>
      <c r="X24">
        <v>5</v>
      </c>
      <c r="Y24">
        <v>1</v>
      </c>
      <c r="Z24">
        <v>2</v>
      </c>
      <c r="AA24">
        <v>5</v>
      </c>
      <c r="AB24">
        <v>2</v>
      </c>
      <c r="AC24">
        <v>4</v>
      </c>
      <c r="AD24">
        <f>IF(#REF! = 3, 1, IF(#REF! = 2.5, 0.5, IF(#REF! = 3.5, 0.5, 0)))</f>
        <v>0</v>
      </c>
      <c r="AE24" t="s">
        <v>140</v>
      </c>
      <c r="AF24">
        <f>IF(#REF!="PM &lt; 2.5 μm", 1, 0)</f>
        <v>1</v>
      </c>
      <c r="AG24" t="s">
        <v>175</v>
      </c>
      <c r="AH24">
        <f>IF(#REF!="Particles of this size are generally absorbed in the respiratory tract and safely excreted in mucus.", 1, 0)</f>
        <v>1</v>
      </c>
      <c r="AI24" t="s">
        <v>142</v>
      </c>
      <c r="AJ24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2</v>
      </c>
      <c r="AK24">
        <v>4</v>
      </c>
      <c r="AL24">
        <v>1</v>
      </c>
      <c r="AM24">
        <v>5</v>
      </c>
      <c r="AN24">
        <v>1</v>
      </c>
      <c r="AO24">
        <v>2</v>
      </c>
      <c r="AP24">
        <v>4</v>
      </c>
      <c r="AQ24">
        <v>7</v>
      </c>
      <c r="AR24" t="s">
        <v>497</v>
      </c>
    </row>
    <row r="25" spans="1:44" x14ac:dyDescent="0.25">
      <c r="A25" t="s">
        <v>209</v>
      </c>
      <c r="B25" t="s">
        <v>210</v>
      </c>
      <c r="C25" t="s">
        <v>42</v>
      </c>
      <c r="D25" t="s">
        <v>211</v>
      </c>
      <c r="E25">
        <v>1</v>
      </c>
      <c r="F25" t="s">
        <v>112</v>
      </c>
      <c r="G25">
        <f>_xlfn.NUMBERVALUE(#REF!)</f>
        <v>96</v>
      </c>
      <c r="H25" t="s">
        <v>212</v>
      </c>
      <c r="I25" t="s">
        <v>114</v>
      </c>
      <c r="J25" t="s">
        <v>210</v>
      </c>
      <c r="K25" t="s">
        <v>213</v>
      </c>
      <c r="L25" t="s">
        <v>111</v>
      </c>
      <c r="M25" t="s">
        <v>111</v>
      </c>
      <c r="N25" t="s">
        <v>111</v>
      </c>
      <c r="O25" t="s">
        <v>111</v>
      </c>
      <c r="P25" t="s">
        <v>214</v>
      </c>
      <c r="Q25" t="s">
        <v>215</v>
      </c>
      <c r="R25" t="s">
        <v>127</v>
      </c>
      <c r="S25" t="s">
        <v>117</v>
      </c>
      <c r="T25" t="s">
        <v>216</v>
      </c>
      <c r="U25">
        <v>1</v>
      </c>
      <c r="V25">
        <v>2</v>
      </c>
      <c r="W25">
        <v>5</v>
      </c>
      <c r="X25">
        <v>2</v>
      </c>
      <c r="Y25">
        <v>0</v>
      </c>
      <c r="Z25">
        <v>0</v>
      </c>
      <c r="AA25">
        <v>2</v>
      </c>
      <c r="AB25">
        <v>0</v>
      </c>
      <c r="AC25">
        <v>4</v>
      </c>
      <c r="AD25">
        <f>IF(#REF! = 3, 1, IF(#REF! = 2.5, 0.5, IF(#REF! = 3.5, 0.5, 0)))</f>
        <v>0</v>
      </c>
      <c r="AE25" t="s">
        <v>130</v>
      </c>
      <c r="AF25">
        <f>IF(#REF!="PM &lt; 2.5 μm", 1, 0)</f>
        <v>0</v>
      </c>
      <c r="AG25" t="s">
        <v>131</v>
      </c>
      <c r="AH25">
        <f>IF(#REF!="Particles of this size are generally absorbed in the respiratory tract and safely excreted in mucus.", 1, 0)</f>
        <v>0</v>
      </c>
      <c r="AI25" t="s">
        <v>167</v>
      </c>
      <c r="AJ25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3</v>
      </c>
      <c r="AK25">
        <v>5</v>
      </c>
      <c r="AL25">
        <v>3</v>
      </c>
      <c r="AM25">
        <v>5</v>
      </c>
      <c r="AN25">
        <v>5</v>
      </c>
      <c r="AO25">
        <v>5</v>
      </c>
      <c r="AP25">
        <v>5</v>
      </c>
      <c r="AQ25">
        <v>8</v>
      </c>
      <c r="AR25" t="s">
        <v>111</v>
      </c>
    </row>
    <row r="26" spans="1:44" x14ac:dyDescent="0.25">
      <c r="A26" t="s">
        <v>404</v>
      </c>
      <c r="B26" t="s">
        <v>405</v>
      </c>
      <c r="C26" t="s">
        <v>42</v>
      </c>
      <c r="D26" t="s">
        <v>406</v>
      </c>
      <c r="E26">
        <v>1</v>
      </c>
      <c r="F26" t="s">
        <v>112</v>
      </c>
      <c r="G26">
        <f>_xlfn.NUMBERVALUE(#REF!)</f>
        <v>199</v>
      </c>
      <c r="H26" t="s">
        <v>407</v>
      </c>
      <c r="I26" t="s">
        <v>114</v>
      </c>
      <c r="J26" t="s">
        <v>408</v>
      </c>
      <c r="K26" t="s">
        <v>409</v>
      </c>
      <c r="L26" t="s">
        <v>111</v>
      </c>
      <c r="M26" t="s">
        <v>111</v>
      </c>
      <c r="N26" t="s">
        <v>111</v>
      </c>
      <c r="O26" t="s">
        <v>111</v>
      </c>
      <c r="P26" t="s">
        <v>351</v>
      </c>
      <c r="Q26" t="s">
        <v>352</v>
      </c>
      <c r="R26" t="s">
        <v>127</v>
      </c>
      <c r="S26" t="s">
        <v>117</v>
      </c>
      <c r="T26" t="s">
        <v>410</v>
      </c>
      <c r="U26">
        <v>3</v>
      </c>
      <c r="V26">
        <v>4</v>
      </c>
      <c r="W26">
        <v>4</v>
      </c>
      <c r="X26">
        <v>4</v>
      </c>
      <c r="Y26">
        <v>3</v>
      </c>
      <c r="Z26">
        <v>4</v>
      </c>
      <c r="AA26">
        <v>5</v>
      </c>
      <c r="AB26">
        <v>4</v>
      </c>
      <c r="AC26">
        <v>4</v>
      </c>
      <c r="AD26">
        <f>IF(#REF! = 3, 1, IF(#REF! = 2.5, 0.5, IF(#REF! = 3.5, 0.5, 0)))</f>
        <v>0</v>
      </c>
      <c r="AE26" t="s">
        <v>130</v>
      </c>
      <c r="AF26">
        <f>IF(#REF!="PM &lt; 2.5 μm", 1, 0)</f>
        <v>0</v>
      </c>
      <c r="AG26" t="s">
        <v>131</v>
      </c>
      <c r="AH26">
        <f>IF(#REF!="Particles of this size are generally absorbed in the respiratory tract and safely excreted in mucus.", 1, 0)</f>
        <v>0</v>
      </c>
      <c r="AI26" t="s">
        <v>353</v>
      </c>
      <c r="AJ26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3</v>
      </c>
      <c r="AK26">
        <v>3</v>
      </c>
      <c r="AL26">
        <v>3</v>
      </c>
      <c r="AM26">
        <v>4</v>
      </c>
      <c r="AN26">
        <v>4</v>
      </c>
      <c r="AO26">
        <v>4</v>
      </c>
      <c r="AP26">
        <v>4</v>
      </c>
      <c r="AQ26">
        <v>6</v>
      </c>
      <c r="AR26" t="s">
        <v>411</v>
      </c>
    </row>
    <row r="27" spans="1:44" x14ac:dyDescent="0.25">
      <c r="A27" t="s">
        <v>133</v>
      </c>
      <c r="B27" t="s">
        <v>134</v>
      </c>
      <c r="C27" t="s">
        <v>42</v>
      </c>
      <c r="D27" t="s">
        <v>135</v>
      </c>
      <c r="E27">
        <v>1</v>
      </c>
      <c r="F27" t="s">
        <v>112</v>
      </c>
      <c r="G27">
        <f>_xlfn.NUMBERVALUE(#REF!)</f>
        <v>195</v>
      </c>
      <c r="H27" t="s">
        <v>136</v>
      </c>
      <c r="I27" t="s">
        <v>114</v>
      </c>
      <c r="J27" t="s">
        <v>137</v>
      </c>
      <c r="K27" t="s">
        <v>138</v>
      </c>
      <c r="L27" t="s">
        <v>111</v>
      </c>
      <c r="M27" t="s">
        <v>111</v>
      </c>
      <c r="N27" t="s">
        <v>111</v>
      </c>
      <c r="O27" t="s">
        <v>111</v>
      </c>
      <c r="P27" t="s">
        <v>115</v>
      </c>
      <c r="Q27" t="s">
        <v>116</v>
      </c>
      <c r="R27" t="s">
        <v>127</v>
      </c>
      <c r="S27" t="s">
        <v>117</v>
      </c>
      <c r="T27" t="s">
        <v>139</v>
      </c>
      <c r="U27">
        <v>4</v>
      </c>
      <c r="V27">
        <v>5</v>
      </c>
      <c r="W27">
        <v>5</v>
      </c>
      <c r="X27">
        <v>5</v>
      </c>
      <c r="Y27">
        <v>3</v>
      </c>
      <c r="Z27">
        <v>4</v>
      </c>
      <c r="AA27">
        <v>5</v>
      </c>
      <c r="AB27">
        <v>3</v>
      </c>
      <c r="AC27">
        <v>4</v>
      </c>
      <c r="AD27">
        <f>IF(#REF! = 3, 1, IF(#REF! = 2.5, 0.5, IF(#REF! = 3.5, 0.5, 0)))</f>
        <v>0</v>
      </c>
      <c r="AE27" t="s">
        <v>140</v>
      </c>
      <c r="AF27">
        <f>IF(#REF!="PM &lt; 2.5 μm", 1, 0)</f>
        <v>1</v>
      </c>
      <c r="AG27" t="s">
        <v>141</v>
      </c>
      <c r="AH27">
        <f>IF(#REF!="Particles of this size are generally absorbed in the respiratory tract and safely excreted in mucus.", 1, 0)</f>
        <v>0</v>
      </c>
      <c r="AI27" t="s">
        <v>142</v>
      </c>
      <c r="AJ27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2</v>
      </c>
      <c r="AK27">
        <v>3</v>
      </c>
      <c r="AL27">
        <v>1</v>
      </c>
      <c r="AM27">
        <v>2</v>
      </c>
      <c r="AN27">
        <v>1</v>
      </c>
      <c r="AO27">
        <v>3</v>
      </c>
      <c r="AP27">
        <v>4</v>
      </c>
      <c r="AQ27">
        <v>8</v>
      </c>
      <c r="AR27" t="s">
        <v>144</v>
      </c>
    </row>
    <row r="28" spans="1:44" x14ac:dyDescent="0.25">
      <c r="A28" t="s">
        <v>732</v>
      </c>
      <c r="B28" t="s">
        <v>733</v>
      </c>
      <c r="C28" t="s">
        <v>42</v>
      </c>
      <c r="D28" t="s">
        <v>389</v>
      </c>
      <c r="E28">
        <v>1</v>
      </c>
      <c r="F28" t="s">
        <v>112</v>
      </c>
      <c r="G28">
        <f>_xlfn.NUMBERVALUE(#REF!)</f>
        <v>408</v>
      </c>
      <c r="H28" t="s">
        <v>734</v>
      </c>
      <c r="I28" t="s">
        <v>114</v>
      </c>
      <c r="J28" t="s">
        <v>735</v>
      </c>
      <c r="K28" t="s">
        <v>736</v>
      </c>
      <c r="L28" t="s">
        <v>111</v>
      </c>
      <c r="M28" t="s">
        <v>111</v>
      </c>
      <c r="N28" t="s">
        <v>111</v>
      </c>
      <c r="O28" t="s">
        <v>111</v>
      </c>
      <c r="P28" t="s">
        <v>392</v>
      </c>
      <c r="Q28" t="s">
        <v>393</v>
      </c>
      <c r="R28" t="s">
        <v>487</v>
      </c>
      <c r="S28" t="s">
        <v>117</v>
      </c>
      <c r="T28" t="s">
        <v>737</v>
      </c>
      <c r="U28">
        <v>4</v>
      </c>
      <c r="V28">
        <v>3</v>
      </c>
      <c r="W28">
        <v>3</v>
      </c>
      <c r="X28">
        <v>4</v>
      </c>
      <c r="Y28">
        <v>3</v>
      </c>
      <c r="Z28">
        <v>2</v>
      </c>
      <c r="AA28">
        <v>4</v>
      </c>
      <c r="AB28">
        <v>1</v>
      </c>
      <c r="AC28">
        <v>2.5</v>
      </c>
      <c r="AD28">
        <f>IF(#REF! = 3, 1, IF(#REF! = 2.5, 0.5, IF(#REF! = 3.5, 0.5, 0)))</f>
        <v>0.5</v>
      </c>
      <c r="AE28" t="s">
        <v>140</v>
      </c>
      <c r="AF28">
        <f>IF(#REF!="PM &lt; 2.5 μm", 1, 0)</f>
        <v>1</v>
      </c>
      <c r="AG28" t="s">
        <v>131</v>
      </c>
      <c r="AH28">
        <f>IF(#REF!="Particles of this size are generally absorbed in the respiratory tract and safely excreted in mucus.", 1, 0)</f>
        <v>0</v>
      </c>
      <c r="AI28" t="s">
        <v>167</v>
      </c>
      <c r="AJ28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3</v>
      </c>
      <c r="AK28">
        <v>3</v>
      </c>
      <c r="AL28">
        <v>1</v>
      </c>
      <c r="AM28">
        <v>2</v>
      </c>
      <c r="AN28">
        <v>1</v>
      </c>
      <c r="AO28">
        <v>3</v>
      </c>
      <c r="AP28">
        <v>3</v>
      </c>
      <c r="AQ28">
        <v>7</v>
      </c>
      <c r="AR28" t="s">
        <v>111</v>
      </c>
    </row>
    <row r="29" spans="1:44" x14ac:dyDescent="0.25">
      <c r="A29" t="s">
        <v>225</v>
      </c>
      <c r="B29" t="s">
        <v>226</v>
      </c>
      <c r="C29" t="s">
        <v>42</v>
      </c>
      <c r="D29" t="s">
        <v>227</v>
      </c>
      <c r="E29">
        <v>1</v>
      </c>
      <c r="F29" t="s">
        <v>112</v>
      </c>
      <c r="G29">
        <f>_xlfn.NUMBERVALUE(#REF!)</f>
        <v>139</v>
      </c>
      <c r="H29" t="s">
        <v>220</v>
      </c>
      <c r="I29" t="s">
        <v>114</v>
      </c>
      <c r="J29" t="s">
        <v>226</v>
      </c>
      <c r="K29" t="s">
        <v>228</v>
      </c>
      <c r="L29" t="s">
        <v>111</v>
      </c>
      <c r="M29" t="s">
        <v>111</v>
      </c>
      <c r="N29" t="s">
        <v>111</v>
      </c>
      <c r="O29" t="s">
        <v>111</v>
      </c>
      <c r="P29" t="s">
        <v>229</v>
      </c>
      <c r="Q29" t="s">
        <v>230</v>
      </c>
      <c r="R29" t="s">
        <v>127</v>
      </c>
      <c r="S29" t="s">
        <v>117</v>
      </c>
      <c r="T29" t="s">
        <v>231</v>
      </c>
      <c r="U29">
        <v>5</v>
      </c>
      <c r="V29">
        <v>5</v>
      </c>
      <c r="W29">
        <v>5</v>
      </c>
      <c r="X29">
        <v>5</v>
      </c>
      <c r="Y29">
        <v>3</v>
      </c>
      <c r="Z29">
        <v>4</v>
      </c>
      <c r="AA29">
        <v>5</v>
      </c>
      <c r="AB29">
        <v>4</v>
      </c>
      <c r="AC29">
        <v>4</v>
      </c>
      <c r="AD29">
        <f>IF(#REF! = 3, 1, IF(#REF! = 2.5, 0.5, IF(#REF! = 3.5, 0.5, 0)))</f>
        <v>0</v>
      </c>
      <c r="AE29" t="s">
        <v>166</v>
      </c>
      <c r="AF29">
        <f>IF(#REF!="PM &lt; 2.5 μm", 1, 0)</f>
        <v>0</v>
      </c>
      <c r="AG29" t="s">
        <v>155</v>
      </c>
      <c r="AH29">
        <f>IF(#REF!="Particles of this size are generally absorbed in the respiratory tract and safely excreted in mucus.", 1, 0)</f>
        <v>0</v>
      </c>
      <c r="AI29" t="s">
        <v>232</v>
      </c>
      <c r="AJ29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1</v>
      </c>
      <c r="AK29">
        <v>5</v>
      </c>
      <c r="AL29">
        <v>5</v>
      </c>
      <c r="AM29">
        <v>4</v>
      </c>
      <c r="AN29">
        <v>4</v>
      </c>
      <c r="AO29">
        <v>5</v>
      </c>
      <c r="AP29">
        <v>3</v>
      </c>
      <c r="AQ29">
        <v>9</v>
      </c>
      <c r="AR29" t="s">
        <v>111</v>
      </c>
    </row>
    <row r="30" spans="1:44" x14ac:dyDescent="0.25">
      <c r="A30" t="s">
        <v>292</v>
      </c>
      <c r="B30" t="s">
        <v>293</v>
      </c>
      <c r="C30" t="s">
        <v>42</v>
      </c>
      <c r="D30" t="s">
        <v>190</v>
      </c>
      <c r="E30">
        <v>1</v>
      </c>
      <c r="F30" t="s">
        <v>112</v>
      </c>
      <c r="G30">
        <f>_xlfn.NUMBERVALUE(#REF!)</f>
        <v>263</v>
      </c>
      <c r="H30" t="s">
        <v>294</v>
      </c>
      <c r="I30" t="s">
        <v>114</v>
      </c>
      <c r="J30" t="s">
        <v>295</v>
      </c>
      <c r="K30" t="s">
        <v>296</v>
      </c>
      <c r="L30" t="s">
        <v>111</v>
      </c>
      <c r="M30" t="s">
        <v>111</v>
      </c>
      <c r="N30" t="s">
        <v>111</v>
      </c>
      <c r="O30" t="s">
        <v>111</v>
      </c>
      <c r="P30" t="s">
        <v>193</v>
      </c>
      <c r="Q30" t="s">
        <v>194</v>
      </c>
      <c r="R30" t="s">
        <v>127</v>
      </c>
      <c r="S30" t="s">
        <v>117</v>
      </c>
      <c r="T30" t="s">
        <v>297</v>
      </c>
      <c r="U30">
        <v>4</v>
      </c>
      <c r="V30">
        <v>4</v>
      </c>
      <c r="W30">
        <v>4</v>
      </c>
      <c r="X30">
        <v>4</v>
      </c>
      <c r="Y30">
        <v>2</v>
      </c>
      <c r="Z30">
        <v>3</v>
      </c>
      <c r="AA30">
        <v>4</v>
      </c>
      <c r="AB30">
        <v>2</v>
      </c>
      <c r="AC30">
        <v>4</v>
      </c>
      <c r="AD30">
        <f>IF(#REF! = 3, 1, IF(#REF! = 2.5, 0.5, IF(#REF! = 3.5, 0.5, 0)))</f>
        <v>0</v>
      </c>
      <c r="AE30" t="s">
        <v>130</v>
      </c>
      <c r="AF30">
        <f>IF(#REF!="PM &lt; 2.5 μm", 1, 0)</f>
        <v>0</v>
      </c>
      <c r="AG30" t="s">
        <v>131</v>
      </c>
      <c r="AH30">
        <f>IF(#REF!="Particles of this size are generally absorbed in the respiratory tract and safely excreted in mucus.", 1, 0)</f>
        <v>0</v>
      </c>
      <c r="AI30" t="s">
        <v>186</v>
      </c>
      <c r="AJ30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3</v>
      </c>
      <c r="AK30">
        <v>2</v>
      </c>
      <c r="AL30">
        <v>2</v>
      </c>
      <c r="AM30">
        <v>2</v>
      </c>
      <c r="AN30">
        <v>2</v>
      </c>
      <c r="AO30">
        <v>2</v>
      </c>
      <c r="AP30">
        <v>4</v>
      </c>
      <c r="AQ30">
        <v>7</v>
      </c>
      <c r="AR30" t="s">
        <v>111</v>
      </c>
    </row>
    <row r="31" spans="1:44" x14ac:dyDescent="0.25">
      <c r="A31" t="s">
        <v>651</v>
      </c>
      <c r="B31" t="s">
        <v>652</v>
      </c>
      <c r="C31" t="s">
        <v>42</v>
      </c>
      <c r="D31" t="s">
        <v>653</v>
      </c>
      <c r="E31">
        <v>1</v>
      </c>
      <c r="F31" t="s">
        <v>112</v>
      </c>
      <c r="G31">
        <f>_xlfn.NUMBERVALUE(#REF!)</f>
        <v>270</v>
      </c>
      <c r="H31" t="s">
        <v>654</v>
      </c>
      <c r="I31" t="s">
        <v>114</v>
      </c>
      <c r="J31" t="s">
        <v>652</v>
      </c>
      <c r="K31" t="s">
        <v>655</v>
      </c>
      <c r="L31" t="s">
        <v>111</v>
      </c>
      <c r="M31" t="s">
        <v>111</v>
      </c>
      <c r="N31" t="s">
        <v>111</v>
      </c>
      <c r="O31" t="s">
        <v>111</v>
      </c>
      <c r="P31" t="s">
        <v>656</v>
      </c>
      <c r="Q31" t="s">
        <v>657</v>
      </c>
      <c r="R31" t="s">
        <v>127</v>
      </c>
      <c r="S31" t="s">
        <v>117</v>
      </c>
      <c r="T31" t="s">
        <v>658</v>
      </c>
      <c r="U31">
        <v>3</v>
      </c>
      <c r="V31">
        <v>2</v>
      </c>
      <c r="W31">
        <v>3</v>
      </c>
      <c r="X31">
        <v>3</v>
      </c>
      <c r="Y31">
        <v>2</v>
      </c>
      <c r="Z31">
        <v>0</v>
      </c>
      <c r="AA31">
        <v>2</v>
      </c>
      <c r="AC31">
        <v>3</v>
      </c>
      <c r="AD31">
        <f>IF(#REF! = 3, 1, IF(#REF! = 2.5, 0.5, IF(#REF! = 3.5, 0.5, 0)))</f>
        <v>1</v>
      </c>
      <c r="AE31" t="s">
        <v>185</v>
      </c>
      <c r="AF31">
        <f>IF(#REF!="PM &lt; 2.5 μm", 1, 0)</f>
        <v>0</v>
      </c>
      <c r="AG31" t="s">
        <v>141</v>
      </c>
      <c r="AH31">
        <f>IF(#REF!="Particles of this size are generally absorbed in the respiratory tract and safely excreted in mucus.", 1, 0)</f>
        <v>0</v>
      </c>
      <c r="AI31" t="s">
        <v>650</v>
      </c>
      <c r="AJ31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3</v>
      </c>
      <c r="AK31">
        <v>2</v>
      </c>
      <c r="AM31">
        <v>2</v>
      </c>
      <c r="AO31">
        <v>2</v>
      </c>
      <c r="AQ31">
        <v>3</v>
      </c>
      <c r="AR31" t="s">
        <v>111</v>
      </c>
    </row>
    <row r="32" spans="1:44" x14ac:dyDescent="0.25">
      <c r="A32" t="s">
        <v>585</v>
      </c>
      <c r="B32" t="s">
        <v>586</v>
      </c>
      <c r="C32" t="s">
        <v>42</v>
      </c>
      <c r="D32" t="s">
        <v>587</v>
      </c>
      <c r="E32">
        <v>1</v>
      </c>
      <c r="F32" t="s">
        <v>112</v>
      </c>
      <c r="G32">
        <f>_xlfn.NUMBERVALUE(#REF!)</f>
        <v>191</v>
      </c>
      <c r="H32" t="s">
        <v>588</v>
      </c>
      <c r="I32" t="s">
        <v>114</v>
      </c>
      <c r="J32" t="s">
        <v>586</v>
      </c>
      <c r="K32" t="s">
        <v>589</v>
      </c>
      <c r="L32" t="s">
        <v>111</v>
      </c>
      <c r="M32" t="s">
        <v>111</v>
      </c>
      <c r="N32" t="s">
        <v>111</v>
      </c>
      <c r="O32" t="s">
        <v>111</v>
      </c>
      <c r="P32" t="s">
        <v>115</v>
      </c>
      <c r="Q32" t="s">
        <v>116</v>
      </c>
      <c r="R32" t="s">
        <v>487</v>
      </c>
      <c r="S32" t="s">
        <v>117</v>
      </c>
      <c r="T32" t="s">
        <v>590</v>
      </c>
      <c r="U32">
        <v>5</v>
      </c>
      <c r="V32">
        <v>5</v>
      </c>
      <c r="W32">
        <v>5</v>
      </c>
      <c r="X32">
        <v>5</v>
      </c>
      <c r="Y32">
        <v>3</v>
      </c>
      <c r="Z32">
        <v>5</v>
      </c>
      <c r="AA32">
        <v>5</v>
      </c>
      <c r="AB32">
        <v>5</v>
      </c>
      <c r="AC32">
        <v>5</v>
      </c>
      <c r="AD32">
        <f>IF(#REF! = 3, 1, IF(#REF! = 2.5, 0.5, IF(#REF! = 3.5, 0.5, 0)))</f>
        <v>0</v>
      </c>
      <c r="AE32" t="s">
        <v>140</v>
      </c>
      <c r="AF32">
        <f>IF(#REF!="PM &lt; 2.5 μm", 1, 0)</f>
        <v>1</v>
      </c>
      <c r="AG32" t="s">
        <v>175</v>
      </c>
      <c r="AH32">
        <f>IF(#REF!="Particles of this size are generally absorbed in the respiratory tract and safely excreted in mucus.", 1, 0)</f>
        <v>1</v>
      </c>
      <c r="AI32" t="s">
        <v>206</v>
      </c>
      <c r="AJ32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2</v>
      </c>
      <c r="AK32">
        <v>2</v>
      </c>
      <c r="AL32">
        <v>2</v>
      </c>
      <c r="AM32">
        <v>4</v>
      </c>
      <c r="AN32">
        <v>4</v>
      </c>
      <c r="AO32">
        <v>4</v>
      </c>
      <c r="AP32">
        <v>4</v>
      </c>
      <c r="AQ32">
        <v>8</v>
      </c>
      <c r="AR32" t="s">
        <v>111</v>
      </c>
    </row>
    <row r="33" spans="1:44" x14ac:dyDescent="0.25">
      <c r="A33" t="s">
        <v>813</v>
      </c>
      <c r="B33" t="s">
        <v>814</v>
      </c>
      <c r="C33" t="s">
        <v>42</v>
      </c>
      <c r="D33" t="s">
        <v>815</v>
      </c>
      <c r="E33">
        <v>1</v>
      </c>
      <c r="F33" t="s">
        <v>112</v>
      </c>
      <c r="G33">
        <f>_xlfn.NUMBERVALUE(#REF!)</f>
        <v>158</v>
      </c>
      <c r="H33" t="s">
        <v>816</v>
      </c>
      <c r="I33" t="s">
        <v>114</v>
      </c>
      <c r="J33" t="s">
        <v>814</v>
      </c>
      <c r="K33" t="s">
        <v>817</v>
      </c>
      <c r="L33" t="s">
        <v>111</v>
      </c>
      <c r="M33" t="s">
        <v>111</v>
      </c>
      <c r="N33" t="s">
        <v>111</v>
      </c>
      <c r="O33" t="s">
        <v>111</v>
      </c>
      <c r="P33" t="s">
        <v>351</v>
      </c>
      <c r="Q33" t="s">
        <v>352</v>
      </c>
      <c r="R33" t="s">
        <v>127</v>
      </c>
      <c r="S33" t="s">
        <v>117</v>
      </c>
      <c r="T33" t="s">
        <v>590</v>
      </c>
      <c r="U33">
        <v>5</v>
      </c>
      <c r="V33">
        <v>4</v>
      </c>
      <c r="W33">
        <v>5</v>
      </c>
      <c r="X33">
        <v>5</v>
      </c>
      <c r="Y33">
        <v>4</v>
      </c>
      <c r="Z33">
        <v>4</v>
      </c>
      <c r="AA33">
        <v>5</v>
      </c>
      <c r="AB33">
        <v>4</v>
      </c>
      <c r="AC33">
        <v>3</v>
      </c>
      <c r="AD33">
        <f>IF(#REF! = 3, 1, IF(#REF! = 2.5, 0.5, IF(#REF! = 3.5, 0.5, 0)))</f>
        <v>1</v>
      </c>
      <c r="AE33" t="s">
        <v>140</v>
      </c>
      <c r="AF33">
        <f>IF(#REF!="PM &lt; 2.5 μm", 1, 0)</f>
        <v>1</v>
      </c>
      <c r="AG33" t="s">
        <v>175</v>
      </c>
      <c r="AH33">
        <f>IF(#REF!="Particles of this size are generally absorbed in the respiratory tract and safely excreted in mucus.", 1, 0)</f>
        <v>1</v>
      </c>
      <c r="AI33" t="s">
        <v>186</v>
      </c>
      <c r="AJ33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3</v>
      </c>
      <c r="AK33">
        <v>4</v>
      </c>
      <c r="AL33">
        <v>5</v>
      </c>
      <c r="AM33">
        <v>4</v>
      </c>
      <c r="AN33">
        <v>4</v>
      </c>
      <c r="AO33">
        <v>4</v>
      </c>
      <c r="AP33">
        <v>4</v>
      </c>
      <c r="AQ33">
        <v>9</v>
      </c>
      <c r="AR33" t="s">
        <v>111</v>
      </c>
    </row>
    <row r="34" spans="1:44" x14ac:dyDescent="0.25">
      <c r="A34" t="s">
        <v>743</v>
      </c>
      <c r="B34" t="s">
        <v>744</v>
      </c>
      <c r="C34" t="s">
        <v>42</v>
      </c>
      <c r="D34" t="s">
        <v>389</v>
      </c>
      <c r="E34">
        <v>1</v>
      </c>
      <c r="F34" t="s">
        <v>112</v>
      </c>
      <c r="G34">
        <f>_xlfn.NUMBERVALUE(#REF!)</f>
        <v>383</v>
      </c>
      <c r="H34" t="s">
        <v>745</v>
      </c>
      <c r="I34" t="s">
        <v>114</v>
      </c>
      <c r="J34" t="s">
        <v>746</v>
      </c>
      <c r="K34" t="s">
        <v>747</v>
      </c>
      <c r="L34" t="s">
        <v>111</v>
      </c>
      <c r="M34" t="s">
        <v>111</v>
      </c>
      <c r="N34" t="s">
        <v>111</v>
      </c>
      <c r="O34" t="s">
        <v>111</v>
      </c>
      <c r="P34" t="s">
        <v>392</v>
      </c>
      <c r="Q34" t="s">
        <v>393</v>
      </c>
      <c r="R34" t="s">
        <v>127</v>
      </c>
      <c r="S34" t="s">
        <v>117</v>
      </c>
      <c r="T34" t="s">
        <v>748</v>
      </c>
      <c r="U34">
        <v>5</v>
      </c>
      <c r="V34">
        <v>4</v>
      </c>
      <c r="W34">
        <v>4</v>
      </c>
      <c r="X34">
        <v>5</v>
      </c>
      <c r="Y34">
        <v>4</v>
      </c>
      <c r="Z34">
        <v>3</v>
      </c>
      <c r="AA34">
        <v>5</v>
      </c>
      <c r="AB34">
        <v>4</v>
      </c>
      <c r="AC34">
        <v>4</v>
      </c>
      <c r="AD34">
        <f>IF(#REF! = 3, 1, IF(#REF! = 2.5, 0.5, IF(#REF! = 3.5, 0.5, 0)))</f>
        <v>0</v>
      </c>
      <c r="AE34" t="s">
        <v>140</v>
      </c>
      <c r="AF34">
        <f>IF(#REF!="PM &lt; 2.5 μm", 1, 0)</f>
        <v>1</v>
      </c>
      <c r="AG34" t="s">
        <v>141</v>
      </c>
      <c r="AH34">
        <f>IF(#REF!="Particles of this size are generally absorbed in the respiratory tract and safely excreted in mucus.", 1, 0)</f>
        <v>0</v>
      </c>
      <c r="AI34" t="s">
        <v>167</v>
      </c>
      <c r="AJ34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3</v>
      </c>
      <c r="AK34">
        <v>4</v>
      </c>
      <c r="AL34">
        <v>5</v>
      </c>
      <c r="AM34">
        <v>4</v>
      </c>
      <c r="AN34">
        <v>4</v>
      </c>
      <c r="AO34">
        <v>2</v>
      </c>
      <c r="AP34">
        <v>3</v>
      </c>
      <c r="AQ34">
        <v>10</v>
      </c>
      <c r="AR34" t="s">
        <v>749</v>
      </c>
    </row>
    <row r="35" spans="1:44" x14ac:dyDescent="0.25">
      <c r="A35" t="s">
        <v>785</v>
      </c>
      <c r="B35" t="s">
        <v>786</v>
      </c>
      <c r="C35" t="s">
        <v>42</v>
      </c>
      <c r="D35" t="s">
        <v>787</v>
      </c>
      <c r="E35">
        <v>1</v>
      </c>
      <c r="F35" t="s">
        <v>112</v>
      </c>
      <c r="G35">
        <f>_xlfn.NUMBERVALUE(#REF!)</f>
        <v>136</v>
      </c>
      <c r="H35" t="s">
        <v>740</v>
      </c>
      <c r="I35" t="s">
        <v>114</v>
      </c>
      <c r="J35" t="s">
        <v>788</v>
      </c>
      <c r="K35" t="s">
        <v>789</v>
      </c>
      <c r="L35" t="s">
        <v>111</v>
      </c>
      <c r="M35" t="s">
        <v>111</v>
      </c>
      <c r="N35" t="s">
        <v>111</v>
      </c>
      <c r="O35" t="s">
        <v>111</v>
      </c>
      <c r="P35" t="s">
        <v>790</v>
      </c>
      <c r="Q35" t="s">
        <v>791</v>
      </c>
      <c r="R35" t="s">
        <v>487</v>
      </c>
      <c r="S35" t="s">
        <v>117</v>
      </c>
      <c r="T35" t="s">
        <v>792</v>
      </c>
      <c r="U35">
        <v>4</v>
      </c>
      <c r="V35">
        <v>4</v>
      </c>
      <c r="W35">
        <v>4</v>
      </c>
      <c r="X35">
        <v>4</v>
      </c>
      <c r="Y35">
        <v>2</v>
      </c>
      <c r="Z35">
        <v>3</v>
      </c>
      <c r="AA35">
        <v>5</v>
      </c>
      <c r="AB35">
        <v>2</v>
      </c>
      <c r="AC35">
        <v>2</v>
      </c>
      <c r="AD35">
        <f>IF(#REF! = 3, 1, IF(#REF! = 2.5, 0.5, IF(#REF! = 3.5, 0.5, 0)))</f>
        <v>0</v>
      </c>
      <c r="AE35" t="s">
        <v>140</v>
      </c>
      <c r="AF35">
        <f>IF(#REF!="PM &lt; 2.5 μm", 1, 0)</f>
        <v>1</v>
      </c>
      <c r="AG35" t="s">
        <v>155</v>
      </c>
      <c r="AH35">
        <f>IF(#REF!="Particles of this size are generally absorbed in the respiratory tract and safely excreted in mucus.", 1, 0)</f>
        <v>0</v>
      </c>
      <c r="AI35" t="s">
        <v>327</v>
      </c>
      <c r="AJ35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1</v>
      </c>
      <c r="AK35">
        <v>1</v>
      </c>
      <c r="AL35">
        <v>1</v>
      </c>
      <c r="AM35">
        <v>3</v>
      </c>
      <c r="AN35">
        <v>1</v>
      </c>
      <c r="AO35">
        <v>3</v>
      </c>
      <c r="AP35">
        <v>4</v>
      </c>
      <c r="AQ35">
        <v>6</v>
      </c>
      <c r="AR35" t="s">
        <v>793</v>
      </c>
    </row>
    <row r="36" spans="1:44" x14ac:dyDescent="0.25">
      <c r="A36" t="s">
        <v>315</v>
      </c>
      <c r="B36" t="s">
        <v>316</v>
      </c>
      <c r="C36" t="s">
        <v>42</v>
      </c>
      <c r="D36" t="s">
        <v>317</v>
      </c>
      <c r="E36">
        <v>1</v>
      </c>
      <c r="F36" t="s">
        <v>112</v>
      </c>
      <c r="G36">
        <f>_xlfn.NUMBERVALUE(#REF!)</f>
        <v>117</v>
      </c>
      <c r="H36" t="s">
        <v>301</v>
      </c>
      <c r="I36" t="s">
        <v>114</v>
      </c>
      <c r="J36" t="s">
        <v>316</v>
      </c>
      <c r="K36" t="s">
        <v>318</v>
      </c>
      <c r="L36" t="s">
        <v>111</v>
      </c>
      <c r="M36" t="s">
        <v>111</v>
      </c>
      <c r="N36" t="s">
        <v>111</v>
      </c>
      <c r="O36" t="s">
        <v>111</v>
      </c>
      <c r="P36" t="s">
        <v>229</v>
      </c>
      <c r="Q36" t="s">
        <v>230</v>
      </c>
      <c r="R36" t="s">
        <v>127</v>
      </c>
      <c r="S36" t="s">
        <v>117</v>
      </c>
      <c r="T36" t="s">
        <v>319</v>
      </c>
      <c r="U36">
        <v>4</v>
      </c>
      <c r="V36">
        <v>5</v>
      </c>
      <c r="W36">
        <v>3</v>
      </c>
      <c r="X36">
        <v>4</v>
      </c>
      <c r="Y36">
        <v>5</v>
      </c>
      <c r="Z36">
        <v>4</v>
      </c>
      <c r="AA36">
        <v>5</v>
      </c>
      <c r="AB36">
        <v>3</v>
      </c>
      <c r="AC36">
        <v>3</v>
      </c>
      <c r="AD36">
        <f>IF(#REF! = 3, 1, IF(#REF! = 2.5, 0.5, IF(#REF! = 3.5, 0.5, 0)))</f>
        <v>1</v>
      </c>
      <c r="AE36" t="s">
        <v>130</v>
      </c>
      <c r="AF36">
        <f>IF(#REF!="PM &lt; 2.5 μm", 1, 0)</f>
        <v>0</v>
      </c>
      <c r="AG36" t="s">
        <v>175</v>
      </c>
      <c r="AH36">
        <f>IF(#REF!="Particles of this size are generally absorbed in the respiratory tract and safely excreted in mucus.", 1, 0)</f>
        <v>1</v>
      </c>
      <c r="AI36" t="s">
        <v>167</v>
      </c>
      <c r="AJ36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3</v>
      </c>
      <c r="AK36">
        <v>1</v>
      </c>
      <c r="AL36">
        <v>2</v>
      </c>
      <c r="AM36">
        <v>1</v>
      </c>
      <c r="AN36">
        <v>1</v>
      </c>
      <c r="AO36">
        <v>2</v>
      </c>
      <c r="AP36">
        <v>3</v>
      </c>
      <c r="AQ36">
        <v>7</v>
      </c>
      <c r="AR36" t="s">
        <v>320</v>
      </c>
    </row>
    <row r="37" spans="1:44" x14ac:dyDescent="0.25">
      <c r="A37" t="s">
        <v>599</v>
      </c>
      <c r="B37" t="s">
        <v>600</v>
      </c>
      <c r="C37" t="s">
        <v>42</v>
      </c>
      <c r="D37" t="s">
        <v>601</v>
      </c>
      <c r="E37">
        <v>1</v>
      </c>
      <c r="F37" t="s">
        <v>112</v>
      </c>
      <c r="G37">
        <f>_xlfn.NUMBERVALUE(#REF!)</f>
        <v>176</v>
      </c>
      <c r="H37" t="s">
        <v>602</v>
      </c>
      <c r="I37" t="s">
        <v>114</v>
      </c>
      <c r="J37" t="s">
        <v>600</v>
      </c>
      <c r="K37" t="s">
        <v>603</v>
      </c>
      <c r="L37" t="s">
        <v>111</v>
      </c>
      <c r="M37" t="s">
        <v>111</v>
      </c>
      <c r="N37" t="s">
        <v>111</v>
      </c>
      <c r="O37" t="s">
        <v>111</v>
      </c>
      <c r="P37" t="s">
        <v>351</v>
      </c>
      <c r="Q37" t="s">
        <v>352</v>
      </c>
      <c r="R37" t="s">
        <v>487</v>
      </c>
      <c r="S37" t="s">
        <v>117</v>
      </c>
      <c r="T37" t="s">
        <v>604</v>
      </c>
      <c r="U37">
        <v>5</v>
      </c>
      <c r="V37">
        <v>4</v>
      </c>
      <c r="W37">
        <v>5</v>
      </c>
      <c r="X37">
        <v>4</v>
      </c>
      <c r="Y37">
        <v>1</v>
      </c>
      <c r="Z37">
        <v>2</v>
      </c>
      <c r="AA37">
        <v>5</v>
      </c>
      <c r="AB37">
        <v>1</v>
      </c>
      <c r="AC37">
        <v>5</v>
      </c>
      <c r="AD37">
        <f>IF(#REF! = 3, 1, IF(#REF! = 2.5, 0.5, IF(#REF! = 3.5, 0.5, 0)))</f>
        <v>0</v>
      </c>
      <c r="AE37" t="s">
        <v>130</v>
      </c>
      <c r="AF37">
        <f>IF(#REF!="PM &lt; 2.5 μm", 1, 0)</f>
        <v>0</v>
      </c>
      <c r="AG37" t="s">
        <v>131</v>
      </c>
      <c r="AH37">
        <f>IF(#REF!="Particles of this size are generally absorbed in the respiratory tract and safely excreted in mucus.", 1, 0)</f>
        <v>0</v>
      </c>
      <c r="AI37" t="s">
        <v>167</v>
      </c>
      <c r="AJ37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3</v>
      </c>
      <c r="AK37">
        <v>4</v>
      </c>
      <c r="AL37">
        <v>5</v>
      </c>
      <c r="AM37">
        <v>2</v>
      </c>
      <c r="AN37">
        <v>2</v>
      </c>
      <c r="AO37">
        <v>3</v>
      </c>
      <c r="AP37">
        <v>5</v>
      </c>
      <c r="AQ37">
        <v>8</v>
      </c>
      <c r="AR37" t="s">
        <v>111</v>
      </c>
    </row>
    <row r="38" spans="1:44" x14ac:dyDescent="0.25">
      <c r="A38" t="s">
        <v>605</v>
      </c>
      <c r="B38" t="s">
        <v>612</v>
      </c>
      <c r="C38" t="s">
        <v>42</v>
      </c>
      <c r="D38" t="s">
        <v>389</v>
      </c>
      <c r="E38">
        <v>1</v>
      </c>
      <c r="F38" t="s">
        <v>112</v>
      </c>
      <c r="G38">
        <f>_xlfn.NUMBERVALUE(#REF!)</f>
        <v>220</v>
      </c>
      <c r="H38" t="s">
        <v>613</v>
      </c>
      <c r="I38" t="s">
        <v>114</v>
      </c>
      <c r="J38" t="s">
        <v>614</v>
      </c>
      <c r="K38" t="s">
        <v>615</v>
      </c>
      <c r="L38" t="s">
        <v>111</v>
      </c>
      <c r="M38" t="s">
        <v>111</v>
      </c>
      <c r="N38" t="s">
        <v>111</v>
      </c>
      <c r="O38" t="s">
        <v>111</v>
      </c>
      <c r="P38" t="s">
        <v>392</v>
      </c>
      <c r="Q38" t="s">
        <v>393</v>
      </c>
      <c r="R38" t="s">
        <v>487</v>
      </c>
      <c r="S38" t="s">
        <v>117</v>
      </c>
      <c r="T38" t="s">
        <v>616</v>
      </c>
      <c r="U38">
        <v>3</v>
      </c>
      <c r="V38">
        <v>2</v>
      </c>
      <c r="W38">
        <v>4</v>
      </c>
      <c r="X38">
        <v>4</v>
      </c>
      <c r="Y38">
        <v>2</v>
      </c>
      <c r="Z38">
        <v>4</v>
      </c>
      <c r="AA38">
        <v>5</v>
      </c>
      <c r="AB38">
        <v>3</v>
      </c>
      <c r="AC38">
        <v>3.5</v>
      </c>
      <c r="AD38">
        <f>IF(#REF! = 3, 1, IF(#REF! = 2.5, 0.5, IF(#REF! = 3.5, 0.5, 0)))</f>
        <v>0.5</v>
      </c>
      <c r="AE38" t="s">
        <v>130</v>
      </c>
      <c r="AF38">
        <f>IF(#REF!="PM &lt; 2.5 μm", 1, 0)</f>
        <v>0</v>
      </c>
      <c r="AG38" t="s">
        <v>175</v>
      </c>
      <c r="AH38">
        <f>IF(#REF!="Particles of this size are generally absorbed in the respiratory tract and safely excreted in mucus.", 1, 0)</f>
        <v>1</v>
      </c>
      <c r="AI38" t="s">
        <v>167</v>
      </c>
      <c r="AJ38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3</v>
      </c>
      <c r="AK38">
        <v>4</v>
      </c>
      <c r="AM38">
        <v>1</v>
      </c>
      <c r="AN38">
        <v>1</v>
      </c>
      <c r="AO38">
        <v>3</v>
      </c>
      <c r="AP38">
        <v>5</v>
      </c>
      <c r="AQ38">
        <v>6</v>
      </c>
      <c r="AR38" t="s">
        <v>617</v>
      </c>
    </row>
    <row r="39" spans="1:44" x14ac:dyDescent="0.25">
      <c r="A39" t="s">
        <v>372</v>
      </c>
      <c r="B39" t="s">
        <v>373</v>
      </c>
      <c r="C39" t="s">
        <v>42</v>
      </c>
      <c r="D39" t="s">
        <v>374</v>
      </c>
      <c r="E39">
        <v>1</v>
      </c>
      <c r="F39" t="s">
        <v>112</v>
      </c>
      <c r="G39">
        <f>_xlfn.NUMBERVALUE(#REF!)</f>
        <v>2492</v>
      </c>
      <c r="H39" t="s">
        <v>375</v>
      </c>
      <c r="I39" t="s">
        <v>114</v>
      </c>
      <c r="J39" t="s">
        <v>376</v>
      </c>
      <c r="K39" t="s">
        <v>377</v>
      </c>
      <c r="L39" t="s">
        <v>111</v>
      </c>
      <c r="M39" t="s">
        <v>111</v>
      </c>
      <c r="N39" t="s">
        <v>111</v>
      </c>
      <c r="O39" t="s">
        <v>111</v>
      </c>
      <c r="P39" t="s">
        <v>115</v>
      </c>
      <c r="Q39" t="s">
        <v>116</v>
      </c>
      <c r="R39" t="s">
        <v>127</v>
      </c>
      <c r="S39" t="s">
        <v>117</v>
      </c>
      <c r="T39" t="s">
        <v>378</v>
      </c>
      <c r="U39">
        <v>3</v>
      </c>
      <c r="V39">
        <v>2</v>
      </c>
      <c r="W39">
        <v>5</v>
      </c>
      <c r="X39">
        <v>5</v>
      </c>
      <c r="Y39">
        <v>3</v>
      </c>
      <c r="Z39">
        <v>5</v>
      </c>
      <c r="AA39">
        <v>5</v>
      </c>
      <c r="AB39">
        <v>3</v>
      </c>
      <c r="AC39">
        <v>2.5</v>
      </c>
      <c r="AD39">
        <f>IF(#REF! = 3, 1, IF(#REF! = 2.5, 0.5, IF(#REF! = 3.5, 0.5, 0)))</f>
        <v>0.5</v>
      </c>
      <c r="AE39" t="s">
        <v>140</v>
      </c>
      <c r="AF39">
        <f>IF(#REF!="PM &lt; 2.5 μm", 1, 0)</f>
        <v>1</v>
      </c>
      <c r="AG39" t="s">
        <v>175</v>
      </c>
      <c r="AH39">
        <f>IF(#REF!="Particles of this size are generally absorbed in the respiratory tract and safely excreted in mucus.", 1, 0)</f>
        <v>1</v>
      </c>
      <c r="AI39" t="s">
        <v>156</v>
      </c>
      <c r="AJ39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4</v>
      </c>
      <c r="AK39">
        <v>3</v>
      </c>
      <c r="AL39">
        <v>2</v>
      </c>
      <c r="AM39">
        <v>3</v>
      </c>
      <c r="AN39">
        <v>2</v>
      </c>
      <c r="AO39">
        <v>5</v>
      </c>
      <c r="AP39">
        <v>3</v>
      </c>
      <c r="AQ39">
        <v>6</v>
      </c>
      <c r="AR39" t="s">
        <v>379</v>
      </c>
    </row>
    <row r="40" spans="1:44" x14ac:dyDescent="0.25">
      <c r="A40" t="s">
        <v>571</v>
      </c>
      <c r="B40" t="s">
        <v>572</v>
      </c>
      <c r="C40" t="s">
        <v>42</v>
      </c>
      <c r="D40" t="s">
        <v>389</v>
      </c>
      <c r="E40">
        <v>1</v>
      </c>
      <c r="F40" t="s">
        <v>112</v>
      </c>
      <c r="G40">
        <f>_xlfn.NUMBERVALUE(#REF!)</f>
        <v>146</v>
      </c>
      <c r="H40" t="s">
        <v>573</v>
      </c>
      <c r="I40" t="s">
        <v>114</v>
      </c>
      <c r="J40" t="s">
        <v>572</v>
      </c>
      <c r="K40" t="s">
        <v>574</v>
      </c>
      <c r="L40" t="s">
        <v>111</v>
      </c>
      <c r="M40" t="s">
        <v>111</v>
      </c>
      <c r="N40" t="s">
        <v>111</v>
      </c>
      <c r="O40" t="s">
        <v>111</v>
      </c>
      <c r="P40" t="s">
        <v>392</v>
      </c>
      <c r="Q40" t="s">
        <v>393</v>
      </c>
      <c r="R40" t="s">
        <v>487</v>
      </c>
      <c r="S40" t="s">
        <v>117</v>
      </c>
      <c r="T40" t="s">
        <v>575</v>
      </c>
      <c r="U40">
        <v>5</v>
      </c>
      <c r="V40">
        <v>5</v>
      </c>
      <c r="W40">
        <v>5</v>
      </c>
      <c r="X40">
        <v>5</v>
      </c>
      <c r="Y40">
        <v>5</v>
      </c>
      <c r="Z40">
        <v>5</v>
      </c>
      <c r="AA40">
        <v>5</v>
      </c>
      <c r="AB40">
        <v>5</v>
      </c>
      <c r="AC40">
        <v>4.5</v>
      </c>
      <c r="AD40">
        <f>IF(#REF! = 3, 1, IF(#REF! = 2.5, 0.5, IF(#REF! = 3.5, 0.5, 0)))</f>
        <v>0</v>
      </c>
      <c r="AE40" t="s">
        <v>130</v>
      </c>
      <c r="AF40">
        <f>IF(#REF!="PM &lt; 2.5 μm", 1, 0)</f>
        <v>0</v>
      </c>
      <c r="AG40" t="s">
        <v>175</v>
      </c>
      <c r="AH40">
        <f>IF(#REF!="Particles of this size are generally absorbed in the respiratory tract and safely excreted in mucus.", 1, 0)</f>
        <v>1</v>
      </c>
      <c r="AI40" t="s">
        <v>206</v>
      </c>
      <c r="AJ40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2</v>
      </c>
      <c r="AK40">
        <v>5</v>
      </c>
      <c r="AL40">
        <v>5</v>
      </c>
      <c r="AM40">
        <v>5</v>
      </c>
      <c r="AN40">
        <v>5</v>
      </c>
      <c r="AO40">
        <v>5</v>
      </c>
      <c r="AP40">
        <v>5</v>
      </c>
      <c r="AQ40">
        <v>8</v>
      </c>
      <c r="AR40" t="s">
        <v>576</v>
      </c>
    </row>
    <row r="41" spans="1:44" x14ac:dyDescent="0.25">
      <c r="A41" t="s">
        <v>145</v>
      </c>
      <c r="B41" t="s">
        <v>146</v>
      </c>
      <c r="C41" t="s">
        <v>42</v>
      </c>
      <c r="D41" t="s">
        <v>147</v>
      </c>
      <c r="E41">
        <v>1</v>
      </c>
      <c r="F41" t="s">
        <v>112</v>
      </c>
      <c r="G41">
        <f>_xlfn.NUMBERVALUE(#REF!)</f>
        <v>84</v>
      </c>
      <c r="H41" t="s">
        <v>148</v>
      </c>
      <c r="I41" t="s">
        <v>114</v>
      </c>
      <c r="J41" t="s">
        <v>149</v>
      </c>
      <c r="K41" t="s">
        <v>150</v>
      </c>
      <c r="L41" t="s">
        <v>111</v>
      </c>
      <c r="M41" t="s">
        <v>111</v>
      </c>
      <c r="N41" t="s">
        <v>111</v>
      </c>
      <c r="O41" t="s">
        <v>111</v>
      </c>
      <c r="P41" t="s">
        <v>151</v>
      </c>
      <c r="Q41" t="s">
        <v>152</v>
      </c>
      <c r="R41" t="s">
        <v>127</v>
      </c>
      <c r="S41" t="s">
        <v>117</v>
      </c>
      <c r="T41" t="s">
        <v>153</v>
      </c>
      <c r="U41">
        <v>2</v>
      </c>
      <c r="V41">
        <v>2</v>
      </c>
      <c r="W41">
        <v>4</v>
      </c>
      <c r="X41">
        <v>2</v>
      </c>
      <c r="Y41">
        <v>2</v>
      </c>
      <c r="Z41">
        <v>3</v>
      </c>
      <c r="AA41">
        <v>2</v>
      </c>
      <c r="AB41">
        <v>2</v>
      </c>
      <c r="AC41">
        <v>2</v>
      </c>
      <c r="AD41">
        <f>IF(#REF! = 3, 1, IF(#REF! = 2.5, 0.5, IF(#REF! = 3.5, 0.5, 0)))</f>
        <v>0</v>
      </c>
      <c r="AE41" t="s">
        <v>154</v>
      </c>
      <c r="AF41">
        <f>IF(#REF!="PM &lt; 2.5 μm", 1, 0)</f>
        <v>0</v>
      </c>
      <c r="AG41" t="s">
        <v>155</v>
      </c>
      <c r="AH41">
        <f>IF(#REF!="Particles of this size are generally absorbed in the respiratory tract and safely excreted in mucus.", 1, 0)</f>
        <v>0</v>
      </c>
      <c r="AI41" t="s">
        <v>156</v>
      </c>
      <c r="AJ41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4</v>
      </c>
      <c r="AK41">
        <v>2</v>
      </c>
      <c r="AL41">
        <v>3</v>
      </c>
      <c r="AM41">
        <v>1</v>
      </c>
      <c r="AN41">
        <v>2</v>
      </c>
      <c r="AO41">
        <v>2</v>
      </c>
      <c r="AP41">
        <v>2</v>
      </c>
      <c r="AQ41">
        <v>5</v>
      </c>
      <c r="AR41" t="s">
        <v>157</v>
      </c>
    </row>
    <row r="42" spans="1:44" x14ac:dyDescent="0.25">
      <c r="A42" t="s">
        <v>119</v>
      </c>
      <c r="B42" t="s">
        <v>120</v>
      </c>
      <c r="C42" t="s">
        <v>42</v>
      </c>
      <c r="D42" t="s">
        <v>121</v>
      </c>
      <c r="E42">
        <v>1</v>
      </c>
      <c r="F42" t="s">
        <v>112</v>
      </c>
      <c r="G42">
        <f>_xlfn.NUMBERVALUE(#REF!)</f>
        <v>140</v>
      </c>
      <c r="H42" t="s">
        <v>122</v>
      </c>
      <c r="I42" t="s">
        <v>114</v>
      </c>
      <c r="J42" t="s">
        <v>123</v>
      </c>
      <c r="K42" t="s">
        <v>124</v>
      </c>
      <c r="L42" t="s">
        <v>111</v>
      </c>
      <c r="M42" t="s">
        <v>111</v>
      </c>
      <c r="N42" t="s">
        <v>111</v>
      </c>
      <c r="O42" t="s">
        <v>111</v>
      </c>
      <c r="P42" t="s">
        <v>125</v>
      </c>
      <c r="Q42" t="s">
        <v>126</v>
      </c>
      <c r="R42" t="s">
        <v>127</v>
      </c>
      <c r="S42" t="s">
        <v>117</v>
      </c>
      <c r="T42" t="s">
        <v>128</v>
      </c>
      <c r="U42">
        <v>3</v>
      </c>
      <c r="V42">
        <v>3</v>
      </c>
      <c r="W42">
        <v>2</v>
      </c>
      <c r="X42">
        <v>4</v>
      </c>
      <c r="Y42">
        <v>3</v>
      </c>
      <c r="Z42">
        <v>3</v>
      </c>
      <c r="AA42">
        <v>5</v>
      </c>
      <c r="AB42">
        <v>1</v>
      </c>
      <c r="AC42">
        <v>4</v>
      </c>
      <c r="AD42">
        <f>IF(#REF! = 3, 1, IF(#REF! = 2.5, 0.5, IF(#REF! = 3.5, 0.5, 0)))</f>
        <v>0</v>
      </c>
      <c r="AE42" t="s">
        <v>130</v>
      </c>
      <c r="AF42">
        <f>IF(#REF!="PM &lt; 2.5 μm", 1, 0)</f>
        <v>0</v>
      </c>
      <c r="AG42" t="s">
        <v>131</v>
      </c>
      <c r="AH42">
        <f>IF(#REF!="Particles of this size are generally absorbed in the respiratory tract and safely excreted in mucus.", 1, 0)</f>
        <v>0</v>
      </c>
      <c r="AI42" t="s">
        <v>132</v>
      </c>
      <c r="AJ42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2</v>
      </c>
      <c r="AK42">
        <v>1</v>
      </c>
      <c r="AL42">
        <v>1</v>
      </c>
      <c r="AM42">
        <v>2</v>
      </c>
      <c r="AN42">
        <v>2</v>
      </c>
      <c r="AO42">
        <v>4</v>
      </c>
      <c r="AP42">
        <v>5</v>
      </c>
      <c r="AQ42">
        <v>6</v>
      </c>
      <c r="AR42" t="s">
        <v>111</v>
      </c>
    </row>
    <row r="43" spans="1:44" x14ac:dyDescent="0.25">
      <c r="A43" t="s">
        <v>540</v>
      </c>
      <c r="B43" t="s">
        <v>541</v>
      </c>
      <c r="C43" t="s">
        <v>42</v>
      </c>
      <c r="D43" t="s">
        <v>542</v>
      </c>
      <c r="E43">
        <v>1</v>
      </c>
      <c r="F43" t="s">
        <v>112</v>
      </c>
      <c r="G43">
        <f>_xlfn.NUMBERVALUE(#REF!)</f>
        <v>181</v>
      </c>
      <c r="H43" t="s">
        <v>543</v>
      </c>
      <c r="I43" t="s">
        <v>114</v>
      </c>
      <c r="J43" t="s">
        <v>541</v>
      </c>
      <c r="K43" t="s">
        <v>544</v>
      </c>
      <c r="L43" t="s">
        <v>111</v>
      </c>
      <c r="M43" t="s">
        <v>111</v>
      </c>
      <c r="N43" t="s">
        <v>111</v>
      </c>
      <c r="O43" t="s">
        <v>111</v>
      </c>
      <c r="P43" t="s">
        <v>351</v>
      </c>
      <c r="Q43" t="s">
        <v>352</v>
      </c>
      <c r="R43" t="s">
        <v>487</v>
      </c>
      <c r="S43" t="s">
        <v>117</v>
      </c>
      <c r="T43" t="s">
        <v>545</v>
      </c>
      <c r="U43">
        <v>4</v>
      </c>
      <c r="V43">
        <v>4</v>
      </c>
      <c r="W43">
        <v>3</v>
      </c>
      <c r="X43">
        <v>2</v>
      </c>
      <c r="Y43">
        <v>3</v>
      </c>
      <c r="AA43">
        <v>2</v>
      </c>
      <c r="AB43">
        <v>0</v>
      </c>
      <c r="AC43">
        <v>1.5</v>
      </c>
      <c r="AD43">
        <f>IF(#REF! = 3, 1, IF(#REF! = 2.5, 0.5, IF(#REF! = 3.5, 0.5, 0)))</f>
        <v>0</v>
      </c>
      <c r="AE43" t="s">
        <v>130</v>
      </c>
      <c r="AF43">
        <f>IF(#REF!="PM &lt; 2.5 μm", 1, 0)</f>
        <v>0</v>
      </c>
      <c r="AG43" t="s">
        <v>155</v>
      </c>
      <c r="AH43">
        <f>IF(#REF!="Particles of this size are generally absorbed in the respiratory tract and safely excreted in mucus.", 1, 0)</f>
        <v>0</v>
      </c>
      <c r="AI43" t="s">
        <v>546</v>
      </c>
      <c r="AJ43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2</v>
      </c>
      <c r="AK43">
        <v>3</v>
      </c>
      <c r="AL43">
        <v>4</v>
      </c>
      <c r="AM43">
        <v>3</v>
      </c>
      <c r="AN43">
        <v>2</v>
      </c>
      <c r="AO43">
        <v>1</v>
      </c>
      <c r="AP43">
        <v>2</v>
      </c>
      <c r="AQ43">
        <v>6</v>
      </c>
      <c r="AR43" t="s">
        <v>547</v>
      </c>
    </row>
    <row r="44" spans="1:44" x14ac:dyDescent="0.25">
      <c r="A44" t="s">
        <v>769</v>
      </c>
      <c r="B44" t="s">
        <v>770</v>
      </c>
      <c r="C44" t="s">
        <v>42</v>
      </c>
      <c r="D44" t="s">
        <v>771</v>
      </c>
      <c r="E44">
        <v>1</v>
      </c>
      <c r="F44" t="s">
        <v>112</v>
      </c>
      <c r="G44">
        <f>_xlfn.NUMBERVALUE(#REF!)</f>
        <v>138</v>
      </c>
      <c r="H44" t="s">
        <v>772</v>
      </c>
      <c r="I44" t="s">
        <v>114</v>
      </c>
      <c r="J44" t="s">
        <v>770</v>
      </c>
      <c r="K44" t="s">
        <v>773</v>
      </c>
      <c r="L44" t="s">
        <v>111</v>
      </c>
      <c r="M44" t="s">
        <v>111</v>
      </c>
      <c r="N44" t="s">
        <v>111</v>
      </c>
      <c r="O44" t="s">
        <v>111</v>
      </c>
      <c r="P44" t="s">
        <v>656</v>
      </c>
      <c r="Q44" t="s">
        <v>657</v>
      </c>
      <c r="R44" t="s">
        <v>487</v>
      </c>
      <c r="S44" t="s">
        <v>117</v>
      </c>
      <c r="T44" t="s">
        <v>545</v>
      </c>
      <c r="U44">
        <v>4</v>
      </c>
      <c r="V44">
        <v>5</v>
      </c>
      <c r="W44">
        <v>3</v>
      </c>
      <c r="X44">
        <v>5</v>
      </c>
      <c r="Y44">
        <v>3</v>
      </c>
      <c r="Z44">
        <v>5</v>
      </c>
      <c r="AA44">
        <v>5</v>
      </c>
      <c r="AB44">
        <v>1</v>
      </c>
      <c r="AC44">
        <v>3.5</v>
      </c>
      <c r="AD44">
        <f>IF(#REF! = 3, 1, IF(#REF! = 2.5, 0.5, IF(#REF! = 3.5, 0.5, 0)))</f>
        <v>0.5</v>
      </c>
      <c r="AE44" t="s">
        <v>130</v>
      </c>
      <c r="AF44">
        <f>IF(#REF!="PM &lt; 2.5 μm", 1, 0)</f>
        <v>0</v>
      </c>
      <c r="AG44" t="s">
        <v>155</v>
      </c>
      <c r="AH44">
        <f>IF(#REF!="Particles of this size are generally absorbed in the respiratory tract and safely excreted in mucus.", 1, 0)</f>
        <v>0</v>
      </c>
      <c r="AI44" t="s">
        <v>132</v>
      </c>
      <c r="AJ44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2</v>
      </c>
      <c r="AK44">
        <v>4</v>
      </c>
      <c r="AL44">
        <v>1</v>
      </c>
      <c r="AM44">
        <v>4</v>
      </c>
      <c r="AN44">
        <v>3</v>
      </c>
      <c r="AO44">
        <v>4</v>
      </c>
      <c r="AP44">
        <v>3</v>
      </c>
      <c r="AQ44">
        <v>8</v>
      </c>
      <c r="AR44" t="s">
        <v>774</v>
      </c>
    </row>
    <row r="45" spans="1:44" x14ac:dyDescent="0.25">
      <c r="A45" t="s">
        <v>515</v>
      </c>
      <c r="B45" t="s">
        <v>548</v>
      </c>
      <c r="C45" t="s">
        <v>42</v>
      </c>
      <c r="D45" t="s">
        <v>549</v>
      </c>
      <c r="E45">
        <v>1</v>
      </c>
      <c r="F45" t="s">
        <v>112</v>
      </c>
      <c r="G45">
        <f>_xlfn.NUMBERVALUE(#REF!)</f>
        <v>157</v>
      </c>
      <c r="H45" t="s">
        <v>550</v>
      </c>
      <c r="I45" t="s">
        <v>114</v>
      </c>
      <c r="J45" t="s">
        <v>551</v>
      </c>
      <c r="K45" t="s">
        <v>552</v>
      </c>
      <c r="L45" t="s">
        <v>111</v>
      </c>
      <c r="M45" t="s">
        <v>111</v>
      </c>
      <c r="N45" t="s">
        <v>111</v>
      </c>
      <c r="O45" t="s">
        <v>111</v>
      </c>
      <c r="P45" t="s">
        <v>115</v>
      </c>
      <c r="Q45" t="s">
        <v>116</v>
      </c>
      <c r="R45" t="s">
        <v>487</v>
      </c>
      <c r="S45" t="s">
        <v>117</v>
      </c>
      <c r="T45" t="s">
        <v>553</v>
      </c>
      <c r="U45">
        <v>2</v>
      </c>
      <c r="V45">
        <v>2</v>
      </c>
      <c r="W45">
        <v>5</v>
      </c>
      <c r="X45">
        <v>5</v>
      </c>
      <c r="Y45">
        <v>1</v>
      </c>
      <c r="Z45">
        <v>1</v>
      </c>
      <c r="AA45">
        <v>0</v>
      </c>
      <c r="AB45">
        <v>3</v>
      </c>
      <c r="AC45">
        <v>3</v>
      </c>
      <c r="AD45">
        <f>IF(#REF! = 3, 1, IF(#REF! = 2.5, 0.5, IF(#REF! = 3.5, 0.5, 0)))</f>
        <v>1</v>
      </c>
      <c r="AE45" t="s">
        <v>130</v>
      </c>
      <c r="AF45">
        <f>IF(#REF!="PM &lt; 2.5 μm", 1, 0)</f>
        <v>0</v>
      </c>
      <c r="AG45" t="s">
        <v>141</v>
      </c>
      <c r="AH45">
        <f>IF(#REF!="Particles of this size are generally absorbed in the respiratory tract and safely excreted in mucus.", 1, 0)</f>
        <v>0</v>
      </c>
      <c r="AI45" t="s">
        <v>142</v>
      </c>
      <c r="AJ45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2</v>
      </c>
      <c r="AK45">
        <v>3</v>
      </c>
      <c r="AL45">
        <v>0</v>
      </c>
      <c r="AM45">
        <v>3</v>
      </c>
      <c r="AN45">
        <v>0</v>
      </c>
      <c r="AO45">
        <v>1</v>
      </c>
      <c r="AP45">
        <v>4</v>
      </c>
      <c r="AQ45">
        <v>5</v>
      </c>
      <c r="AR45" t="s">
        <v>111</v>
      </c>
    </row>
    <row r="46" spans="1:44" x14ac:dyDescent="0.25">
      <c r="A46" t="s">
        <v>267</v>
      </c>
      <c r="B46" t="s">
        <v>268</v>
      </c>
      <c r="C46" t="s">
        <v>42</v>
      </c>
      <c r="D46" t="s">
        <v>269</v>
      </c>
      <c r="E46">
        <v>1</v>
      </c>
      <c r="F46" t="s">
        <v>112</v>
      </c>
      <c r="G46">
        <f>_xlfn.NUMBERVALUE(#REF!)</f>
        <v>301</v>
      </c>
      <c r="H46" t="s">
        <v>270</v>
      </c>
      <c r="I46" t="s">
        <v>114</v>
      </c>
      <c r="J46" t="s">
        <v>268</v>
      </c>
      <c r="K46" t="s">
        <v>271</v>
      </c>
      <c r="L46" t="s">
        <v>111</v>
      </c>
      <c r="M46" t="s">
        <v>111</v>
      </c>
      <c r="N46" t="s">
        <v>111</v>
      </c>
      <c r="O46" t="s">
        <v>111</v>
      </c>
      <c r="P46" t="s">
        <v>164</v>
      </c>
      <c r="Q46" t="s">
        <v>165</v>
      </c>
      <c r="R46" t="s">
        <v>127</v>
      </c>
      <c r="S46" t="s">
        <v>117</v>
      </c>
      <c r="T46" t="s">
        <v>272</v>
      </c>
      <c r="U46">
        <v>5</v>
      </c>
      <c r="V46">
        <v>5</v>
      </c>
      <c r="W46">
        <v>4</v>
      </c>
      <c r="X46">
        <v>5</v>
      </c>
      <c r="Y46">
        <v>1</v>
      </c>
      <c r="Z46">
        <v>2</v>
      </c>
      <c r="AA46">
        <v>5</v>
      </c>
      <c r="AB46">
        <v>2</v>
      </c>
      <c r="AC46">
        <v>3</v>
      </c>
      <c r="AD46">
        <f>IF(#REF! = 3, 1, IF(#REF! = 2.5, 0.5, IF(#REF! = 3.5, 0.5, 0)))</f>
        <v>1</v>
      </c>
      <c r="AE46" t="s">
        <v>166</v>
      </c>
      <c r="AF46">
        <f>IF(#REF!="PM &lt; 2.5 μm", 1, 0)</f>
        <v>0</v>
      </c>
      <c r="AG46" t="s">
        <v>131</v>
      </c>
      <c r="AH46">
        <f>IF(#REF!="Particles of this size are generally absorbed in the respiratory tract and safely excreted in mucus.", 1, 0)</f>
        <v>0</v>
      </c>
      <c r="AI46" t="s">
        <v>167</v>
      </c>
      <c r="AJ46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3</v>
      </c>
      <c r="AK46">
        <v>5</v>
      </c>
      <c r="AL46">
        <v>3</v>
      </c>
      <c r="AM46">
        <v>5</v>
      </c>
      <c r="AN46">
        <v>5</v>
      </c>
      <c r="AO46">
        <v>5</v>
      </c>
      <c r="AP46">
        <v>5</v>
      </c>
      <c r="AQ46">
        <v>10</v>
      </c>
      <c r="AR46" t="s">
        <v>273</v>
      </c>
    </row>
    <row r="47" spans="1:44" x14ac:dyDescent="0.25">
      <c r="A47" t="s">
        <v>469</v>
      </c>
      <c r="B47" t="s">
        <v>470</v>
      </c>
      <c r="C47" t="s">
        <v>42</v>
      </c>
      <c r="D47" t="s">
        <v>389</v>
      </c>
      <c r="E47">
        <v>1</v>
      </c>
      <c r="F47" t="s">
        <v>112</v>
      </c>
      <c r="G47">
        <f>_xlfn.NUMBERVALUE(#REF!)</f>
        <v>164</v>
      </c>
      <c r="H47" t="s">
        <v>432</v>
      </c>
      <c r="I47" t="s">
        <v>114</v>
      </c>
      <c r="J47" t="s">
        <v>471</v>
      </c>
      <c r="K47" t="s">
        <v>472</v>
      </c>
      <c r="L47" t="s">
        <v>111</v>
      </c>
      <c r="M47" t="s">
        <v>111</v>
      </c>
      <c r="N47" t="s">
        <v>111</v>
      </c>
      <c r="O47" t="s">
        <v>111</v>
      </c>
      <c r="P47" t="s">
        <v>392</v>
      </c>
      <c r="Q47" t="s">
        <v>393</v>
      </c>
      <c r="R47" t="s">
        <v>127</v>
      </c>
      <c r="S47" t="s">
        <v>117</v>
      </c>
      <c r="T47" t="s">
        <v>473</v>
      </c>
      <c r="U47">
        <v>4</v>
      </c>
      <c r="V47">
        <v>4</v>
      </c>
      <c r="W47">
        <v>5</v>
      </c>
      <c r="X47">
        <v>3</v>
      </c>
      <c r="Y47">
        <v>2</v>
      </c>
      <c r="Z47">
        <v>3</v>
      </c>
      <c r="AA47">
        <v>5</v>
      </c>
      <c r="AB47">
        <v>2</v>
      </c>
      <c r="AC47">
        <v>2</v>
      </c>
      <c r="AD47">
        <f>IF(#REF! = 3, 1, IF(#REF! = 2.5, 0.5, IF(#REF! = 3.5, 0.5, 0)))</f>
        <v>0</v>
      </c>
      <c r="AE47" t="s">
        <v>140</v>
      </c>
      <c r="AF47">
        <f>IF(#REF!="PM &lt; 2.5 μm", 1, 0)</f>
        <v>1</v>
      </c>
      <c r="AG47" t="s">
        <v>141</v>
      </c>
      <c r="AH47">
        <f>IF(#REF!="Particles of this size are generally absorbed in the respiratory tract and safely excreted in mucus.", 1, 0)</f>
        <v>0</v>
      </c>
      <c r="AI47" t="s">
        <v>156</v>
      </c>
      <c r="AJ47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4</v>
      </c>
      <c r="AK47">
        <v>4</v>
      </c>
      <c r="AL47">
        <v>1</v>
      </c>
      <c r="AM47">
        <v>2</v>
      </c>
      <c r="AN47">
        <v>1</v>
      </c>
      <c r="AO47">
        <v>4</v>
      </c>
      <c r="AP47">
        <v>4</v>
      </c>
      <c r="AQ47">
        <v>8</v>
      </c>
      <c r="AR47" t="s">
        <v>474</v>
      </c>
    </row>
    <row r="48" spans="1:44" x14ac:dyDescent="0.25">
      <c r="A48" t="s">
        <v>429</v>
      </c>
      <c r="B48" t="s">
        <v>430</v>
      </c>
      <c r="C48" t="s">
        <v>42</v>
      </c>
      <c r="D48" t="s">
        <v>431</v>
      </c>
      <c r="E48">
        <v>1</v>
      </c>
      <c r="F48" t="s">
        <v>112</v>
      </c>
      <c r="G48">
        <f>_xlfn.NUMBERVALUE(#REF!)</f>
        <v>164</v>
      </c>
      <c r="H48" t="s">
        <v>432</v>
      </c>
      <c r="I48" t="s">
        <v>114</v>
      </c>
      <c r="J48" t="s">
        <v>433</v>
      </c>
      <c r="K48" t="s">
        <v>434</v>
      </c>
      <c r="L48" t="s">
        <v>111</v>
      </c>
      <c r="M48" t="s">
        <v>111</v>
      </c>
      <c r="N48" t="s">
        <v>111</v>
      </c>
      <c r="O48" t="s">
        <v>111</v>
      </c>
      <c r="P48" t="s">
        <v>435</v>
      </c>
      <c r="Q48" t="s">
        <v>436</v>
      </c>
      <c r="R48" t="s">
        <v>127</v>
      </c>
      <c r="S48" t="s">
        <v>117</v>
      </c>
      <c r="T48" t="s">
        <v>437</v>
      </c>
      <c r="U48">
        <v>4</v>
      </c>
      <c r="V48">
        <v>4</v>
      </c>
      <c r="W48">
        <v>4</v>
      </c>
      <c r="X48">
        <v>4</v>
      </c>
      <c r="Y48">
        <v>4</v>
      </c>
      <c r="Z48">
        <v>5</v>
      </c>
      <c r="AA48">
        <v>5</v>
      </c>
      <c r="AB48">
        <v>4</v>
      </c>
      <c r="AC48">
        <v>3</v>
      </c>
      <c r="AD48">
        <f>IF(#REF! = 3, 1, IF(#REF! = 2.5, 0.5, IF(#REF! = 3.5, 0.5, 0)))</f>
        <v>1</v>
      </c>
      <c r="AE48" t="s">
        <v>154</v>
      </c>
      <c r="AF48">
        <f>IF(#REF!="PM &lt; 2.5 μm", 1, 0)</f>
        <v>0</v>
      </c>
      <c r="AG48" t="s">
        <v>175</v>
      </c>
      <c r="AH48">
        <f>IF(#REF!="Particles of this size are generally absorbed in the respiratory tract and safely excreted in mucus.", 1, 0)</f>
        <v>1</v>
      </c>
      <c r="AI48" t="s">
        <v>142</v>
      </c>
      <c r="AJ48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2</v>
      </c>
      <c r="AK48">
        <v>5</v>
      </c>
      <c r="AL48">
        <v>2</v>
      </c>
      <c r="AM48">
        <v>4</v>
      </c>
      <c r="AN48">
        <v>4</v>
      </c>
      <c r="AO48">
        <v>4</v>
      </c>
      <c r="AP48">
        <v>2</v>
      </c>
      <c r="AQ48">
        <v>7</v>
      </c>
      <c r="AR48" t="s">
        <v>111</v>
      </c>
    </row>
    <row r="49" spans="1:44" x14ac:dyDescent="0.25">
      <c r="A49" t="s">
        <v>794</v>
      </c>
      <c r="B49" t="s">
        <v>795</v>
      </c>
      <c r="C49" t="s">
        <v>42</v>
      </c>
      <c r="D49" t="s">
        <v>389</v>
      </c>
      <c r="E49">
        <v>1</v>
      </c>
      <c r="F49" t="s">
        <v>112</v>
      </c>
      <c r="G49">
        <f>_xlfn.NUMBERVALUE(#REF!)</f>
        <v>5259</v>
      </c>
      <c r="H49" t="s">
        <v>796</v>
      </c>
      <c r="I49" t="s">
        <v>114</v>
      </c>
      <c r="J49" t="s">
        <v>797</v>
      </c>
      <c r="K49" t="s">
        <v>798</v>
      </c>
      <c r="L49" t="s">
        <v>111</v>
      </c>
      <c r="M49" t="s">
        <v>111</v>
      </c>
      <c r="N49" t="s">
        <v>111</v>
      </c>
      <c r="O49" t="s">
        <v>111</v>
      </c>
      <c r="P49" t="s">
        <v>392</v>
      </c>
      <c r="Q49" t="s">
        <v>393</v>
      </c>
      <c r="R49" t="s">
        <v>487</v>
      </c>
      <c r="S49" t="s">
        <v>117</v>
      </c>
      <c r="T49" t="s">
        <v>799</v>
      </c>
      <c r="U49">
        <v>4</v>
      </c>
      <c r="V49">
        <v>4</v>
      </c>
      <c r="W49">
        <v>4</v>
      </c>
      <c r="X49">
        <v>5</v>
      </c>
      <c r="Y49">
        <v>4</v>
      </c>
      <c r="Z49">
        <v>3</v>
      </c>
      <c r="AA49">
        <v>5</v>
      </c>
      <c r="AB49">
        <v>5</v>
      </c>
      <c r="AC49">
        <v>3</v>
      </c>
      <c r="AD49">
        <f>IF(#REF! = 3, 1, IF(#REF! = 2.5, 0.5, IF(#REF! = 3.5, 0.5, 0)))</f>
        <v>1</v>
      </c>
      <c r="AE49" t="s">
        <v>154</v>
      </c>
      <c r="AF49">
        <f>IF(#REF!="PM &lt; 2.5 μm", 1, 0)</f>
        <v>0</v>
      </c>
      <c r="AG49" t="s">
        <v>175</v>
      </c>
      <c r="AH49">
        <f>IF(#REF!="Particles of this size are generally absorbed in the respiratory tract and safely excreted in mucus.", 1, 0)</f>
        <v>1</v>
      </c>
      <c r="AI49" t="s">
        <v>526</v>
      </c>
      <c r="AJ49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-1</v>
      </c>
      <c r="AQ49">
        <v>5</v>
      </c>
      <c r="AR49" t="s">
        <v>314</v>
      </c>
    </row>
    <row r="50" spans="1:44" x14ac:dyDescent="0.25">
      <c r="A50" t="s">
        <v>765</v>
      </c>
      <c r="B50" t="s">
        <v>766</v>
      </c>
      <c r="C50" t="s">
        <v>42</v>
      </c>
      <c r="D50" t="s">
        <v>389</v>
      </c>
      <c r="E50">
        <v>1</v>
      </c>
      <c r="F50" t="s">
        <v>112</v>
      </c>
      <c r="G50">
        <f>_xlfn.NUMBERVALUE(#REF!)</f>
        <v>100</v>
      </c>
      <c r="H50" t="s">
        <v>112</v>
      </c>
      <c r="I50" t="s">
        <v>114</v>
      </c>
      <c r="J50" t="s">
        <v>766</v>
      </c>
      <c r="K50" t="s">
        <v>767</v>
      </c>
      <c r="L50" t="s">
        <v>111</v>
      </c>
      <c r="M50" t="s">
        <v>111</v>
      </c>
      <c r="N50" t="s">
        <v>111</v>
      </c>
      <c r="O50" t="s">
        <v>111</v>
      </c>
      <c r="P50" t="s">
        <v>392</v>
      </c>
      <c r="Q50" t="s">
        <v>393</v>
      </c>
      <c r="R50" t="s">
        <v>487</v>
      </c>
      <c r="S50" t="s">
        <v>117</v>
      </c>
      <c r="T50" t="s">
        <v>768</v>
      </c>
      <c r="U50">
        <v>5</v>
      </c>
      <c r="V50">
        <v>4</v>
      </c>
      <c r="W50">
        <v>5</v>
      </c>
      <c r="X50">
        <v>5</v>
      </c>
      <c r="Y50">
        <v>5</v>
      </c>
      <c r="Z50">
        <v>5</v>
      </c>
      <c r="AA50">
        <v>5</v>
      </c>
      <c r="AB50">
        <v>5</v>
      </c>
      <c r="AC50">
        <v>4.5</v>
      </c>
      <c r="AD50">
        <f>IF(#REF! = 3, 1, IF(#REF! = 2.5, 0.5, IF(#REF! = 3.5, 0.5, 0)))</f>
        <v>0</v>
      </c>
      <c r="AE50" t="s">
        <v>130</v>
      </c>
      <c r="AF50">
        <f>IF(#REF!="PM &lt; 2.5 μm", 1, 0)</f>
        <v>0</v>
      </c>
      <c r="AG50" t="s">
        <v>141</v>
      </c>
      <c r="AH50">
        <f>IF(#REF!="Particles of this size are generally absorbed in the respiratory tract and safely excreted in mucus.", 1, 0)</f>
        <v>0</v>
      </c>
      <c r="AI50" t="s">
        <v>156</v>
      </c>
      <c r="AJ50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4</v>
      </c>
      <c r="AK50">
        <v>5</v>
      </c>
      <c r="AL50">
        <v>5</v>
      </c>
      <c r="AM50">
        <v>5</v>
      </c>
      <c r="AN50">
        <v>5</v>
      </c>
      <c r="AO50">
        <v>5</v>
      </c>
      <c r="AP50">
        <v>3</v>
      </c>
      <c r="AQ50">
        <v>10</v>
      </c>
      <c r="AR50" t="s">
        <v>111</v>
      </c>
    </row>
    <row r="51" spans="1:44" x14ac:dyDescent="0.25">
      <c r="A51" t="s">
        <v>779</v>
      </c>
      <c r="B51" t="s">
        <v>780</v>
      </c>
      <c r="C51" t="s">
        <v>42</v>
      </c>
      <c r="D51" t="s">
        <v>389</v>
      </c>
      <c r="E51">
        <v>1</v>
      </c>
      <c r="F51" t="s">
        <v>112</v>
      </c>
      <c r="G51">
        <f>_xlfn.NUMBERVALUE(#REF!)</f>
        <v>5879</v>
      </c>
      <c r="H51" t="s">
        <v>781</v>
      </c>
      <c r="I51" t="s">
        <v>114</v>
      </c>
      <c r="J51" t="s">
        <v>780</v>
      </c>
      <c r="K51" t="s">
        <v>782</v>
      </c>
      <c r="L51" t="s">
        <v>111</v>
      </c>
      <c r="M51" t="s">
        <v>111</v>
      </c>
      <c r="N51" t="s">
        <v>111</v>
      </c>
      <c r="O51" t="s">
        <v>111</v>
      </c>
      <c r="P51" t="s">
        <v>392</v>
      </c>
      <c r="Q51" t="s">
        <v>393</v>
      </c>
      <c r="R51" t="s">
        <v>127</v>
      </c>
      <c r="S51" t="s">
        <v>117</v>
      </c>
      <c r="T51" t="s">
        <v>783</v>
      </c>
      <c r="U51">
        <v>4</v>
      </c>
      <c r="V51">
        <v>3</v>
      </c>
      <c r="W51">
        <v>2</v>
      </c>
      <c r="X51">
        <v>5</v>
      </c>
      <c r="Y51">
        <v>2</v>
      </c>
      <c r="Z51">
        <v>5</v>
      </c>
      <c r="AA51">
        <v>5</v>
      </c>
      <c r="AB51">
        <v>1</v>
      </c>
      <c r="AC51">
        <v>5</v>
      </c>
      <c r="AD51">
        <f>IF(#REF! = 3, 1, IF(#REF! = 2.5, 0.5, IF(#REF! = 3.5, 0.5, 0)))</f>
        <v>0</v>
      </c>
      <c r="AE51" t="s">
        <v>130</v>
      </c>
      <c r="AF51">
        <f>IF(#REF!="PM &lt; 2.5 μm", 1, 0)</f>
        <v>0</v>
      </c>
      <c r="AG51" t="s">
        <v>155</v>
      </c>
      <c r="AH51">
        <f>IF(#REF!="Particles of this size are generally absorbed in the respiratory tract and safely excreted in mucus.", 1, 0)</f>
        <v>0</v>
      </c>
      <c r="AI51" t="s">
        <v>526</v>
      </c>
      <c r="AJ51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-1</v>
      </c>
      <c r="AK51">
        <v>5</v>
      </c>
      <c r="AL51">
        <v>3</v>
      </c>
      <c r="AM51">
        <v>1</v>
      </c>
      <c r="AN51">
        <v>1</v>
      </c>
      <c r="AO51">
        <v>2</v>
      </c>
      <c r="AP51">
        <v>5</v>
      </c>
      <c r="AQ51">
        <v>8</v>
      </c>
      <c r="AR51" t="s">
        <v>784</v>
      </c>
    </row>
    <row r="52" spans="1:44" x14ac:dyDescent="0.25">
      <c r="A52" t="s">
        <v>282</v>
      </c>
      <c r="B52" t="s">
        <v>283</v>
      </c>
      <c r="C52" t="s">
        <v>42</v>
      </c>
      <c r="D52" t="s">
        <v>284</v>
      </c>
      <c r="E52">
        <v>1</v>
      </c>
      <c r="F52" t="s">
        <v>112</v>
      </c>
      <c r="G52">
        <f>_xlfn.NUMBERVALUE(#REF!)</f>
        <v>216</v>
      </c>
      <c r="H52" t="s">
        <v>285</v>
      </c>
      <c r="I52" t="s">
        <v>114</v>
      </c>
      <c r="J52" t="s">
        <v>286</v>
      </c>
      <c r="K52" t="s">
        <v>287</v>
      </c>
      <c r="L52" t="s">
        <v>111</v>
      </c>
      <c r="M52" t="s">
        <v>111</v>
      </c>
      <c r="N52" t="s">
        <v>111</v>
      </c>
      <c r="O52" t="s">
        <v>111</v>
      </c>
      <c r="P52" t="s">
        <v>288</v>
      </c>
      <c r="Q52" t="s">
        <v>289</v>
      </c>
      <c r="R52" t="s">
        <v>127</v>
      </c>
      <c r="S52" t="s">
        <v>117</v>
      </c>
      <c r="T52" t="s">
        <v>290</v>
      </c>
      <c r="U52">
        <v>3</v>
      </c>
      <c r="V52">
        <v>2</v>
      </c>
      <c r="W52">
        <v>3</v>
      </c>
      <c r="X52">
        <v>5</v>
      </c>
      <c r="Y52">
        <v>3</v>
      </c>
      <c r="Z52">
        <v>3</v>
      </c>
      <c r="AA52">
        <v>5</v>
      </c>
      <c r="AB52">
        <v>1</v>
      </c>
      <c r="AC52">
        <v>3</v>
      </c>
      <c r="AD52">
        <f>IF(#REF! = 3, 1, IF(#REF! = 2.5, 0.5, IF(#REF! = 3.5, 0.5, 0)))</f>
        <v>1</v>
      </c>
      <c r="AE52" t="s">
        <v>166</v>
      </c>
      <c r="AF52">
        <f>IF(#REF!="PM &lt; 2.5 μm", 1, 0)</f>
        <v>0</v>
      </c>
      <c r="AG52" t="s">
        <v>131</v>
      </c>
      <c r="AH52">
        <f>IF(#REF!="Particles of this size are generally absorbed in the respiratory tract and safely excreted in mucus.", 1, 0)</f>
        <v>0</v>
      </c>
      <c r="AI52" t="s">
        <v>224</v>
      </c>
      <c r="AJ52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1</v>
      </c>
      <c r="AK52">
        <v>1</v>
      </c>
      <c r="AL52">
        <v>1</v>
      </c>
      <c r="AM52">
        <v>3</v>
      </c>
      <c r="AN52">
        <v>1</v>
      </c>
      <c r="AO52">
        <v>3</v>
      </c>
      <c r="AP52">
        <v>2</v>
      </c>
      <c r="AQ52">
        <v>7</v>
      </c>
      <c r="AR52" t="s">
        <v>291</v>
      </c>
    </row>
    <row r="53" spans="1:44" x14ac:dyDescent="0.25">
      <c r="A53" t="s">
        <v>756</v>
      </c>
      <c r="B53" t="s">
        <v>757</v>
      </c>
      <c r="C53" t="s">
        <v>42</v>
      </c>
      <c r="D53" t="s">
        <v>758</v>
      </c>
      <c r="E53">
        <v>1</v>
      </c>
      <c r="F53" t="s">
        <v>112</v>
      </c>
      <c r="G53">
        <f>_xlfn.NUMBERVALUE(#REF!)</f>
        <v>198</v>
      </c>
      <c r="H53" t="s">
        <v>759</v>
      </c>
      <c r="I53" t="s">
        <v>114</v>
      </c>
      <c r="J53" t="s">
        <v>757</v>
      </c>
      <c r="K53" t="s">
        <v>760</v>
      </c>
      <c r="L53" t="s">
        <v>111</v>
      </c>
      <c r="M53" t="s">
        <v>111</v>
      </c>
      <c r="N53" t="s">
        <v>111</v>
      </c>
      <c r="O53" t="s">
        <v>111</v>
      </c>
      <c r="P53" t="s">
        <v>761</v>
      </c>
      <c r="Q53" t="s">
        <v>762</v>
      </c>
      <c r="R53" t="s">
        <v>127</v>
      </c>
      <c r="S53" t="s">
        <v>117</v>
      </c>
      <c r="T53" t="s">
        <v>763</v>
      </c>
      <c r="U53">
        <v>5</v>
      </c>
      <c r="V53">
        <v>5</v>
      </c>
      <c r="W53">
        <v>3</v>
      </c>
      <c r="X53">
        <v>5</v>
      </c>
      <c r="Y53">
        <v>4</v>
      </c>
      <c r="Z53">
        <v>5</v>
      </c>
      <c r="AA53">
        <v>5</v>
      </c>
      <c r="AB53">
        <v>3</v>
      </c>
      <c r="AC53">
        <v>4</v>
      </c>
      <c r="AD53">
        <f>IF(#REF! = 3, 1, IF(#REF! = 2.5, 0.5, IF(#REF! = 3.5, 0.5, 0)))</f>
        <v>0</v>
      </c>
      <c r="AE53" t="s">
        <v>185</v>
      </c>
      <c r="AF53">
        <f>IF(#REF!="PM &lt; 2.5 μm", 1, 0)</f>
        <v>0</v>
      </c>
      <c r="AG53" t="s">
        <v>131</v>
      </c>
      <c r="AH53">
        <f>IF(#REF!="Particles of this size are generally absorbed in the respiratory tract and safely excreted in mucus.", 1, 0)</f>
        <v>0</v>
      </c>
      <c r="AI53" t="s">
        <v>186</v>
      </c>
      <c r="AJ53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3</v>
      </c>
      <c r="AK53">
        <v>4</v>
      </c>
      <c r="AL53">
        <v>2</v>
      </c>
      <c r="AM53">
        <v>4</v>
      </c>
      <c r="AN53">
        <v>5</v>
      </c>
      <c r="AO53">
        <v>5</v>
      </c>
      <c r="AP53">
        <v>4</v>
      </c>
      <c r="AQ53">
        <v>10</v>
      </c>
      <c r="AR53" t="s">
        <v>764</v>
      </c>
    </row>
    <row r="54" spans="1:44" x14ac:dyDescent="0.25">
      <c r="A54" t="s">
        <v>197</v>
      </c>
      <c r="B54" t="s">
        <v>198</v>
      </c>
      <c r="C54" t="s">
        <v>42</v>
      </c>
      <c r="D54" t="s">
        <v>199</v>
      </c>
      <c r="E54">
        <v>1</v>
      </c>
      <c r="F54" t="s">
        <v>112</v>
      </c>
      <c r="G54">
        <f>_xlfn.NUMBERVALUE(#REF!)</f>
        <v>234</v>
      </c>
      <c r="H54" t="s">
        <v>200</v>
      </c>
      <c r="I54" t="s">
        <v>114</v>
      </c>
      <c r="J54" t="s">
        <v>201</v>
      </c>
      <c r="K54" t="s">
        <v>202</v>
      </c>
      <c r="L54" t="s">
        <v>111</v>
      </c>
      <c r="M54" t="s">
        <v>111</v>
      </c>
      <c r="N54" t="s">
        <v>111</v>
      </c>
      <c r="O54" t="s">
        <v>111</v>
      </c>
      <c r="P54" t="s">
        <v>203</v>
      </c>
      <c r="Q54" t="s">
        <v>204</v>
      </c>
      <c r="R54" t="s">
        <v>127</v>
      </c>
      <c r="S54" t="s">
        <v>117</v>
      </c>
      <c r="T54" t="s">
        <v>205</v>
      </c>
      <c r="U54">
        <v>5</v>
      </c>
      <c r="V54">
        <v>5</v>
      </c>
      <c r="W54">
        <v>5</v>
      </c>
      <c r="X54">
        <v>5</v>
      </c>
      <c r="Y54">
        <v>4</v>
      </c>
      <c r="Z54">
        <v>4</v>
      </c>
      <c r="AA54">
        <v>5</v>
      </c>
      <c r="AB54">
        <v>5</v>
      </c>
      <c r="AC54">
        <v>3.5</v>
      </c>
      <c r="AD54">
        <f>IF(#REF! = 3, 1, IF(#REF! = 2.5, 0.5, IF(#REF! = 3.5, 0.5, 0)))</f>
        <v>0.5</v>
      </c>
      <c r="AE54" t="s">
        <v>130</v>
      </c>
      <c r="AF54">
        <f>IF(#REF!="PM &lt; 2.5 μm", 1, 0)</f>
        <v>0</v>
      </c>
      <c r="AG54" t="s">
        <v>141</v>
      </c>
      <c r="AH54">
        <f>IF(#REF!="Particles of this size are generally absorbed in the respiratory tract and safely excreted in mucus.", 1, 0)</f>
        <v>0</v>
      </c>
      <c r="AI54" t="s">
        <v>206</v>
      </c>
      <c r="AJ54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2</v>
      </c>
      <c r="AK54">
        <v>5</v>
      </c>
      <c r="AL54">
        <v>4</v>
      </c>
      <c r="AM54">
        <v>5</v>
      </c>
      <c r="AN54">
        <v>4</v>
      </c>
      <c r="AO54">
        <v>5</v>
      </c>
      <c r="AP54">
        <v>4</v>
      </c>
      <c r="AQ54">
        <v>9</v>
      </c>
      <c r="AR54" t="s">
        <v>208</v>
      </c>
    </row>
    <row r="55" spans="1:44" x14ac:dyDescent="0.25">
      <c r="A55" t="s">
        <v>727</v>
      </c>
      <c r="B55" t="s">
        <v>728</v>
      </c>
      <c r="C55" t="s">
        <v>42</v>
      </c>
      <c r="D55" t="s">
        <v>389</v>
      </c>
      <c r="E55">
        <v>1</v>
      </c>
      <c r="F55" t="s">
        <v>112</v>
      </c>
      <c r="G55">
        <f>_xlfn.NUMBERVALUE(#REF!)</f>
        <v>81</v>
      </c>
      <c r="H55" t="s">
        <v>729</v>
      </c>
      <c r="I55" t="s">
        <v>114</v>
      </c>
      <c r="J55" t="s">
        <v>728</v>
      </c>
      <c r="K55" t="s">
        <v>730</v>
      </c>
      <c r="L55" t="s">
        <v>111</v>
      </c>
      <c r="M55" t="s">
        <v>111</v>
      </c>
      <c r="N55" t="s">
        <v>111</v>
      </c>
      <c r="O55" t="s">
        <v>111</v>
      </c>
      <c r="P55" t="s">
        <v>392</v>
      </c>
      <c r="Q55" t="s">
        <v>393</v>
      </c>
      <c r="R55" t="s">
        <v>127</v>
      </c>
      <c r="S55" t="s">
        <v>117</v>
      </c>
      <c r="T55" t="s">
        <v>731</v>
      </c>
      <c r="U55">
        <v>4</v>
      </c>
      <c r="V55">
        <v>5</v>
      </c>
      <c r="W55">
        <v>4</v>
      </c>
      <c r="X55">
        <v>5</v>
      </c>
      <c r="Y55">
        <v>4</v>
      </c>
      <c r="Z55">
        <v>3</v>
      </c>
      <c r="AA55">
        <v>5</v>
      </c>
      <c r="AB55">
        <v>4</v>
      </c>
      <c r="AC55">
        <v>4</v>
      </c>
      <c r="AD55">
        <f>IF(#REF! = 3, 1, IF(#REF! = 2.5, 0.5, IF(#REF! = 3.5, 0.5, 0)))</f>
        <v>0</v>
      </c>
      <c r="AE55" t="s">
        <v>154</v>
      </c>
      <c r="AF55">
        <f>IF(#REF!="PM &lt; 2.5 μm", 1, 0)</f>
        <v>0</v>
      </c>
      <c r="AG55" t="s">
        <v>141</v>
      </c>
      <c r="AH55">
        <f>IF(#REF!="Particles of this size are generally absorbed in the respiratory tract and safely excreted in mucus.", 1, 0)</f>
        <v>0</v>
      </c>
      <c r="AI55" t="s">
        <v>280</v>
      </c>
      <c r="AJ55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2</v>
      </c>
      <c r="AK55">
        <v>5</v>
      </c>
      <c r="AL55">
        <v>3</v>
      </c>
      <c r="AM55">
        <v>5</v>
      </c>
      <c r="AN55">
        <v>5</v>
      </c>
      <c r="AO55">
        <v>5</v>
      </c>
      <c r="AP55">
        <v>4</v>
      </c>
      <c r="AQ55">
        <v>9</v>
      </c>
      <c r="AR55" t="s">
        <v>111</v>
      </c>
    </row>
    <row r="56" spans="1:44" x14ac:dyDescent="0.25">
      <c r="A56" t="s">
        <v>672</v>
      </c>
      <c r="B56" t="s">
        <v>673</v>
      </c>
      <c r="C56" t="s">
        <v>42</v>
      </c>
      <c r="D56" t="s">
        <v>674</v>
      </c>
      <c r="E56">
        <v>1</v>
      </c>
      <c r="F56" t="s">
        <v>112</v>
      </c>
      <c r="G56">
        <f>_xlfn.NUMBERVALUE(#REF!)</f>
        <v>320</v>
      </c>
      <c r="H56" t="s">
        <v>675</v>
      </c>
      <c r="I56" t="s">
        <v>114</v>
      </c>
      <c r="J56" t="s">
        <v>673</v>
      </c>
      <c r="K56" t="s">
        <v>676</v>
      </c>
      <c r="L56" t="s">
        <v>111</v>
      </c>
      <c r="M56" t="s">
        <v>111</v>
      </c>
      <c r="N56" t="s">
        <v>111</v>
      </c>
      <c r="O56" t="s">
        <v>111</v>
      </c>
      <c r="P56" t="s">
        <v>351</v>
      </c>
      <c r="Q56" t="s">
        <v>352</v>
      </c>
      <c r="R56" t="s">
        <v>487</v>
      </c>
      <c r="S56" t="s">
        <v>117</v>
      </c>
      <c r="T56" t="s">
        <v>677</v>
      </c>
      <c r="U56">
        <v>5</v>
      </c>
      <c r="V56">
        <v>3</v>
      </c>
      <c r="W56">
        <v>5</v>
      </c>
      <c r="X56">
        <v>5</v>
      </c>
      <c r="Y56">
        <v>3</v>
      </c>
      <c r="Z56">
        <v>4</v>
      </c>
      <c r="AA56">
        <v>5</v>
      </c>
      <c r="AB56">
        <v>5</v>
      </c>
      <c r="AC56">
        <v>3</v>
      </c>
      <c r="AD56">
        <f>IF(#REF! = 3, 1, IF(#REF! = 2.5, 0.5, IF(#REF! = 3.5, 0.5, 0)))</f>
        <v>1</v>
      </c>
      <c r="AE56" t="s">
        <v>154</v>
      </c>
      <c r="AF56">
        <f>IF(#REF!="PM &lt; 2.5 μm", 1, 0)</f>
        <v>0</v>
      </c>
      <c r="AG56" t="s">
        <v>175</v>
      </c>
      <c r="AH56">
        <f>IF(#REF!="Particles of this size are generally absorbed in the respiratory tract and safely excreted in mucus.", 1, 0)</f>
        <v>1</v>
      </c>
      <c r="AI56" t="s">
        <v>186</v>
      </c>
      <c r="AJ56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3</v>
      </c>
      <c r="AK56">
        <v>3</v>
      </c>
      <c r="AL56">
        <v>4</v>
      </c>
      <c r="AM56">
        <v>4</v>
      </c>
      <c r="AN56">
        <v>4</v>
      </c>
      <c r="AO56">
        <v>4</v>
      </c>
      <c r="AP56">
        <v>4</v>
      </c>
      <c r="AQ56">
        <v>8</v>
      </c>
      <c r="AR56" t="s">
        <v>678</v>
      </c>
    </row>
    <row r="57" spans="1:44" x14ac:dyDescent="0.25">
      <c r="A57" t="s">
        <v>443</v>
      </c>
      <c r="B57" t="s">
        <v>444</v>
      </c>
      <c r="C57" t="s">
        <v>42</v>
      </c>
      <c r="D57" t="s">
        <v>445</v>
      </c>
      <c r="E57">
        <v>1</v>
      </c>
      <c r="F57" t="s">
        <v>112</v>
      </c>
      <c r="G57">
        <f>_xlfn.NUMBERVALUE(#REF!)</f>
        <v>77</v>
      </c>
      <c r="H57" t="s">
        <v>446</v>
      </c>
      <c r="I57" t="s">
        <v>114</v>
      </c>
      <c r="J57" t="s">
        <v>447</v>
      </c>
      <c r="K57" t="s">
        <v>448</v>
      </c>
      <c r="L57" t="s">
        <v>111</v>
      </c>
      <c r="M57" t="s">
        <v>111</v>
      </c>
      <c r="N57" t="s">
        <v>111</v>
      </c>
      <c r="O57" t="s">
        <v>111</v>
      </c>
      <c r="P57" t="s">
        <v>351</v>
      </c>
      <c r="Q57" t="s">
        <v>352</v>
      </c>
      <c r="R57" t="s">
        <v>127</v>
      </c>
      <c r="S57" t="s">
        <v>117</v>
      </c>
      <c r="T57" t="s">
        <v>449</v>
      </c>
      <c r="U57">
        <v>5</v>
      </c>
      <c r="V57">
        <v>5</v>
      </c>
      <c r="W57">
        <v>5</v>
      </c>
      <c r="X57">
        <v>5</v>
      </c>
      <c r="Y57">
        <v>3</v>
      </c>
      <c r="Z57">
        <v>3</v>
      </c>
      <c r="AA57">
        <v>5</v>
      </c>
      <c r="AB57">
        <v>2</v>
      </c>
      <c r="AC57">
        <v>2.5</v>
      </c>
      <c r="AD57">
        <f>IF(#REF! = 3, 1, IF(#REF! = 2.5, 0.5, IF(#REF! = 3.5, 0.5, 0)))</f>
        <v>0.5</v>
      </c>
      <c r="AE57" t="s">
        <v>154</v>
      </c>
      <c r="AF57">
        <f>IF(#REF!="PM &lt; 2.5 μm", 1, 0)</f>
        <v>0</v>
      </c>
      <c r="AG57" t="s">
        <v>141</v>
      </c>
      <c r="AH57">
        <f>IF(#REF!="Particles of this size are generally absorbed in the respiratory tract and safely excreted in mucus.", 1, 0)</f>
        <v>0</v>
      </c>
      <c r="AI57" t="s">
        <v>450</v>
      </c>
      <c r="AJ57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2</v>
      </c>
      <c r="AK57">
        <v>3</v>
      </c>
      <c r="AL57">
        <v>4</v>
      </c>
      <c r="AN57">
        <v>4</v>
      </c>
      <c r="AO57">
        <v>4</v>
      </c>
      <c r="AP57">
        <v>4</v>
      </c>
      <c r="AQ57">
        <v>8</v>
      </c>
      <c r="AR57" t="s">
        <v>111</v>
      </c>
    </row>
    <row r="58" spans="1:44" x14ac:dyDescent="0.25">
      <c r="A58" t="s">
        <v>233</v>
      </c>
      <c r="B58" t="s">
        <v>234</v>
      </c>
      <c r="C58" t="s">
        <v>42</v>
      </c>
      <c r="D58" t="s">
        <v>235</v>
      </c>
      <c r="E58">
        <v>1</v>
      </c>
      <c r="F58" t="s">
        <v>112</v>
      </c>
      <c r="G58">
        <f>_xlfn.NUMBERVALUE(#REF!)</f>
        <v>174</v>
      </c>
      <c r="H58" t="s">
        <v>236</v>
      </c>
      <c r="I58" t="s">
        <v>114</v>
      </c>
      <c r="J58" t="s">
        <v>234</v>
      </c>
      <c r="K58" t="s">
        <v>237</v>
      </c>
      <c r="L58" t="s">
        <v>111</v>
      </c>
      <c r="M58" t="s">
        <v>111</v>
      </c>
      <c r="N58" t="s">
        <v>111</v>
      </c>
      <c r="O58" t="s">
        <v>111</v>
      </c>
      <c r="P58" t="s">
        <v>238</v>
      </c>
      <c r="Q58" t="s">
        <v>239</v>
      </c>
      <c r="R58" t="s">
        <v>127</v>
      </c>
      <c r="S58" t="s">
        <v>117</v>
      </c>
      <c r="T58" t="s">
        <v>240</v>
      </c>
      <c r="U58">
        <v>5</v>
      </c>
      <c r="V58">
        <v>4</v>
      </c>
      <c r="W58">
        <v>3</v>
      </c>
      <c r="X58">
        <v>4</v>
      </c>
      <c r="Y58">
        <v>3</v>
      </c>
      <c r="Z58">
        <v>4</v>
      </c>
      <c r="AA58">
        <v>5</v>
      </c>
      <c r="AB58">
        <v>2</v>
      </c>
      <c r="AC58">
        <v>4</v>
      </c>
      <c r="AD58">
        <f>IF(#REF! = 3, 1, IF(#REF! = 2.5, 0.5, IF(#REF! = 3.5, 0.5, 0)))</f>
        <v>0</v>
      </c>
      <c r="AE58" t="s">
        <v>130</v>
      </c>
      <c r="AF58">
        <f>IF(#REF!="PM &lt; 2.5 μm", 1, 0)</f>
        <v>0</v>
      </c>
      <c r="AG58" t="s">
        <v>131</v>
      </c>
      <c r="AH58">
        <f>IF(#REF!="Particles of this size are generally absorbed in the respiratory tract and safely excreted in mucus.", 1, 0)</f>
        <v>0</v>
      </c>
      <c r="AI58" t="s">
        <v>167</v>
      </c>
      <c r="AJ58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3</v>
      </c>
      <c r="AK58">
        <v>4</v>
      </c>
      <c r="AL58">
        <v>3</v>
      </c>
      <c r="AM58">
        <v>4</v>
      </c>
      <c r="AN58">
        <v>3</v>
      </c>
      <c r="AO58">
        <v>4</v>
      </c>
      <c r="AP58">
        <v>4</v>
      </c>
      <c r="AQ58">
        <v>8</v>
      </c>
      <c r="AR58" t="s">
        <v>241</v>
      </c>
    </row>
    <row r="59" spans="1:44" x14ac:dyDescent="0.25">
      <c r="A59" t="s">
        <v>177</v>
      </c>
      <c r="B59" t="s">
        <v>178</v>
      </c>
      <c r="C59" t="s">
        <v>42</v>
      </c>
      <c r="D59" t="s">
        <v>179</v>
      </c>
      <c r="E59">
        <v>1</v>
      </c>
      <c r="F59" t="s">
        <v>112</v>
      </c>
      <c r="G59">
        <f>_xlfn.NUMBERVALUE(#REF!)</f>
        <v>291</v>
      </c>
      <c r="H59" t="s">
        <v>180</v>
      </c>
      <c r="I59" t="s">
        <v>114</v>
      </c>
      <c r="J59" t="s">
        <v>178</v>
      </c>
      <c r="K59" t="s">
        <v>181</v>
      </c>
      <c r="L59" t="s">
        <v>111</v>
      </c>
      <c r="M59" t="s">
        <v>111</v>
      </c>
      <c r="N59" t="s">
        <v>111</v>
      </c>
      <c r="O59" t="s">
        <v>111</v>
      </c>
      <c r="P59" t="s">
        <v>182</v>
      </c>
      <c r="Q59" t="s">
        <v>183</v>
      </c>
      <c r="R59" t="s">
        <v>127</v>
      </c>
      <c r="S59" t="s">
        <v>117</v>
      </c>
      <c r="T59" t="s">
        <v>184</v>
      </c>
      <c r="U59">
        <v>5</v>
      </c>
      <c r="V59">
        <v>4</v>
      </c>
      <c r="W59">
        <v>5</v>
      </c>
      <c r="X59">
        <v>5</v>
      </c>
      <c r="Y59">
        <v>5</v>
      </c>
      <c r="Z59">
        <v>5</v>
      </c>
      <c r="AA59">
        <v>5</v>
      </c>
      <c r="AB59">
        <v>4</v>
      </c>
      <c r="AC59">
        <v>4.5</v>
      </c>
      <c r="AD59">
        <f>IF(#REF! = 3, 1, IF(#REF! = 2.5, 0.5, IF(#REF! = 3.5, 0.5, 0)))</f>
        <v>0</v>
      </c>
      <c r="AE59" t="s">
        <v>185</v>
      </c>
      <c r="AF59">
        <f>IF(#REF!="PM &lt; 2.5 μm", 1, 0)</f>
        <v>0</v>
      </c>
      <c r="AG59" t="s">
        <v>141</v>
      </c>
      <c r="AH59">
        <f>IF(#REF!="Particles of this size are generally absorbed in the respiratory tract and safely excreted in mucus.", 1, 0)</f>
        <v>0</v>
      </c>
      <c r="AI59" t="s">
        <v>186</v>
      </c>
      <c r="AJ59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3</v>
      </c>
      <c r="AK59">
        <v>1</v>
      </c>
      <c r="AL59">
        <v>1</v>
      </c>
      <c r="AM59">
        <v>2</v>
      </c>
      <c r="AN59">
        <v>1</v>
      </c>
      <c r="AO59">
        <v>2</v>
      </c>
      <c r="AP59">
        <v>4</v>
      </c>
      <c r="AQ59">
        <v>7</v>
      </c>
      <c r="AR59" t="s">
        <v>187</v>
      </c>
    </row>
    <row r="60" spans="1:44" x14ac:dyDescent="0.25">
      <c r="A60" t="s">
        <v>679</v>
      </c>
      <c r="B60" t="s">
        <v>680</v>
      </c>
      <c r="C60" t="s">
        <v>42</v>
      </c>
      <c r="D60" t="s">
        <v>681</v>
      </c>
      <c r="E60">
        <v>1</v>
      </c>
      <c r="F60" t="s">
        <v>112</v>
      </c>
      <c r="G60">
        <f>_xlfn.NUMBERVALUE(#REF!)</f>
        <v>343</v>
      </c>
      <c r="H60" t="s">
        <v>682</v>
      </c>
      <c r="I60" t="s">
        <v>114</v>
      </c>
      <c r="J60" t="s">
        <v>680</v>
      </c>
      <c r="K60" t="s">
        <v>683</v>
      </c>
      <c r="L60" t="s">
        <v>111</v>
      </c>
      <c r="M60" t="s">
        <v>111</v>
      </c>
      <c r="N60" t="s">
        <v>111</v>
      </c>
      <c r="O60" t="s">
        <v>111</v>
      </c>
      <c r="P60" t="s">
        <v>351</v>
      </c>
      <c r="Q60" t="s">
        <v>352</v>
      </c>
      <c r="R60" t="s">
        <v>127</v>
      </c>
      <c r="S60" t="s">
        <v>117</v>
      </c>
      <c r="T60" t="s">
        <v>684</v>
      </c>
      <c r="U60">
        <v>3</v>
      </c>
      <c r="V60">
        <v>4</v>
      </c>
      <c r="W60">
        <v>4</v>
      </c>
      <c r="X60">
        <v>3</v>
      </c>
      <c r="Y60">
        <v>3</v>
      </c>
      <c r="Z60">
        <v>2</v>
      </c>
      <c r="AA60">
        <v>5</v>
      </c>
      <c r="AB60">
        <v>3</v>
      </c>
      <c r="AC60">
        <v>3.5</v>
      </c>
      <c r="AD60">
        <f>IF(#REF! = 3, 1, IF(#REF! = 2.5, 0.5, IF(#REF! = 3.5, 0.5, 0)))</f>
        <v>0.5</v>
      </c>
      <c r="AE60" t="s">
        <v>130</v>
      </c>
      <c r="AF60">
        <f>IF(#REF!="PM &lt; 2.5 μm", 1, 0)</f>
        <v>0</v>
      </c>
      <c r="AG60" t="s">
        <v>141</v>
      </c>
      <c r="AH60">
        <f>IF(#REF!="Particles of this size are generally absorbed in the respiratory tract and safely excreted in mucus.", 1, 0)</f>
        <v>0</v>
      </c>
      <c r="AI60" t="s">
        <v>258</v>
      </c>
      <c r="AJ60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1</v>
      </c>
      <c r="AK60">
        <v>3</v>
      </c>
      <c r="AL60">
        <v>3</v>
      </c>
      <c r="AM60">
        <v>3</v>
      </c>
      <c r="AN60">
        <v>3</v>
      </c>
      <c r="AO60">
        <v>3</v>
      </c>
      <c r="AP60">
        <v>3</v>
      </c>
      <c r="AQ60">
        <v>5</v>
      </c>
      <c r="AR60" t="s">
        <v>111</v>
      </c>
    </row>
    <row r="61" spans="1:44" x14ac:dyDescent="0.25">
      <c r="A61" t="s">
        <v>396</v>
      </c>
      <c r="B61" t="s">
        <v>397</v>
      </c>
      <c r="C61" t="s">
        <v>42</v>
      </c>
      <c r="D61" t="s">
        <v>398</v>
      </c>
      <c r="E61">
        <v>1</v>
      </c>
      <c r="F61" t="s">
        <v>112</v>
      </c>
      <c r="G61">
        <f>_xlfn.NUMBERVALUE(#REF!)</f>
        <v>123</v>
      </c>
      <c r="H61" t="s">
        <v>399</v>
      </c>
      <c r="I61" t="s">
        <v>114</v>
      </c>
      <c r="J61" t="s">
        <v>397</v>
      </c>
      <c r="K61" t="s">
        <v>400</v>
      </c>
      <c r="L61" t="s">
        <v>111</v>
      </c>
      <c r="M61" t="s">
        <v>111</v>
      </c>
      <c r="N61" t="s">
        <v>111</v>
      </c>
      <c r="O61" t="s">
        <v>111</v>
      </c>
      <c r="P61" t="s">
        <v>351</v>
      </c>
      <c r="Q61" t="s">
        <v>352</v>
      </c>
      <c r="R61" t="s">
        <v>127</v>
      </c>
      <c r="S61" t="s">
        <v>117</v>
      </c>
      <c r="T61" t="s">
        <v>401</v>
      </c>
      <c r="U61">
        <v>5</v>
      </c>
      <c r="V61">
        <v>3</v>
      </c>
      <c r="W61">
        <v>5</v>
      </c>
      <c r="X61">
        <v>5</v>
      </c>
      <c r="Y61">
        <v>3</v>
      </c>
      <c r="Z61">
        <v>5</v>
      </c>
      <c r="AA61">
        <v>5</v>
      </c>
      <c r="AB61">
        <v>3</v>
      </c>
      <c r="AC61">
        <v>4</v>
      </c>
      <c r="AD61">
        <f>IF(#REF! = 3, 1, IF(#REF! = 2.5, 0.5, IF(#REF! = 3.5, 0.5, 0)))</f>
        <v>0</v>
      </c>
      <c r="AE61" t="s">
        <v>130</v>
      </c>
      <c r="AF61">
        <f>IF(#REF!="PM &lt; 2.5 μm", 1, 0)</f>
        <v>0</v>
      </c>
      <c r="AG61" t="s">
        <v>141</v>
      </c>
      <c r="AH61">
        <f>IF(#REF!="Particles of this size are generally absorbed in the respiratory tract and safely excreted in mucus.", 1, 0)</f>
        <v>0</v>
      </c>
      <c r="AI61" t="s">
        <v>402</v>
      </c>
      <c r="AJ61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1</v>
      </c>
      <c r="AK61">
        <v>5</v>
      </c>
      <c r="AL61">
        <v>3</v>
      </c>
      <c r="AM61">
        <v>5</v>
      </c>
      <c r="AN61">
        <v>3</v>
      </c>
      <c r="AO61">
        <v>5</v>
      </c>
      <c r="AP61">
        <v>5</v>
      </c>
      <c r="AQ61">
        <v>8</v>
      </c>
      <c r="AR61" t="s">
        <v>403</v>
      </c>
    </row>
    <row r="62" spans="1:44" x14ac:dyDescent="0.25">
      <c r="A62" t="s">
        <v>488</v>
      </c>
      <c r="B62" t="s">
        <v>666</v>
      </c>
      <c r="C62" t="s">
        <v>42</v>
      </c>
      <c r="D62" t="s">
        <v>667</v>
      </c>
      <c r="E62">
        <v>1</v>
      </c>
      <c r="F62" t="s">
        <v>112</v>
      </c>
      <c r="G62">
        <f>_xlfn.NUMBERVALUE(#REF!)</f>
        <v>329</v>
      </c>
      <c r="H62" t="s">
        <v>668</v>
      </c>
      <c r="I62" t="s">
        <v>114</v>
      </c>
      <c r="J62" t="s">
        <v>666</v>
      </c>
      <c r="K62" t="s">
        <v>669</v>
      </c>
      <c r="L62" t="s">
        <v>111</v>
      </c>
      <c r="M62" t="s">
        <v>111</v>
      </c>
      <c r="N62" t="s">
        <v>111</v>
      </c>
      <c r="O62" t="s">
        <v>111</v>
      </c>
      <c r="P62" t="s">
        <v>115</v>
      </c>
      <c r="Q62" t="s">
        <v>116</v>
      </c>
      <c r="R62" t="s">
        <v>127</v>
      </c>
      <c r="S62" t="s">
        <v>117</v>
      </c>
      <c r="T62" t="s">
        <v>670</v>
      </c>
      <c r="U62">
        <v>5</v>
      </c>
      <c r="V62">
        <v>4</v>
      </c>
      <c r="W62">
        <v>5</v>
      </c>
      <c r="X62">
        <v>5</v>
      </c>
      <c r="Y62">
        <v>4</v>
      </c>
      <c r="Z62">
        <v>5</v>
      </c>
      <c r="AA62">
        <v>5</v>
      </c>
      <c r="AB62">
        <v>4</v>
      </c>
      <c r="AC62">
        <v>2.5</v>
      </c>
      <c r="AD62">
        <f>IF(#REF! = 3, 1, IF(#REF! = 2.5, 0.5, IF(#REF! = 3.5, 0.5, 0)))</f>
        <v>0.5</v>
      </c>
      <c r="AE62" t="s">
        <v>154</v>
      </c>
      <c r="AF62">
        <f>IF(#REF!="PM &lt; 2.5 μm", 1, 0)</f>
        <v>0</v>
      </c>
      <c r="AG62" t="s">
        <v>175</v>
      </c>
      <c r="AH62">
        <f>IF(#REF!="Particles of this size are generally absorbed in the respiratory tract and safely excreted in mucus.", 1, 0)</f>
        <v>1</v>
      </c>
      <c r="AI62" t="s">
        <v>142</v>
      </c>
      <c r="AJ62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2</v>
      </c>
      <c r="AK62">
        <v>2</v>
      </c>
      <c r="AL62">
        <v>3</v>
      </c>
      <c r="AM62">
        <v>3</v>
      </c>
      <c r="AN62">
        <v>2</v>
      </c>
      <c r="AO62">
        <v>3</v>
      </c>
      <c r="AP62">
        <v>4</v>
      </c>
      <c r="AQ62">
        <v>10</v>
      </c>
      <c r="AR62" t="s">
        <v>671</v>
      </c>
    </row>
    <row r="63" spans="1:44" x14ac:dyDescent="0.25">
      <c r="A63" t="s">
        <v>738</v>
      </c>
      <c r="B63" t="s">
        <v>739</v>
      </c>
      <c r="C63" t="s">
        <v>42</v>
      </c>
      <c r="D63" t="s">
        <v>389</v>
      </c>
      <c r="E63">
        <v>1</v>
      </c>
      <c r="F63" t="s">
        <v>112</v>
      </c>
      <c r="G63">
        <f>_xlfn.NUMBERVALUE(#REF!)</f>
        <v>136</v>
      </c>
      <c r="H63" t="s">
        <v>740</v>
      </c>
      <c r="I63" t="s">
        <v>114</v>
      </c>
      <c r="J63" t="s">
        <v>739</v>
      </c>
      <c r="K63" t="s">
        <v>741</v>
      </c>
      <c r="L63" t="s">
        <v>111</v>
      </c>
      <c r="M63" t="s">
        <v>111</v>
      </c>
      <c r="N63" t="s">
        <v>111</v>
      </c>
      <c r="O63" t="s">
        <v>111</v>
      </c>
      <c r="P63" t="s">
        <v>392</v>
      </c>
      <c r="Q63" t="s">
        <v>393</v>
      </c>
      <c r="R63" t="s">
        <v>127</v>
      </c>
      <c r="S63" t="s">
        <v>117</v>
      </c>
      <c r="T63" t="s">
        <v>742</v>
      </c>
      <c r="U63">
        <v>5</v>
      </c>
      <c r="V63">
        <v>4</v>
      </c>
      <c r="W63">
        <v>5</v>
      </c>
      <c r="X63">
        <v>5</v>
      </c>
      <c r="Y63">
        <v>5</v>
      </c>
      <c r="Z63">
        <v>5</v>
      </c>
      <c r="AA63">
        <v>5</v>
      </c>
      <c r="AB63">
        <v>3</v>
      </c>
      <c r="AC63">
        <v>3.5</v>
      </c>
      <c r="AD63">
        <f>IF(#REF! = 3, 1, IF(#REF! = 2.5, 0.5, IF(#REF! = 3.5, 0.5, 0)))</f>
        <v>0.5</v>
      </c>
      <c r="AE63" t="s">
        <v>130</v>
      </c>
      <c r="AF63">
        <f>IF(#REF!="PM &lt; 2.5 μm", 1, 0)</f>
        <v>0</v>
      </c>
      <c r="AG63" t="s">
        <v>131</v>
      </c>
      <c r="AH63">
        <f>IF(#REF!="Particles of this size are generally absorbed in the respiratory tract and safely excreted in mucus.", 1, 0)</f>
        <v>0</v>
      </c>
      <c r="AI63" t="s">
        <v>420</v>
      </c>
      <c r="AJ63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1</v>
      </c>
      <c r="AK63">
        <v>4</v>
      </c>
      <c r="AL63">
        <v>3</v>
      </c>
      <c r="AM63">
        <v>3</v>
      </c>
      <c r="AN63">
        <v>5</v>
      </c>
      <c r="AO63">
        <v>5</v>
      </c>
      <c r="AP63">
        <v>5</v>
      </c>
      <c r="AQ63">
        <v>7</v>
      </c>
      <c r="AR63" t="s">
        <v>111</v>
      </c>
    </row>
    <row r="64" spans="1:44" x14ac:dyDescent="0.25">
      <c r="A64" t="s">
        <v>412</v>
      </c>
      <c r="B64" t="s">
        <v>413</v>
      </c>
      <c r="C64" t="s">
        <v>42</v>
      </c>
      <c r="D64" t="s">
        <v>307</v>
      </c>
      <c r="E64">
        <v>1</v>
      </c>
      <c r="F64" t="s">
        <v>112</v>
      </c>
      <c r="G64">
        <f>_xlfn.NUMBERVALUE(#REF!)</f>
        <v>56</v>
      </c>
      <c r="H64" t="s">
        <v>414</v>
      </c>
      <c r="I64" t="s">
        <v>114</v>
      </c>
      <c r="J64" t="s">
        <v>413</v>
      </c>
      <c r="K64" t="s">
        <v>415</v>
      </c>
      <c r="L64" t="s">
        <v>111</v>
      </c>
      <c r="M64" t="s">
        <v>111</v>
      </c>
      <c r="N64" t="s">
        <v>111</v>
      </c>
      <c r="O64" t="s">
        <v>111</v>
      </c>
      <c r="P64" t="s">
        <v>311</v>
      </c>
      <c r="Q64" t="s">
        <v>312</v>
      </c>
      <c r="R64" t="s">
        <v>127</v>
      </c>
      <c r="S64" t="s">
        <v>117</v>
      </c>
      <c r="T64" t="s">
        <v>416</v>
      </c>
      <c r="U64">
        <v>4</v>
      </c>
      <c r="V64">
        <v>4</v>
      </c>
      <c r="W64">
        <v>5</v>
      </c>
      <c r="X64">
        <v>5</v>
      </c>
      <c r="AA64">
        <v>5</v>
      </c>
      <c r="AC64">
        <v>2.5</v>
      </c>
      <c r="AD64">
        <f>IF(#REF! = 3, 1, IF(#REF! = 2.5, 0.5, IF(#REF! = 3.5, 0.5, 0)))</f>
        <v>0.5</v>
      </c>
      <c r="AE64" t="s">
        <v>130</v>
      </c>
      <c r="AF64">
        <f>IF(#REF!="PM &lt; 2.5 μm", 1, 0)</f>
        <v>0</v>
      </c>
      <c r="AG64" t="s">
        <v>175</v>
      </c>
      <c r="AH64">
        <f>IF(#REF!="Particles of this size are generally absorbed in the respiratory tract and safely excreted in mucus.", 1, 0)</f>
        <v>1</v>
      </c>
      <c r="AI64" t="s">
        <v>142</v>
      </c>
      <c r="AJ64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2</v>
      </c>
      <c r="AK64">
        <v>4</v>
      </c>
      <c r="AL64">
        <v>5</v>
      </c>
      <c r="AM64">
        <v>4</v>
      </c>
      <c r="AN64">
        <v>3</v>
      </c>
      <c r="AO64">
        <v>5</v>
      </c>
      <c r="AP64">
        <v>5</v>
      </c>
      <c r="AQ64">
        <v>4</v>
      </c>
      <c r="AR64" t="s">
        <v>111</v>
      </c>
    </row>
    <row r="65" spans="1:44" x14ac:dyDescent="0.25">
      <c r="A65" t="s">
        <v>632</v>
      </c>
      <c r="B65" t="s">
        <v>633</v>
      </c>
      <c r="C65" t="s">
        <v>42</v>
      </c>
      <c r="D65" t="s">
        <v>389</v>
      </c>
      <c r="E65">
        <v>1</v>
      </c>
      <c r="F65" t="s">
        <v>112</v>
      </c>
      <c r="G65">
        <f>_xlfn.NUMBERVALUE(#REF!)</f>
        <v>267</v>
      </c>
      <c r="H65" t="s">
        <v>634</v>
      </c>
      <c r="I65" t="s">
        <v>114</v>
      </c>
      <c r="J65" t="s">
        <v>635</v>
      </c>
      <c r="K65" t="s">
        <v>636</v>
      </c>
      <c r="L65" t="s">
        <v>111</v>
      </c>
      <c r="M65" t="s">
        <v>111</v>
      </c>
      <c r="N65" t="s">
        <v>111</v>
      </c>
      <c r="O65" t="s">
        <v>111</v>
      </c>
      <c r="P65" t="s">
        <v>392</v>
      </c>
      <c r="Q65" t="s">
        <v>393</v>
      </c>
      <c r="R65" t="s">
        <v>487</v>
      </c>
      <c r="S65" t="s">
        <v>117</v>
      </c>
      <c r="T65" t="s">
        <v>637</v>
      </c>
      <c r="U65">
        <v>4</v>
      </c>
      <c r="V65">
        <v>4</v>
      </c>
      <c r="W65">
        <v>3</v>
      </c>
      <c r="X65">
        <v>5</v>
      </c>
      <c r="Y65">
        <v>3</v>
      </c>
      <c r="Z65">
        <v>3</v>
      </c>
      <c r="AA65">
        <v>4</v>
      </c>
      <c r="AB65">
        <v>3</v>
      </c>
      <c r="AC65">
        <v>4</v>
      </c>
      <c r="AD65">
        <f>IF(#REF! = 3, 1, IF(#REF! = 2.5, 0.5, IF(#REF! = 3.5, 0.5, 0)))</f>
        <v>0</v>
      </c>
      <c r="AE65" t="s">
        <v>130</v>
      </c>
      <c r="AF65">
        <f>IF(#REF!="PM &lt; 2.5 μm", 1, 0)</f>
        <v>0</v>
      </c>
      <c r="AG65" t="s">
        <v>175</v>
      </c>
      <c r="AH65">
        <f>IF(#REF!="Particles of this size are generally absorbed in the respiratory tract and safely excreted in mucus.", 1, 0)</f>
        <v>1</v>
      </c>
      <c r="AI65" t="s">
        <v>327</v>
      </c>
      <c r="AJ65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1</v>
      </c>
      <c r="AK65">
        <v>5</v>
      </c>
      <c r="AL65">
        <v>3</v>
      </c>
      <c r="AM65">
        <v>2</v>
      </c>
      <c r="AN65">
        <v>2</v>
      </c>
      <c r="AO65">
        <v>4</v>
      </c>
      <c r="AP65">
        <v>3</v>
      </c>
      <c r="AQ65">
        <v>6</v>
      </c>
      <c r="AR65" t="s">
        <v>638</v>
      </c>
    </row>
    <row r="66" spans="1:44" x14ac:dyDescent="0.25">
      <c r="A66" t="s">
        <v>305</v>
      </c>
      <c r="B66" t="s">
        <v>306</v>
      </c>
      <c r="C66" t="s">
        <v>42</v>
      </c>
      <c r="D66" t="s">
        <v>307</v>
      </c>
      <c r="E66">
        <v>1</v>
      </c>
      <c r="F66" t="s">
        <v>112</v>
      </c>
      <c r="G66">
        <f>_xlfn.NUMBERVALUE(#REF!)</f>
        <v>107</v>
      </c>
      <c r="H66" t="s">
        <v>308</v>
      </c>
      <c r="I66" t="s">
        <v>114</v>
      </c>
      <c r="J66" t="s">
        <v>309</v>
      </c>
      <c r="K66" t="s">
        <v>310</v>
      </c>
      <c r="L66" t="s">
        <v>111</v>
      </c>
      <c r="M66" t="s">
        <v>111</v>
      </c>
      <c r="N66" t="s">
        <v>111</v>
      </c>
      <c r="O66" t="s">
        <v>111</v>
      </c>
      <c r="P66" t="s">
        <v>311</v>
      </c>
      <c r="Q66" t="s">
        <v>312</v>
      </c>
      <c r="R66" t="s">
        <v>127</v>
      </c>
      <c r="S66" t="s">
        <v>117</v>
      </c>
      <c r="T66" t="s">
        <v>313</v>
      </c>
      <c r="U66">
        <v>4</v>
      </c>
      <c r="V66">
        <v>4</v>
      </c>
      <c r="W66">
        <v>4</v>
      </c>
      <c r="X66">
        <v>4</v>
      </c>
      <c r="Y66">
        <v>4</v>
      </c>
      <c r="Z66">
        <v>4</v>
      </c>
      <c r="AA66">
        <v>4</v>
      </c>
      <c r="AB66">
        <v>3</v>
      </c>
      <c r="AC66">
        <v>3</v>
      </c>
      <c r="AD66">
        <f>IF(#REF! = 3, 1, IF(#REF! = 2.5, 0.5, IF(#REF! = 3.5, 0.5, 0)))</f>
        <v>1</v>
      </c>
      <c r="AE66" t="s">
        <v>130</v>
      </c>
      <c r="AF66">
        <f>IF(#REF!="PM &lt; 2.5 μm", 1, 0)</f>
        <v>0</v>
      </c>
      <c r="AG66" t="s">
        <v>141</v>
      </c>
      <c r="AH66">
        <f>IF(#REF!="Particles of this size are generally absorbed in the respiratory tract and safely excreted in mucus.", 1, 0)</f>
        <v>0</v>
      </c>
      <c r="AI66" t="s">
        <v>167</v>
      </c>
      <c r="AJ66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3</v>
      </c>
      <c r="AK66">
        <v>2</v>
      </c>
      <c r="AL66">
        <v>1</v>
      </c>
      <c r="AM66">
        <v>3</v>
      </c>
      <c r="AN66">
        <v>1</v>
      </c>
      <c r="AO66">
        <v>3</v>
      </c>
      <c r="AP66">
        <v>3</v>
      </c>
      <c r="AQ66">
        <v>8</v>
      </c>
      <c r="AR66" t="s">
        <v>314</v>
      </c>
    </row>
    <row r="67" spans="1:44" x14ac:dyDescent="0.25">
      <c r="A67" t="s">
        <v>475</v>
      </c>
      <c r="B67" t="s">
        <v>476</v>
      </c>
      <c r="C67" t="s">
        <v>42</v>
      </c>
      <c r="D67" t="s">
        <v>389</v>
      </c>
      <c r="E67">
        <v>1</v>
      </c>
      <c r="F67" t="s">
        <v>112</v>
      </c>
      <c r="G67">
        <f>_xlfn.NUMBERVALUE(#REF!)</f>
        <v>207</v>
      </c>
      <c r="H67" t="s">
        <v>477</v>
      </c>
      <c r="I67" t="s">
        <v>114</v>
      </c>
      <c r="J67" t="s">
        <v>478</v>
      </c>
      <c r="K67" t="s">
        <v>479</v>
      </c>
      <c r="L67" t="s">
        <v>111</v>
      </c>
      <c r="M67" t="s">
        <v>111</v>
      </c>
      <c r="N67" t="s">
        <v>111</v>
      </c>
      <c r="O67" t="s">
        <v>111</v>
      </c>
      <c r="P67" t="s">
        <v>392</v>
      </c>
      <c r="Q67" t="s">
        <v>393</v>
      </c>
      <c r="R67" t="s">
        <v>127</v>
      </c>
      <c r="S67" t="s">
        <v>117</v>
      </c>
      <c r="T67" t="s">
        <v>480</v>
      </c>
      <c r="U67">
        <v>4</v>
      </c>
      <c r="V67">
        <v>1</v>
      </c>
      <c r="W67">
        <v>3</v>
      </c>
      <c r="X67">
        <v>5</v>
      </c>
      <c r="Y67">
        <v>1</v>
      </c>
      <c r="Z67">
        <v>3</v>
      </c>
      <c r="AA67">
        <v>4</v>
      </c>
      <c r="AB67">
        <v>1</v>
      </c>
      <c r="AC67">
        <v>4.5</v>
      </c>
      <c r="AD67">
        <f>IF(#REF! = 3, 1, IF(#REF! = 2.5, 0.5, IF(#REF! = 3.5, 0.5, 0)))</f>
        <v>0</v>
      </c>
      <c r="AE67" t="s">
        <v>185</v>
      </c>
      <c r="AF67">
        <f>IF(#REF!="PM &lt; 2.5 μm", 1, 0)</f>
        <v>0</v>
      </c>
      <c r="AG67" t="s">
        <v>175</v>
      </c>
      <c r="AH67">
        <f>IF(#REF!="Particles of this size are generally absorbed in the respiratory tract and safely excreted in mucus.", 1, 0)</f>
        <v>1</v>
      </c>
      <c r="AI67" t="s">
        <v>232</v>
      </c>
      <c r="AJ67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1</v>
      </c>
      <c r="AK67">
        <v>3</v>
      </c>
      <c r="AL67">
        <v>2</v>
      </c>
      <c r="AM67">
        <v>4</v>
      </c>
      <c r="AN67">
        <v>4</v>
      </c>
      <c r="AO67">
        <v>5</v>
      </c>
      <c r="AP67">
        <v>2</v>
      </c>
      <c r="AQ67">
        <v>5</v>
      </c>
      <c r="AR67" t="s">
        <v>481</v>
      </c>
    </row>
    <row r="68" spans="1:44" x14ac:dyDescent="0.25">
      <c r="A68" t="s">
        <v>158</v>
      </c>
      <c r="B68" t="s">
        <v>159</v>
      </c>
      <c r="C68" t="s">
        <v>42</v>
      </c>
      <c r="D68" t="s">
        <v>160</v>
      </c>
      <c r="E68">
        <v>1</v>
      </c>
      <c r="F68" t="s">
        <v>112</v>
      </c>
      <c r="G68">
        <f>_xlfn.NUMBERVALUE(#REF!)</f>
        <v>224</v>
      </c>
      <c r="H68" t="s">
        <v>161</v>
      </c>
      <c r="I68" t="s">
        <v>114</v>
      </c>
      <c r="J68" t="s">
        <v>162</v>
      </c>
      <c r="K68" t="s">
        <v>163</v>
      </c>
      <c r="L68" t="s">
        <v>111</v>
      </c>
      <c r="M68" t="s">
        <v>111</v>
      </c>
      <c r="N68" t="s">
        <v>111</v>
      </c>
      <c r="O68" t="s">
        <v>111</v>
      </c>
      <c r="P68" t="s">
        <v>164</v>
      </c>
      <c r="Q68" t="s">
        <v>165</v>
      </c>
      <c r="R68" t="s">
        <v>127</v>
      </c>
      <c r="S68" t="s">
        <v>117</v>
      </c>
      <c r="T68" t="s">
        <v>111</v>
      </c>
      <c r="U68">
        <v>4</v>
      </c>
      <c r="V68">
        <v>4</v>
      </c>
      <c r="W68">
        <v>4</v>
      </c>
      <c r="X68">
        <v>5</v>
      </c>
      <c r="Y68">
        <v>2</v>
      </c>
      <c r="Z68">
        <v>2</v>
      </c>
      <c r="AA68">
        <v>5</v>
      </c>
      <c r="AB68">
        <v>3</v>
      </c>
      <c r="AC68">
        <v>3</v>
      </c>
      <c r="AD68">
        <f>IF(#REF! = 3, 1, IF(#REF! = 2.5, 0.5, IF(#REF! = 3.5, 0.5, 0)))</f>
        <v>1</v>
      </c>
      <c r="AE68" t="s">
        <v>166</v>
      </c>
      <c r="AF68">
        <f>IF(#REF!="PM &lt; 2.5 μm", 1, 0)</f>
        <v>0</v>
      </c>
      <c r="AG68" t="s">
        <v>141</v>
      </c>
      <c r="AH68">
        <f>IF(#REF!="Particles of this size are generally absorbed in the respiratory tract and safely excreted in mucus.", 1, 0)</f>
        <v>0</v>
      </c>
      <c r="AI68" t="s">
        <v>167</v>
      </c>
      <c r="AJ68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3</v>
      </c>
      <c r="AK68">
        <v>4</v>
      </c>
      <c r="AL68">
        <v>0</v>
      </c>
      <c r="AM68">
        <v>2</v>
      </c>
      <c r="AN68">
        <v>2</v>
      </c>
      <c r="AO68">
        <v>4</v>
      </c>
      <c r="AP68">
        <v>3</v>
      </c>
      <c r="AQ68">
        <v>6</v>
      </c>
      <c r="AR68" t="s">
        <v>168</v>
      </c>
    </row>
    <row r="69" spans="1:44" x14ac:dyDescent="0.25">
      <c r="A69" t="s">
        <v>169</v>
      </c>
      <c r="B69" t="s">
        <v>170</v>
      </c>
      <c r="C69" t="s">
        <v>42</v>
      </c>
      <c r="D69" t="s">
        <v>171</v>
      </c>
      <c r="E69">
        <v>1</v>
      </c>
      <c r="F69" t="s">
        <v>112</v>
      </c>
      <c r="G69">
        <f>_xlfn.NUMBERVALUE(#REF!)</f>
        <v>84</v>
      </c>
      <c r="H69" t="s">
        <v>148</v>
      </c>
      <c r="I69" t="s">
        <v>114</v>
      </c>
      <c r="J69" t="s">
        <v>170</v>
      </c>
      <c r="K69" t="s">
        <v>172</v>
      </c>
      <c r="L69" t="s">
        <v>111</v>
      </c>
      <c r="M69" t="s">
        <v>111</v>
      </c>
      <c r="N69" t="s">
        <v>111</v>
      </c>
      <c r="O69" t="s">
        <v>111</v>
      </c>
      <c r="P69" t="s">
        <v>173</v>
      </c>
      <c r="Q69" t="s">
        <v>174</v>
      </c>
      <c r="R69" t="s">
        <v>127</v>
      </c>
      <c r="S69" t="s">
        <v>117</v>
      </c>
      <c r="T69" t="s">
        <v>111</v>
      </c>
      <c r="U69">
        <v>4</v>
      </c>
      <c r="V69">
        <v>4</v>
      </c>
      <c r="W69">
        <v>3</v>
      </c>
      <c r="X69">
        <v>4</v>
      </c>
      <c r="Y69">
        <v>2</v>
      </c>
      <c r="Z69">
        <v>1</v>
      </c>
      <c r="AA69">
        <v>4</v>
      </c>
      <c r="AB69">
        <v>1</v>
      </c>
      <c r="AC69">
        <v>5</v>
      </c>
      <c r="AD69">
        <f>IF(#REF! = 3, 1, IF(#REF! = 2.5, 0.5, IF(#REF! = 3.5, 0.5, 0)))</f>
        <v>0</v>
      </c>
      <c r="AE69" t="s">
        <v>130</v>
      </c>
      <c r="AF69">
        <f>IF(#REF!="PM &lt; 2.5 μm", 1, 0)</f>
        <v>0</v>
      </c>
      <c r="AG69" t="s">
        <v>175</v>
      </c>
      <c r="AH69">
        <f>IF(#REF!="Particles of this size are generally absorbed in the respiratory tract and safely excreted in mucus.", 1, 0)</f>
        <v>1</v>
      </c>
      <c r="AI69" t="s">
        <v>176</v>
      </c>
      <c r="AJ69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1</v>
      </c>
      <c r="AK69">
        <v>5</v>
      </c>
      <c r="AL69">
        <v>4</v>
      </c>
      <c r="AM69">
        <v>5</v>
      </c>
      <c r="AN69">
        <v>4</v>
      </c>
      <c r="AO69">
        <v>5</v>
      </c>
      <c r="AP69">
        <v>5</v>
      </c>
      <c r="AQ69">
        <v>8</v>
      </c>
      <c r="AR69" t="s">
        <v>111</v>
      </c>
    </row>
    <row r="70" spans="1:44" x14ac:dyDescent="0.25">
      <c r="A70" t="s">
        <v>188</v>
      </c>
      <c r="B70" t="s">
        <v>189</v>
      </c>
      <c r="C70" t="s">
        <v>42</v>
      </c>
      <c r="D70" t="s">
        <v>190</v>
      </c>
      <c r="E70">
        <v>1</v>
      </c>
      <c r="F70" t="s">
        <v>112</v>
      </c>
      <c r="G70">
        <f>_xlfn.NUMBERVALUE(#REF!)</f>
        <v>163</v>
      </c>
      <c r="H70" t="s">
        <v>191</v>
      </c>
      <c r="I70" t="s">
        <v>114</v>
      </c>
      <c r="J70" t="s">
        <v>189</v>
      </c>
      <c r="K70" t="s">
        <v>192</v>
      </c>
      <c r="L70" t="s">
        <v>111</v>
      </c>
      <c r="M70" t="s">
        <v>111</v>
      </c>
      <c r="N70" t="s">
        <v>111</v>
      </c>
      <c r="O70" t="s">
        <v>111</v>
      </c>
      <c r="P70" t="s">
        <v>193</v>
      </c>
      <c r="Q70" t="s">
        <v>194</v>
      </c>
      <c r="R70" t="s">
        <v>127</v>
      </c>
      <c r="S70" t="s">
        <v>117</v>
      </c>
      <c r="T70" t="s">
        <v>1271</v>
      </c>
      <c r="U70">
        <v>3</v>
      </c>
      <c r="V70">
        <v>1</v>
      </c>
      <c r="W70">
        <v>3</v>
      </c>
      <c r="X70">
        <v>3</v>
      </c>
      <c r="Y70">
        <v>1</v>
      </c>
      <c r="Z70">
        <v>5</v>
      </c>
      <c r="AA70">
        <v>5</v>
      </c>
      <c r="AB70">
        <v>1</v>
      </c>
      <c r="AC70">
        <v>2</v>
      </c>
      <c r="AD70">
        <f>IF(#REF! = 3, 1, IF(#REF! = 2.5, 0.5, IF(#REF! = 3.5, 0.5, 0)))</f>
        <v>0</v>
      </c>
      <c r="AE70" t="s">
        <v>185</v>
      </c>
      <c r="AF70">
        <f>IF(#REF!="PM &lt; 2.5 μm", 1, 0)</f>
        <v>0</v>
      </c>
      <c r="AG70" t="s">
        <v>155</v>
      </c>
      <c r="AH70">
        <f>IF(#REF!="Particles of this size are generally absorbed in the respiratory tract and safely excreted in mucus.", 1, 0)</f>
        <v>0</v>
      </c>
      <c r="AI70" t="s">
        <v>195</v>
      </c>
      <c r="AJ70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0</v>
      </c>
      <c r="AK70">
        <v>1</v>
      </c>
      <c r="AL70">
        <v>2</v>
      </c>
      <c r="AM70">
        <v>2</v>
      </c>
      <c r="AO70">
        <v>2</v>
      </c>
      <c r="AP70">
        <v>2</v>
      </c>
      <c r="AQ70">
        <v>7</v>
      </c>
      <c r="AR70" t="s">
        <v>196</v>
      </c>
    </row>
    <row r="71" spans="1:44" x14ac:dyDescent="0.25">
      <c r="A71" t="s">
        <v>217</v>
      </c>
      <c r="B71" t="s">
        <v>218</v>
      </c>
      <c r="C71" t="s">
        <v>42</v>
      </c>
      <c r="D71" t="s">
        <v>219</v>
      </c>
      <c r="E71">
        <v>1</v>
      </c>
      <c r="F71" t="s">
        <v>112</v>
      </c>
      <c r="G71">
        <f>_xlfn.NUMBERVALUE(#REF!)</f>
        <v>139</v>
      </c>
      <c r="H71" t="s">
        <v>220</v>
      </c>
      <c r="I71" t="s">
        <v>114</v>
      </c>
      <c r="J71" t="s">
        <v>218</v>
      </c>
      <c r="K71" t="s">
        <v>221</v>
      </c>
      <c r="L71" t="s">
        <v>111</v>
      </c>
      <c r="M71" t="s">
        <v>111</v>
      </c>
      <c r="N71" t="s">
        <v>111</v>
      </c>
      <c r="O71" t="s">
        <v>111</v>
      </c>
      <c r="P71" t="s">
        <v>222</v>
      </c>
      <c r="Q71" t="s">
        <v>223</v>
      </c>
      <c r="R71" t="s">
        <v>127</v>
      </c>
      <c r="S71" t="s">
        <v>117</v>
      </c>
      <c r="T71" t="s">
        <v>111</v>
      </c>
      <c r="U71">
        <v>5</v>
      </c>
      <c r="V71">
        <v>4</v>
      </c>
      <c r="W71">
        <v>5</v>
      </c>
      <c r="X71">
        <v>5</v>
      </c>
      <c r="Y71">
        <v>1</v>
      </c>
      <c r="Z71">
        <v>3</v>
      </c>
      <c r="AA71">
        <v>5</v>
      </c>
      <c r="AB71">
        <v>3</v>
      </c>
      <c r="AC71">
        <v>4</v>
      </c>
      <c r="AD71">
        <f>IF(#REF! = 3, 1, IF(#REF! = 2.5, 0.5, IF(#REF! = 3.5, 0.5, 0)))</f>
        <v>0</v>
      </c>
      <c r="AE71" t="s">
        <v>185</v>
      </c>
      <c r="AF71">
        <f>IF(#REF!="PM &lt; 2.5 μm", 1, 0)</f>
        <v>0</v>
      </c>
      <c r="AG71" t="s">
        <v>175</v>
      </c>
      <c r="AH71">
        <f>IF(#REF!="Particles of this size are generally absorbed in the respiratory tract and safely excreted in mucus.", 1, 0)</f>
        <v>1</v>
      </c>
      <c r="AI71" t="s">
        <v>224</v>
      </c>
      <c r="AJ71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1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3</v>
      </c>
      <c r="AQ71">
        <v>10</v>
      </c>
      <c r="AR71" t="s">
        <v>111</v>
      </c>
    </row>
    <row r="72" spans="1:44" x14ac:dyDescent="0.25">
      <c r="A72" t="s">
        <v>252</v>
      </c>
      <c r="B72" t="s">
        <v>253</v>
      </c>
      <c r="C72" t="s">
        <v>42</v>
      </c>
      <c r="D72" t="s">
        <v>254</v>
      </c>
      <c r="E72">
        <v>1</v>
      </c>
      <c r="F72" t="s">
        <v>112</v>
      </c>
      <c r="G72">
        <f>_xlfn.NUMBERVALUE(#REF!)</f>
        <v>140</v>
      </c>
      <c r="H72" t="s">
        <v>122</v>
      </c>
      <c r="I72" t="s">
        <v>114</v>
      </c>
      <c r="J72" t="s">
        <v>253</v>
      </c>
      <c r="K72" t="s">
        <v>255</v>
      </c>
      <c r="L72" t="s">
        <v>111</v>
      </c>
      <c r="M72" t="s">
        <v>111</v>
      </c>
      <c r="N72" t="s">
        <v>111</v>
      </c>
      <c r="O72" t="s">
        <v>111</v>
      </c>
      <c r="P72" t="s">
        <v>256</v>
      </c>
      <c r="Q72" t="s">
        <v>257</v>
      </c>
      <c r="R72" t="s">
        <v>127</v>
      </c>
      <c r="S72" t="s">
        <v>117</v>
      </c>
      <c r="T72" t="s">
        <v>111</v>
      </c>
      <c r="U72">
        <v>5</v>
      </c>
      <c r="V72">
        <v>5</v>
      </c>
      <c r="W72">
        <v>2</v>
      </c>
      <c r="X72">
        <v>3</v>
      </c>
      <c r="Y72">
        <v>5</v>
      </c>
      <c r="Z72">
        <v>5</v>
      </c>
      <c r="AA72">
        <v>5</v>
      </c>
      <c r="AB72">
        <v>3</v>
      </c>
      <c r="AC72">
        <v>3</v>
      </c>
      <c r="AD72">
        <f>IF(#REF! = 3, 1, IF(#REF! = 2.5, 0.5, IF(#REF! = 3.5, 0.5, 0)))</f>
        <v>1</v>
      </c>
      <c r="AE72" t="s">
        <v>140</v>
      </c>
      <c r="AF72">
        <f>IF(#REF!="PM &lt; 2.5 μm", 1, 0)</f>
        <v>1</v>
      </c>
      <c r="AG72" t="s">
        <v>141</v>
      </c>
      <c r="AH72">
        <f>IF(#REF!="Particles of this size are generally absorbed in the respiratory tract and safely excreted in mucus.", 1, 0)</f>
        <v>0</v>
      </c>
      <c r="AI72" t="s">
        <v>258</v>
      </c>
      <c r="AJ72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1</v>
      </c>
      <c r="AK72">
        <v>3</v>
      </c>
      <c r="AL72">
        <v>3</v>
      </c>
      <c r="AM72">
        <v>1</v>
      </c>
      <c r="AN72">
        <v>1</v>
      </c>
      <c r="AO72">
        <v>5</v>
      </c>
      <c r="AP72">
        <v>5</v>
      </c>
      <c r="AQ72">
        <v>9</v>
      </c>
      <c r="AR72" t="s">
        <v>259</v>
      </c>
    </row>
    <row r="73" spans="1:44" x14ac:dyDescent="0.25">
      <c r="A73" t="s">
        <v>274</v>
      </c>
      <c r="B73" t="s">
        <v>275</v>
      </c>
      <c r="C73" t="s">
        <v>42</v>
      </c>
      <c r="D73" t="s">
        <v>276</v>
      </c>
      <c r="E73">
        <v>1</v>
      </c>
      <c r="F73" t="s">
        <v>112</v>
      </c>
      <c r="G73">
        <f>_xlfn.NUMBERVALUE(#REF!)</f>
        <v>163</v>
      </c>
      <c r="H73" t="s">
        <v>191</v>
      </c>
      <c r="I73" t="s">
        <v>114</v>
      </c>
      <c r="J73" t="s">
        <v>275</v>
      </c>
      <c r="K73" t="s">
        <v>277</v>
      </c>
      <c r="L73" t="s">
        <v>111</v>
      </c>
      <c r="M73" t="s">
        <v>111</v>
      </c>
      <c r="N73" t="s">
        <v>111</v>
      </c>
      <c r="O73" t="s">
        <v>111</v>
      </c>
      <c r="P73" t="s">
        <v>278</v>
      </c>
      <c r="Q73" t="s">
        <v>279</v>
      </c>
      <c r="R73" t="s">
        <v>127</v>
      </c>
      <c r="S73" t="s">
        <v>117</v>
      </c>
      <c r="T73" t="s">
        <v>111</v>
      </c>
      <c r="U73">
        <v>5</v>
      </c>
      <c r="V73">
        <v>5</v>
      </c>
      <c r="W73">
        <v>5</v>
      </c>
      <c r="X73">
        <v>5</v>
      </c>
      <c r="Y73">
        <v>5</v>
      </c>
      <c r="Z73">
        <v>5</v>
      </c>
      <c r="AA73">
        <v>5</v>
      </c>
      <c r="AB73">
        <v>5</v>
      </c>
      <c r="AC73">
        <v>5</v>
      </c>
      <c r="AD73">
        <f>IF(#REF! = 3, 1, IF(#REF! = 2.5, 0.5, IF(#REF! = 3.5, 0.5, 0)))</f>
        <v>0</v>
      </c>
      <c r="AE73" t="s">
        <v>154</v>
      </c>
      <c r="AF73">
        <f>IF(#REF!="PM &lt; 2.5 μm", 1, 0)</f>
        <v>0</v>
      </c>
      <c r="AG73" t="s">
        <v>131</v>
      </c>
      <c r="AH73">
        <f>IF(#REF!="Particles of this size are generally absorbed in the respiratory tract and safely excreted in mucus.", 1, 0)</f>
        <v>0</v>
      </c>
      <c r="AI73" t="s">
        <v>280</v>
      </c>
      <c r="AJ73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2</v>
      </c>
      <c r="AK73">
        <v>5</v>
      </c>
      <c r="AL73">
        <v>5</v>
      </c>
      <c r="AM73">
        <v>5</v>
      </c>
      <c r="AN73">
        <v>5</v>
      </c>
      <c r="AO73">
        <v>5</v>
      </c>
      <c r="AP73">
        <v>5</v>
      </c>
      <c r="AQ73">
        <v>10</v>
      </c>
      <c r="AR73" t="s">
        <v>281</v>
      </c>
    </row>
    <row r="74" spans="1:44" x14ac:dyDescent="0.25">
      <c r="A74" t="s">
        <v>321</v>
      </c>
      <c r="B74" t="s">
        <v>322</v>
      </c>
      <c r="C74" t="s">
        <v>42</v>
      </c>
      <c r="D74" t="s">
        <v>323</v>
      </c>
      <c r="E74">
        <v>1</v>
      </c>
      <c r="F74" t="s">
        <v>112</v>
      </c>
      <c r="G74">
        <f>_xlfn.NUMBERVALUE(#REF!)</f>
        <v>163</v>
      </c>
      <c r="H74" t="s">
        <v>191</v>
      </c>
      <c r="I74" t="s">
        <v>114</v>
      </c>
      <c r="J74" t="s">
        <v>322</v>
      </c>
      <c r="K74" t="s">
        <v>324</v>
      </c>
      <c r="L74" t="s">
        <v>111</v>
      </c>
      <c r="M74" t="s">
        <v>111</v>
      </c>
      <c r="N74" t="s">
        <v>111</v>
      </c>
      <c r="O74" t="s">
        <v>111</v>
      </c>
      <c r="P74" t="s">
        <v>325</v>
      </c>
      <c r="Q74" t="s">
        <v>326</v>
      </c>
      <c r="R74" t="s">
        <v>127</v>
      </c>
      <c r="S74" t="s">
        <v>117</v>
      </c>
      <c r="T74" t="s">
        <v>111</v>
      </c>
      <c r="U74">
        <v>3</v>
      </c>
      <c r="V74">
        <v>3</v>
      </c>
      <c r="W74">
        <v>4</v>
      </c>
      <c r="X74">
        <v>5</v>
      </c>
      <c r="Y74">
        <v>3</v>
      </c>
      <c r="Z74">
        <v>3</v>
      </c>
      <c r="AA74">
        <v>4</v>
      </c>
      <c r="AC74">
        <v>4</v>
      </c>
      <c r="AD74">
        <f>IF(#REF! = 3, 1, IF(#REF! = 2.5, 0.5, IF(#REF! = 3.5, 0.5, 0)))</f>
        <v>0</v>
      </c>
      <c r="AE74" t="s">
        <v>185</v>
      </c>
      <c r="AF74">
        <f>IF(#REF!="PM &lt; 2.5 μm", 1, 0)</f>
        <v>0</v>
      </c>
      <c r="AG74" t="s">
        <v>131</v>
      </c>
      <c r="AH74">
        <f>IF(#REF!="Particles of this size are generally absorbed in the respiratory tract and safely excreted in mucus.", 1, 0)</f>
        <v>0</v>
      </c>
      <c r="AI74" t="s">
        <v>327</v>
      </c>
      <c r="AJ74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1</v>
      </c>
      <c r="AK74">
        <v>3</v>
      </c>
      <c r="AL74">
        <v>4</v>
      </c>
      <c r="AM74">
        <v>3</v>
      </c>
      <c r="AN74">
        <v>3</v>
      </c>
      <c r="AO74">
        <v>3</v>
      </c>
      <c r="AP74">
        <v>3</v>
      </c>
      <c r="AQ74">
        <v>7</v>
      </c>
      <c r="AR74" t="s">
        <v>328</v>
      </c>
    </row>
    <row r="75" spans="1:44" x14ac:dyDescent="0.25">
      <c r="A75" t="s">
        <v>329</v>
      </c>
      <c r="B75" t="s">
        <v>330</v>
      </c>
      <c r="C75" t="s">
        <v>42</v>
      </c>
      <c r="D75" t="s">
        <v>331</v>
      </c>
      <c r="E75">
        <v>1</v>
      </c>
      <c r="F75" t="s">
        <v>112</v>
      </c>
      <c r="G75">
        <f>_xlfn.NUMBERVALUE(#REF!)</f>
        <v>179</v>
      </c>
      <c r="H75" t="s">
        <v>332</v>
      </c>
      <c r="I75" t="s">
        <v>114</v>
      </c>
      <c r="J75" t="s">
        <v>330</v>
      </c>
      <c r="K75" t="s">
        <v>333</v>
      </c>
      <c r="L75" t="s">
        <v>111</v>
      </c>
      <c r="M75" t="s">
        <v>111</v>
      </c>
      <c r="N75" t="s">
        <v>111</v>
      </c>
      <c r="O75" t="s">
        <v>111</v>
      </c>
      <c r="P75" t="s">
        <v>151</v>
      </c>
      <c r="Q75" t="s">
        <v>152</v>
      </c>
      <c r="R75" t="s">
        <v>127</v>
      </c>
      <c r="S75" t="s">
        <v>117</v>
      </c>
      <c r="T75" t="s">
        <v>111</v>
      </c>
      <c r="U75">
        <v>4</v>
      </c>
      <c r="V75">
        <v>5</v>
      </c>
      <c r="W75">
        <v>5</v>
      </c>
      <c r="X75">
        <v>5</v>
      </c>
      <c r="Y75">
        <v>4</v>
      </c>
      <c r="Z75">
        <v>5</v>
      </c>
      <c r="AA75">
        <v>5</v>
      </c>
      <c r="AB75">
        <v>4</v>
      </c>
      <c r="AC75">
        <v>4</v>
      </c>
      <c r="AD75">
        <f>IF(#REF! = 3, 1, IF(#REF! = 2.5, 0.5, IF(#REF! = 3.5, 0.5, 0)))</f>
        <v>0</v>
      </c>
      <c r="AE75" t="s">
        <v>140</v>
      </c>
      <c r="AF75">
        <f>IF(#REF!="PM &lt; 2.5 μm", 1, 0)</f>
        <v>1</v>
      </c>
      <c r="AG75" t="s">
        <v>141</v>
      </c>
      <c r="AH75">
        <f>IF(#REF!="Particles of this size are generally absorbed in the respiratory tract and safely excreted in mucus.", 1, 0)</f>
        <v>0</v>
      </c>
      <c r="AI75" t="s">
        <v>156</v>
      </c>
      <c r="AJ75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4</v>
      </c>
      <c r="AK75">
        <v>3</v>
      </c>
      <c r="AL75">
        <v>4</v>
      </c>
      <c r="AM75">
        <v>2</v>
      </c>
      <c r="AN75">
        <v>1</v>
      </c>
      <c r="AO75">
        <v>1</v>
      </c>
      <c r="AP75">
        <v>3</v>
      </c>
      <c r="AQ75">
        <v>8</v>
      </c>
      <c r="AR75" t="s">
        <v>334</v>
      </c>
    </row>
    <row r="76" spans="1:44" x14ac:dyDescent="0.25">
      <c r="A76" t="s">
        <v>345</v>
      </c>
      <c r="B76" t="s">
        <v>346</v>
      </c>
      <c r="C76" t="s">
        <v>42</v>
      </c>
      <c r="D76" t="s">
        <v>347</v>
      </c>
      <c r="E76">
        <v>1</v>
      </c>
      <c r="F76" t="s">
        <v>112</v>
      </c>
      <c r="G76">
        <f>_xlfn.NUMBERVALUE(#REF!)</f>
        <v>104</v>
      </c>
      <c r="H76" t="s">
        <v>348</v>
      </c>
      <c r="I76" t="s">
        <v>114</v>
      </c>
      <c r="J76" t="s">
        <v>349</v>
      </c>
      <c r="K76" t="s">
        <v>350</v>
      </c>
      <c r="L76" t="s">
        <v>111</v>
      </c>
      <c r="M76" t="s">
        <v>111</v>
      </c>
      <c r="N76" t="s">
        <v>111</v>
      </c>
      <c r="O76" t="s">
        <v>111</v>
      </c>
      <c r="P76" t="s">
        <v>351</v>
      </c>
      <c r="Q76" t="s">
        <v>352</v>
      </c>
      <c r="R76" t="s">
        <v>127</v>
      </c>
      <c r="S76" t="s">
        <v>117</v>
      </c>
      <c r="T76" t="s">
        <v>111</v>
      </c>
      <c r="U76">
        <v>4</v>
      </c>
      <c r="V76">
        <v>4</v>
      </c>
      <c r="W76">
        <v>3</v>
      </c>
      <c r="X76">
        <v>4</v>
      </c>
      <c r="Y76">
        <v>3</v>
      </c>
      <c r="Z76">
        <v>4</v>
      </c>
      <c r="AA76">
        <v>5</v>
      </c>
      <c r="AB76">
        <v>3</v>
      </c>
      <c r="AC76">
        <v>3</v>
      </c>
      <c r="AD76">
        <f>IF(#REF! = 3, 1, IF(#REF! = 2.5, 0.5, IF(#REF! = 3.5, 0.5, 0)))</f>
        <v>1</v>
      </c>
      <c r="AE76" t="s">
        <v>154</v>
      </c>
      <c r="AF76">
        <f>IF(#REF!="PM &lt; 2.5 μm", 1, 0)</f>
        <v>0</v>
      </c>
      <c r="AG76" t="s">
        <v>141</v>
      </c>
      <c r="AH76">
        <f>IF(#REF!="Particles of this size are generally absorbed in the respiratory tract and safely excreted in mucus.", 1, 0)</f>
        <v>0</v>
      </c>
      <c r="AI76" t="s">
        <v>353</v>
      </c>
      <c r="AJ76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3</v>
      </c>
      <c r="AK76">
        <v>1</v>
      </c>
      <c r="AL76">
        <v>1</v>
      </c>
      <c r="AM76">
        <v>2</v>
      </c>
      <c r="AN76">
        <v>1</v>
      </c>
      <c r="AO76">
        <v>2</v>
      </c>
      <c r="AP76">
        <v>4</v>
      </c>
      <c r="AQ76">
        <v>7</v>
      </c>
      <c r="AR76" t="s">
        <v>111</v>
      </c>
    </row>
    <row r="77" spans="1:44" x14ac:dyDescent="0.25">
      <c r="A77" t="s">
        <v>364</v>
      </c>
      <c r="B77" t="s">
        <v>365</v>
      </c>
      <c r="C77" t="s">
        <v>42</v>
      </c>
      <c r="D77" t="s">
        <v>366</v>
      </c>
      <c r="E77">
        <v>1</v>
      </c>
      <c r="F77" t="s">
        <v>112</v>
      </c>
      <c r="G77">
        <f>_xlfn.NUMBERVALUE(#REF!)</f>
        <v>144</v>
      </c>
      <c r="H77" t="s">
        <v>367</v>
      </c>
      <c r="I77" t="s">
        <v>114</v>
      </c>
      <c r="J77" t="s">
        <v>368</v>
      </c>
      <c r="K77" t="s">
        <v>369</v>
      </c>
      <c r="L77" t="s">
        <v>111</v>
      </c>
      <c r="M77" t="s">
        <v>111</v>
      </c>
      <c r="N77" t="s">
        <v>111</v>
      </c>
      <c r="O77" t="s">
        <v>111</v>
      </c>
      <c r="P77" t="s">
        <v>115</v>
      </c>
      <c r="Q77" t="s">
        <v>116</v>
      </c>
      <c r="R77" t="s">
        <v>127</v>
      </c>
      <c r="S77" t="s">
        <v>117</v>
      </c>
      <c r="T77" t="s">
        <v>111</v>
      </c>
      <c r="U77">
        <v>4</v>
      </c>
      <c r="V77">
        <v>3</v>
      </c>
      <c r="W77">
        <v>3</v>
      </c>
      <c r="X77">
        <v>5</v>
      </c>
      <c r="Y77">
        <v>3</v>
      </c>
      <c r="Z77">
        <v>4</v>
      </c>
      <c r="AA77">
        <v>5</v>
      </c>
      <c r="AB77">
        <v>3</v>
      </c>
      <c r="AC77">
        <v>3.5</v>
      </c>
      <c r="AD77">
        <f>IF(#REF! = 3, 1, IF(#REF! = 2.5, 0.5, IF(#REF! = 3.5, 0.5, 0)))</f>
        <v>0.5</v>
      </c>
      <c r="AE77" t="s">
        <v>140</v>
      </c>
      <c r="AF77">
        <f>IF(#REF!="PM &lt; 2.5 μm", 1, 0)</f>
        <v>1</v>
      </c>
      <c r="AG77" t="s">
        <v>141</v>
      </c>
      <c r="AH77">
        <f>IF(#REF!="Particles of this size are generally absorbed in the respiratory tract and safely excreted in mucus.", 1, 0)</f>
        <v>0</v>
      </c>
      <c r="AI77" t="s">
        <v>370</v>
      </c>
      <c r="AJ77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2</v>
      </c>
      <c r="AK77">
        <v>3</v>
      </c>
      <c r="AL77">
        <v>5</v>
      </c>
      <c r="AM77">
        <v>3</v>
      </c>
      <c r="AN77">
        <v>4</v>
      </c>
      <c r="AO77">
        <v>4</v>
      </c>
      <c r="AP77">
        <v>5</v>
      </c>
      <c r="AQ77">
        <v>8</v>
      </c>
      <c r="AR77" t="s">
        <v>371</v>
      </c>
    </row>
    <row r="78" spans="1:44" x14ac:dyDescent="0.25">
      <c r="A78" t="s">
        <v>380</v>
      </c>
      <c r="B78" t="s">
        <v>381</v>
      </c>
      <c r="C78" t="s">
        <v>42</v>
      </c>
      <c r="D78" t="s">
        <v>382</v>
      </c>
      <c r="E78">
        <v>1</v>
      </c>
      <c r="F78" t="s">
        <v>112</v>
      </c>
      <c r="G78">
        <f>_xlfn.NUMBERVALUE(#REF!)</f>
        <v>1710</v>
      </c>
      <c r="H78" t="s">
        <v>383</v>
      </c>
      <c r="I78" t="s">
        <v>114</v>
      </c>
      <c r="J78" t="s">
        <v>384</v>
      </c>
      <c r="K78" t="s">
        <v>385</v>
      </c>
      <c r="L78" t="s">
        <v>111</v>
      </c>
      <c r="M78" t="s">
        <v>111</v>
      </c>
      <c r="N78" t="s">
        <v>111</v>
      </c>
      <c r="O78" t="s">
        <v>111</v>
      </c>
      <c r="P78" t="s">
        <v>229</v>
      </c>
      <c r="Q78" t="s">
        <v>230</v>
      </c>
      <c r="R78" t="s">
        <v>127</v>
      </c>
      <c r="S78" t="s">
        <v>117</v>
      </c>
      <c r="T78" t="s">
        <v>111</v>
      </c>
      <c r="U78">
        <v>3</v>
      </c>
      <c r="V78">
        <v>3</v>
      </c>
      <c r="W78">
        <v>4</v>
      </c>
      <c r="X78">
        <v>4</v>
      </c>
      <c r="Y78">
        <v>2</v>
      </c>
      <c r="Z78">
        <v>3</v>
      </c>
      <c r="AA78">
        <v>4</v>
      </c>
      <c r="AB78">
        <v>3</v>
      </c>
      <c r="AC78">
        <v>2.5</v>
      </c>
      <c r="AD78">
        <f>IF(#REF! = 3, 1, IF(#REF! = 2.5, 0.5, IF(#REF! = 3.5, 0.5, 0)))</f>
        <v>0.5</v>
      </c>
      <c r="AE78" t="s">
        <v>130</v>
      </c>
      <c r="AF78">
        <f>IF(#REF!="PM &lt; 2.5 μm", 1, 0)</f>
        <v>0</v>
      </c>
      <c r="AG78" t="s">
        <v>141</v>
      </c>
      <c r="AH78">
        <f>IF(#REF!="Particles of this size are generally absorbed in the respiratory tract and safely excreted in mucus.", 1, 0)</f>
        <v>0</v>
      </c>
      <c r="AI78" t="s">
        <v>167</v>
      </c>
      <c r="AJ78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3</v>
      </c>
      <c r="AK78">
        <v>5</v>
      </c>
      <c r="AL78">
        <v>3</v>
      </c>
      <c r="AM78">
        <v>3</v>
      </c>
      <c r="AN78">
        <v>2</v>
      </c>
      <c r="AO78">
        <v>5</v>
      </c>
      <c r="AP78">
        <v>3</v>
      </c>
      <c r="AQ78">
        <v>7</v>
      </c>
      <c r="AR78" t="s">
        <v>386</v>
      </c>
    </row>
    <row r="79" spans="1:44" x14ac:dyDescent="0.25">
      <c r="A79" t="s">
        <v>417</v>
      </c>
      <c r="B79" t="s">
        <v>413</v>
      </c>
      <c r="C79" t="s">
        <v>42</v>
      </c>
      <c r="D79" t="s">
        <v>389</v>
      </c>
      <c r="E79">
        <v>1</v>
      </c>
      <c r="F79" t="s">
        <v>112</v>
      </c>
      <c r="G79">
        <f>_xlfn.NUMBERVALUE(#REF!)</f>
        <v>68506</v>
      </c>
      <c r="H79" t="s">
        <v>418</v>
      </c>
      <c r="I79" t="s">
        <v>114</v>
      </c>
      <c r="J79" t="s">
        <v>413</v>
      </c>
      <c r="K79" t="s">
        <v>419</v>
      </c>
      <c r="L79" t="s">
        <v>111</v>
      </c>
      <c r="M79" t="s">
        <v>111</v>
      </c>
      <c r="N79" t="s">
        <v>111</v>
      </c>
      <c r="O79" t="s">
        <v>111</v>
      </c>
      <c r="P79" t="s">
        <v>392</v>
      </c>
      <c r="Q79" t="s">
        <v>393</v>
      </c>
      <c r="R79" t="s">
        <v>127</v>
      </c>
      <c r="S79" t="s">
        <v>117</v>
      </c>
      <c r="T79" t="s">
        <v>111</v>
      </c>
      <c r="U79">
        <v>4</v>
      </c>
      <c r="V79">
        <v>2</v>
      </c>
      <c r="W79">
        <v>4</v>
      </c>
      <c r="X79">
        <v>4</v>
      </c>
      <c r="Y79">
        <v>2</v>
      </c>
      <c r="Z79">
        <v>2</v>
      </c>
      <c r="AA79">
        <v>4</v>
      </c>
      <c r="AB79">
        <v>1</v>
      </c>
      <c r="AC79">
        <v>2</v>
      </c>
      <c r="AD79">
        <f>IF(#REF! = 3, 1, IF(#REF! = 2.5, 0.5, IF(#REF! = 3.5, 0.5, 0)))</f>
        <v>0</v>
      </c>
      <c r="AE79" t="s">
        <v>140</v>
      </c>
      <c r="AF79">
        <f>IF(#REF!="PM &lt; 2.5 μm", 1, 0)</f>
        <v>1</v>
      </c>
      <c r="AG79" t="s">
        <v>175</v>
      </c>
      <c r="AH79">
        <f>IF(#REF!="Particles of this size are generally absorbed in the respiratory tract and safely excreted in mucus.", 1, 0)</f>
        <v>1</v>
      </c>
      <c r="AI79" t="s">
        <v>420</v>
      </c>
      <c r="AJ79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1</v>
      </c>
      <c r="AK79">
        <v>2</v>
      </c>
      <c r="AL79">
        <v>3</v>
      </c>
      <c r="AM79">
        <v>2</v>
      </c>
      <c r="AN79">
        <v>2</v>
      </c>
      <c r="AO79">
        <v>2</v>
      </c>
      <c r="AP79">
        <v>4</v>
      </c>
      <c r="AQ79">
        <v>6</v>
      </c>
      <c r="AR79" t="s">
        <v>111</v>
      </c>
    </row>
    <row r="80" spans="1:44" x14ac:dyDescent="0.25">
      <c r="A80" t="s">
        <v>421</v>
      </c>
      <c r="B80" t="s">
        <v>422</v>
      </c>
      <c r="C80" t="s">
        <v>42</v>
      </c>
      <c r="D80" t="s">
        <v>423</v>
      </c>
      <c r="E80">
        <v>1</v>
      </c>
      <c r="F80" t="s">
        <v>112</v>
      </c>
      <c r="G80">
        <f>_xlfn.NUMBERVALUE(#REF!)</f>
        <v>241</v>
      </c>
      <c r="H80" t="s">
        <v>424</v>
      </c>
      <c r="I80" t="s">
        <v>114</v>
      </c>
      <c r="J80" t="s">
        <v>425</v>
      </c>
      <c r="K80" t="s">
        <v>426</v>
      </c>
      <c r="L80" t="s">
        <v>111</v>
      </c>
      <c r="M80" t="s">
        <v>111</v>
      </c>
      <c r="N80" t="s">
        <v>111</v>
      </c>
      <c r="O80" t="s">
        <v>111</v>
      </c>
      <c r="P80" t="s">
        <v>427</v>
      </c>
      <c r="Q80" t="s">
        <v>428</v>
      </c>
      <c r="R80" t="s">
        <v>127</v>
      </c>
      <c r="S80" t="s">
        <v>117</v>
      </c>
      <c r="T80" t="s">
        <v>111</v>
      </c>
      <c r="U80">
        <v>5</v>
      </c>
      <c r="V80">
        <v>5</v>
      </c>
      <c r="W80">
        <v>5</v>
      </c>
      <c r="X80">
        <v>5</v>
      </c>
      <c r="Y80">
        <v>5</v>
      </c>
      <c r="Z80">
        <v>5</v>
      </c>
      <c r="AA80">
        <v>5</v>
      </c>
      <c r="AB80">
        <v>3</v>
      </c>
      <c r="AC80">
        <v>2</v>
      </c>
      <c r="AD80">
        <f>IF(#REF! = 3, 1, IF(#REF! = 2.5, 0.5, IF(#REF! = 3.5, 0.5, 0)))</f>
        <v>0</v>
      </c>
      <c r="AE80" t="s">
        <v>130</v>
      </c>
      <c r="AF80">
        <f>IF(#REF!="PM &lt; 2.5 μm", 1, 0)</f>
        <v>0</v>
      </c>
      <c r="AG80" t="s">
        <v>141</v>
      </c>
      <c r="AH80">
        <f>IF(#REF!="Particles of this size are generally absorbed in the respiratory tract and safely excreted in mucus.", 1, 0)</f>
        <v>0</v>
      </c>
      <c r="AI80" t="s">
        <v>156</v>
      </c>
      <c r="AJ80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4</v>
      </c>
      <c r="AK80">
        <v>3</v>
      </c>
      <c r="AL80">
        <v>1</v>
      </c>
      <c r="AM80">
        <v>3</v>
      </c>
      <c r="AN80">
        <v>3</v>
      </c>
      <c r="AO80">
        <v>3</v>
      </c>
      <c r="AP80">
        <v>3</v>
      </c>
      <c r="AQ80">
        <v>6</v>
      </c>
      <c r="AR80" t="s">
        <v>111</v>
      </c>
    </row>
    <row r="81" spans="1:44" x14ac:dyDescent="0.25">
      <c r="A81" t="s">
        <v>438</v>
      </c>
      <c r="B81" t="s">
        <v>439</v>
      </c>
      <c r="C81" t="s">
        <v>42</v>
      </c>
      <c r="D81" t="s">
        <v>389</v>
      </c>
      <c r="E81">
        <v>1</v>
      </c>
      <c r="F81" t="s">
        <v>112</v>
      </c>
      <c r="G81">
        <f>_xlfn.NUMBERVALUE(#REF!)</f>
        <v>123</v>
      </c>
      <c r="H81" t="s">
        <v>399</v>
      </c>
      <c r="I81" t="s">
        <v>114</v>
      </c>
      <c r="J81" t="s">
        <v>440</v>
      </c>
      <c r="K81" t="s">
        <v>441</v>
      </c>
      <c r="L81" t="s">
        <v>111</v>
      </c>
      <c r="M81" t="s">
        <v>111</v>
      </c>
      <c r="N81" t="s">
        <v>111</v>
      </c>
      <c r="O81" t="s">
        <v>111</v>
      </c>
      <c r="P81" t="s">
        <v>392</v>
      </c>
      <c r="Q81" t="s">
        <v>393</v>
      </c>
      <c r="R81" t="s">
        <v>127</v>
      </c>
      <c r="S81" t="s">
        <v>117</v>
      </c>
      <c r="T81" t="s">
        <v>111</v>
      </c>
      <c r="U81">
        <v>4</v>
      </c>
      <c r="V81">
        <v>4</v>
      </c>
      <c r="W81">
        <v>4</v>
      </c>
      <c r="X81">
        <v>4</v>
      </c>
      <c r="Y81">
        <v>4</v>
      </c>
      <c r="Z81">
        <v>4</v>
      </c>
      <c r="AA81">
        <v>4</v>
      </c>
      <c r="AB81">
        <v>4</v>
      </c>
      <c r="AC81">
        <v>2</v>
      </c>
      <c r="AD81">
        <f>IF(#REF! = 3, 1, IF(#REF! = 2.5, 0.5, IF(#REF! = 3.5, 0.5, 0)))</f>
        <v>0</v>
      </c>
      <c r="AE81" t="s">
        <v>130</v>
      </c>
      <c r="AF81">
        <f>IF(#REF!="PM &lt; 2.5 μm", 1, 0)</f>
        <v>0</v>
      </c>
      <c r="AG81" t="s">
        <v>131</v>
      </c>
      <c r="AH81">
        <f>IF(#REF!="Particles of this size are generally absorbed in the respiratory tract and safely excreted in mucus.", 1, 0)</f>
        <v>0</v>
      </c>
      <c r="AI81" t="s">
        <v>186</v>
      </c>
      <c r="AJ81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3</v>
      </c>
      <c r="AK81">
        <v>3</v>
      </c>
      <c r="AL81">
        <v>1</v>
      </c>
      <c r="AM81">
        <v>3</v>
      </c>
      <c r="AN81">
        <v>3</v>
      </c>
      <c r="AO81">
        <v>3</v>
      </c>
      <c r="AP81">
        <v>2</v>
      </c>
      <c r="AQ81">
        <v>6</v>
      </c>
      <c r="AR81" t="s">
        <v>442</v>
      </c>
    </row>
    <row r="82" spans="1:44" x14ac:dyDescent="0.25">
      <c r="A82" t="s">
        <v>451</v>
      </c>
      <c r="B82" t="s">
        <v>452</v>
      </c>
      <c r="C82" t="s">
        <v>42</v>
      </c>
      <c r="D82" t="s">
        <v>453</v>
      </c>
      <c r="E82">
        <v>1</v>
      </c>
      <c r="F82" t="s">
        <v>112</v>
      </c>
      <c r="G82">
        <f>_xlfn.NUMBERVALUE(#REF!)</f>
        <v>111</v>
      </c>
      <c r="H82" t="s">
        <v>454</v>
      </c>
      <c r="I82" t="s">
        <v>114</v>
      </c>
      <c r="J82" t="s">
        <v>455</v>
      </c>
      <c r="K82" t="s">
        <v>456</v>
      </c>
      <c r="L82" t="s">
        <v>111</v>
      </c>
      <c r="M82" t="s">
        <v>111</v>
      </c>
      <c r="N82" t="s">
        <v>111</v>
      </c>
      <c r="O82" t="s">
        <v>111</v>
      </c>
      <c r="P82" t="s">
        <v>115</v>
      </c>
      <c r="Q82" t="s">
        <v>116</v>
      </c>
      <c r="R82" t="s">
        <v>127</v>
      </c>
      <c r="S82" t="s">
        <v>117</v>
      </c>
      <c r="T82" t="s">
        <v>111</v>
      </c>
      <c r="U82">
        <v>5</v>
      </c>
      <c r="V82">
        <v>3</v>
      </c>
      <c r="W82">
        <v>1</v>
      </c>
      <c r="X82">
        <v>4</v>
      </c>
      <c r="Y82">
        <v>1</v>
      </c>
      <c r="Z82">
        <v>5</v>
      </c>
      <c r="AA82">
        <v>5</v>
      </c>
      <c r="AB82">
        <v>1</v>
      </c>
      <c r="AC82">
        <v>2</v>
      </c>
      <c r="AD82">
        <f>IF(#REF! = 3, 1, IF(#REF! = 2.5, 0.5, IF(#REF! = 3.5, 0.5, 0)))</f>
        <v>0</v>
      </c>
      <c r="AE82" t="s">
        <v>154</v>
      </c>
      <c r="AF82">
        <f>IF(#REF!="PM &lt; 2.5 μm", 1, 0)</f>
        <v>0</v>
      </c>
      <c r="AG82" t="s">
        <v>131</v>
      </c>
      <c r="AH82">
        <f>IF(#REF!="Particles of this size are generally absorbed in the respiratory tract and safely excreted in mucus.", 1, 0)</f>
        <v>0</v>
      </c>
      <c r="AI82" t="s">
        <v>327</v>
      </c>
      <c r="AJ82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1</v>
      </c>
      <c r="AK82">
        <v>4</v>
      </c>
      <c r="AL82">
        <v>3</v>
      </c>
      <c r="AM82">
        <v>2</v>
      </c>
      <c r="AN82">
        <v>3</v>
      </c>
      <c r="AO82">
        <v>4</v>
      </c>
      <c r="AP82">
        <v>4</v>
      </c>
      <c r="AQ82">
        <v>6</v>
      </c>
      <c r="AR82" t="s">
        <v>111</v>
      </c>
    </row>
    <row r="83" spans="1:44" x14ac:dyDescent="0.25">
      <c r="A83" t="s">
        <v>463</v>
      </c>
      <c r="B83" t="s">
        <v>464</v>
      </c>
      <c r="C83" t="s">
        <v>42</v>
      </c>
      <c r="D83" t="s">
        <v>465</v>
      </c>
      <c r="E83">
        <v>1</v>
      </c>
      <c r="F83" t="s">
        <v>112</v>
      </c>
      <c r="G83">
        <f>_xlfn.NUMBERVALUE(#REF!)</f>
        <v>79</v>
      </c>
      <c r="H83" t="s">
        <v>466</v>
      </c>
      <c r="I83" t="s">
        <v>114</v>
      </c>
      <c r="J83" t="s">
        <v>467</v>
      </c>
      <c r="K83" t="s">
        <v>468</v>
      </c>
      <c r="L83" t="s">
        <v>111</v>
      </c>
      <c r="M83" t="s">
        <v>111</v>
      </c>
      <c r="N83" t="s">
        <v>111</v>
      </c>
      <c r="O83" t="s">
        <v>111</v>
      </c>
      <c r="P83" t="s">
        <v>341</v>
      </c>
      <c r="Q83" t="s">
        <v>342</v>
      </c>
      <c r="R83" t="s">
        <v>127</v>
      </c>
      <c r="S83" t="s">
        <v>117</v>
      </c>
      <c r="T83" t="s">
        <v>111</v>
      </c>
      <c r="U83">
        <v>4</v>
      </c>
      <c r="V83">
        <v>3</v>
      </c>
      <c r="W83">
        <v>3</v>
      </c>
      <c r="X83">
        <v>3</v>
      </c>
      <c r="Y83">
        <v>2</v>
      </c>
      <c r="Z83">
        <v>3</v>
      </c>
      <c r="AA83">
        <v>3</v>
      </c>
      <c r="AB83">
        <v>1</v>
      </c>
      <c r="AC83">
        <v>3.5</v>
      </c>
      <c r="AD83">
        <f>IF(#REF! = 3, 1, IF(#REF! = 2.5, 0.5, IF(#REF! = 3.5, 0.5, 0)))</f>
        <v>0.5</v>
      </c>
      <c r="AE83" t="s">
        <v>140</v>
      </c>
      <c r="AF83">
        <f>IF(#REF!="PM &lt; 2.5 μm", 1, 0)</f>
        <v>1</v>
      </c>
      <c r="AG83" t="s">
        <v>141</v>
      </c>
      <c r="AH83">
        <f>IF(#REF!="Particles of this size are generally absorbed in the respiratory tract and safely excreted in mucus.", 1, 0)</f>
        <v>0</v>
      </c>
      <c r="AI83" t="s">
        <v>167</v>
      </c>
      <c r="AJ83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3</v>
      </c>
      <c r="AK83">
        <v>4</v>
      </c>
      <c r="AL83">
        <v>2</v>
      </c>
      <c r="AM83">
        <v>4</v>
      </c>
      <c r="AN83">
        <v>2</v>
      </c>
      <c r="AO83">
        <v>3</v>
      </c>
      <c r="AP83">
        <v>4</v>
      </c>
      <c r="AQ83">
        <v>7</v>
      </c>
      <c r="AR83" t="s">
        <v>111</v>
      </c>
    </row>
    <row r="84" spans="1:44" x14ac:dyDescent="0.25">
      <c r="A84" t="s">
        <v>482</v>
      </c>
      <c r="B84" t="s">
        <v>483</v>
      </c>
      <c r="C84" t="s">
        <v>42</v>
      </c>
      <c r="D84" t="s">
        <v>389</v>
      </c>
      <c r="E84">
        <v>1</v>
      </c>
      <c r="F84" t="s">
        <v>112</v>
      </c>
      <c r="G84">
        <f>_xlfn.NUMBERVALUE(#REF!)</f>
        <v>97</v>
      </c>
      <c r="H84" t="s">
        <v>484</v>
      </c>
      <c r="I84" t="s">
        <v>114</v>
      </c>
      <c r="J84" t="s">
        <v>485</v>
      </c>
      <c r="K84" t="s">
        <v>486</v>
      </c>
      <c r="L84" t="s">
        <v>111</v>
      </c>
      <c r="M84" t="s">
        <v>111</v>
      </c>
      <c r="N84" t="s">
        <v>111</v>
      </c>
      <c r="O84" t="s">
        <v>111</v>
      </c>
      <c r="P84" t="s">
        <v>392</v>
      </c>
      <c r="Q84" t="s">
        <v>393</v>
      </c>
      <c r="R84" t="s">
        <v>487</v>
      </c>
      <c r="S84" t="s">
        <v>117</v>
      </c>
      <c r="T84" t="s">
        <v>111</v>
      </c>
      <c r="U84">
        <v>5</v>
      </c>
      <c r="V84">
        <v>5</v>
      </c>
      <c r="W84">
        <v>4</v>
      </c>
      <c r="X84">
        <v>5</v>
      </c>
      <c r="Y84">
        <v>4</v>
      </c>
      <c r="Z84">
        <v>5</v>
      </c>
      <c r="AA84">
        <v>5</v>
      </c>
      <c r="AB84">
        <v>4</v>
      </c>
      <c r="AC84">
        <v>4.5</v>
      </c>
      <c r="AD84">
        <f>IF(#REF! = 3, 1, IF(#REF! = 2.5, 0.5, IF(#REF! = 3.5, 0.5, 0)))</f>
        <v>0</v>
      </c>
      <c r="AE84" t="s">
        <v>130</v>
      </c>
      <c r="AF84">
        <f>IF(#REF!="PM &lt; 2.5 μm", 1, 0)</f>
        <v>0</v>
      </c>
      <c r="AG84" t="s">
        <v>141</v>
      </c>
      <c r="AH84">
        <f>IF(#REF!="Particles of this size are generally absorbed in the respiratory tract and safely excreted in mucus.", 1, 0)</f>
        <v>0</v>
      </c>
      <c r="AI84" t="s">
        <v>142</v>
      </c>
      <c r="AJ84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2</v>
      </c>
      <c r="AK84">
        <v>4</v>
      </c>
      <c r="AL84">
        <v>4</v>
      </c>
      <c r="AM84">
        <v>5</v>
      </c>
      <c r="AN84">
        <v>4</v>
      </c>
      <c r="AO84">
        <v>5</v>
      </c>
      <c r="AP84">
        <v>5</v>
      </c>
      <c r="AQ84">
        <v>8</v>
      </c>
      <c r="AR84" t="s">
        <v>111</v>
      </c>
    </row>
    <row r="85" spans="1:44" x14ac:dyDescent="0.25">
      <c r="A85" t="s">
        <v>488</v>
      </c>
      <c r="B85" t="s">
        <v>485</v>
      </c>
      <c r="C85" t="s">
        <v>42</v>
      </c>
      <c r="D85" t="s">
        <v>389</v>
      </c>
      <c r="E85">
        <v>1</v>
      </c>
      <c r="F85" t="s">
        <v>112</v>
      </c>
      <c r="G85">
        <f>_xlfn.NUMBERVALUE(#REF!)</f>
        <v>122</v>
      </c>
      <c r="H85" t="s">
        <v>489</v>
      </c>
      <c r="I85" t="s">
        <v>114</v>
      </c>
      <c r="J85" t="s">
        <v>485</v>
      </c>
      <c r="K85" t="s">
        <v>490</v>
      </c>
      <c r="L85" t="s">
        <v>111</v>
      </c>
      <c r="M85" t="s">
        <v>111</v>
      </c>
      <c r="N85" t="s">
        <v>111</v>
      </c>
      <c r="O85" t="s">
        <v>111</v>
      </c>
      <c r="P85" t="s">
        <v>392</v>
      </c>
      <c r="Q85" t="s">
        <v>393</v>
      </c>
      <c r="R85" t="s">
        <v>487</v>
      </c>
      <c r="S85" t="s">
        <v>117</v>
      </c>
      <c r="T85" t="s">
        <v>111</v>
      </c>
      <c r="U85">
        <v>5</v>
      </c>
      <c r="V85">
        <v>5</v>
      </c>
      <c r="W85">
        <v>4</v>
      </c>
      <c r="X85">
        <v>5</v>
      </c>
      <c r="Y85">
        <v>3</v>
      </c>
      <c r="Z85">
        <v>4</v>
      </c>
      <c r="AA85">
        <v>5</v>
      </c>
      <c r="AB85">
        <v>3</v>
      </c>
      <c r="AC85">
        <v>4</v>
      </c>
      <c r="AD85">
        <f>IF(#REF! = 3, 1, IF(#REF! = 2.5, 0.5, IF(#REF! = 3.5, 0.5, 0)))</f>
        <v>0</v>
      </c>
      <c r="AE85" t="s">
        <v>130</v>
      </c>
      <c r="AF85">
        <f>IF(#REF!="PM &lt; 2.5 μm", 1, 0)</f>
        <v>0</v>
      </c>
      <c r="AG85" t="s">
        <v>175</v>
      </c>
      <c r="AH85">
        <f>IF(#REF!="Particles of this size are generally absorbed in the respiratory tract and safely excreted in mucus.", 1, 0)</f>
        <v>1</v>
      </c>
      <c r="AI85" t="s">
        <v>186</v>
      </c>
      <c r="AJ85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3</v>
      </c>
      <c r="AK85">
        <v>3</v>
      </c>
      <c r="AL85">
        <v>4</v>
      </c>
      <c r="AM85">
        <v>3</v>
      </c>
      <c r="AN85">
        <v>3</v>
      </c>
      <c r="AO85">
        <v>4</v>
      </c>
      <c r="AP85">
        <v>4</v>
      </c>
      <c r="AQ85">
        <v>7</v>
      </c>
      <c r="AR85" t="s">
        <v>491</v>
      </c>
    </row>
    <row r="86" spans="1:44" x14ac:dyDescent="0.25">
      <c r="A86" t="s">
        <v>505</v>
      </c>
      <c r="B86" t="s">
        <v>506</v>
      </c>
      <c r="C86" t="s">
        <v>42</v>
      </c>
      <c r="D86" t="s">
        <v>389</v>
      </c>
      <c r="E86">
        <v>1</v>
      </c>
      <c r="F86" t="s">
        <v>112</v>
      </c>
      <c r="G86">
        <f>_xlfn.NUMBERVALUE(#REF!)</f>
        <v>169</v>
      </c>
      <c r="H86" t="s">
        <v>507</v>
      </c>
      <c r="I86" t="s">
        <v>114</v>
      </c>
      <c r="J86" t="s">
        <v>506</v>
      </c>
      <c r="K86" t="s">
        <v>508</v>
      </c>
      <c r="L86" t="s">
        <v>111</v>
      </c>
      <c r="M86" t="s">
        <v>111</v>
      </c>
      <c r="N86" t="s">
        <v>111</v>
      </c>
      <c r="O86" t="s">
        <v>111</v>
      </c>
      <c r="P86" t="s">
        <v>392</v>
      </c>
      <c r="Q86" t="s">
        <v>393</v>
      </c>
      <c r="R86" t="s">
        <v>127</v>
      </c>
      <c r="S86" t="s">
        <v>117</v>
      </c>
      <c r="T86" t="s">
        <v>111</v>
      </c>
      <c r="U86">
        <v>5</v>
      </c>
      <c r="V86">
        <v>2</v>
      </c>
      <c r="W86">
        <v>4</v>
      </c>
      <c r="X86">
        <v>5</v>
      </c>
      <c r="Y86">
        <v>2</v>
      </c>
      <c r="Z86">
        <v>5</v>
      </c>
      <c r="AA86">
        <v>5</v>
      </c>
      <c r="AC86">
        <v>2.5</v>
      </c>
      <c r="AD86">
        <f>IF(#REF! = 3, 1, IF(#REF! = 2.5, 0.5, IF(#REF! = 3.5, 0.5, 0)))</f>
        <v>0.5</v>
      </c>
      <c r="AE86" t="s">
        <v>130</v>
      </c>
      <c r="AF86">
        <f>IF(#REF!="PM &lt; 2.5 μm", 1, 0)</f>
        <v>0</v>
      </c>
      <c r="AG86" t="s">
        <v>175</v>
      </c>
      <c r="AH86">
        <f>IF(#REF!="Particles of this size are generally absorbed in the respiratory tract and safely excreted in mucus.", 1, 0)</f>
        <v>1</v>
      </c>
      <c r="AI86" t="s">
        <v>327</v>
      </c>
      <c r="AJ86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1</v>
      </c>
      <c r="AK86">
        <v>1</v>
      </c>
      <c r="AL86">
        <v>1</v>
      </c>
      <c r="AM86">
        <v>2</v>
      </c>
      <c r="AN86">
        <v>1</v>
      </c>
      <c r="AO86">
        <v>2</v>
      </c>
      <c r="AP86">
        <v>4</v>
      </c>
      <c r="AQ86">
        <v>7</v>
      </c>
      <c r="AR86" t="s">
        <v>509</v>
      </c>
    </row>
    <row r="87" spans="1:44" x14ac:dyDescent="0.25">
      <c r="A87" t="s">
        <v>510</v>
      </c>
      <c r="B87" t="s">
        <v>511</v>
      </c>
      <c r="C87" t="s">
        <v>42</v>
      </c>
      <c r="D87" t="s">
        <v>389</v>
      </c>
      <c r="E87">
        <v>1</v>
      </c>
      <c r="F87" t="s">
        <v>112</v>
      </c>
      <c r="G87">
        <f>_xlfn.NUMBERVALUE(#REF!)</f>
        <v>119</v>
      </c>
      <c r="H87" t="s">
        <v>512</v>
      </c>
      <c r="I87" t="s">
        <v>114</v>
      </c>
      <c r="J87" t="s">
        <v>513</v>
      </c>
      <c r="K87" t="s">
        <v>514</v>
      </c>
      <c r="L87" t="s">
        <v>111</v>
      </c>
      <c r="M87" t="s">
        <v>111</v>
      </c>
      <c r="N87" t="s">
        <v>111</v>
      </c>
      <c r="O87" t="s">
        <v>111</v>
      </c>
      <c r="P87" t="s">
        <v>392</v>
      </c>
      <c r="Q87" t="s">
        <v>393</v>
      </c>
      <c r="R87" t="s">
        <v>487</v>
      </c>
      <c r="S87" t="s">
        <v>117</v>
      </c>
      <c r="T87" t="s">
        <v>111</v>
      </c>
      <c r="U87">
        <v>4</v>
      </c>
      <c r="V87">
        <v>5</v>
      </c>
      <c r="W87">
        <v>3</v>
      </c>
      <c r="X87">
        <v>5</v>
      </c>
      <c r="Y87">
        <v>2</v>
      </c>
      <c r="Z87">
        <v>2</v>
      </c>
      <c r="AA87">
        <v>5</v>
      </c>
      <c r="AB87">
        <v>2</v>
      </c>
      <c r="AC87">
        <v>1</v>
      </c>
      <c r="AD87">
        <f>IF(#REF! = 3, 1, IF(#REF! = 2.5, 0.5, IF(#REF! = 3.5, 0.5, 0)))</f>
        <v>0</v>
      </c>
      <c r="AE87" t="s">
        <v>154</v>
      </c>
      <c r="AF87">
        <f>IF(#REF!="PM &lt; 2.5 μm", 1, 0)</f>
        <v>0</v>
      </c>
      <c r="AG87" t="s">
        <v>141</v>
      </c>
      <c r="AH87">
        <f>IF(#REF!="Particles of this size are generally absorbed in the respiratory tract and safely excreted in mucus.", 1, 0)</f>
        <v>0</v>
      </c>
      <c r="AI87" t="s">
        <v>232</v>
      </c>
      <c r="AJ87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1</v>
      </c>
      <c r="AK87">
        <v>5</v>
      </c>
      <c r="AL87">
        <v>5</v>
      </c>
      <c r="AM87">
        <v>5</v>
      </c>
      <c r="AN87">
        <v>5</v>
      </c>
      <c r="AO87">
        <v>5</v>
      </c>
      <c r="AP87">
        <v>5</v>
      </c>
      <c r="AQ87">
        <v>9</v>
      </c>
      <c r="AR87" t="s">
        <v>111</v>
      </c>
    </row>
    <row r="88" spans="1:44" x14ac:dyDescent="0.25">
      <c r="A88" t="s">
        <v>521</v>
      </c>
      <c r="B88" t="s">
        <v>522</v>
      </c>
      <c r="C88" t="s">
        <v>42</v>
      </c>
      <c r="D88" t="s">
        <v>389</v>
      </c>
      <c r="E88">
        <v>1</v>
      </c>
      <c r="F88" t="s">
        <v>112</v>
      </c>
      <c r="G88">
        <f>_xlfn.NUMBERVALUE(#REF!)</f>
        <v>129</v>
      </c>
      <c r="H88" t="s">
        <v>523</v>
      </c>
      <c r="I88" t="s">
        <v>114</v>
      </c>
      <c r="J88" t="s">
        <v>522</v>
      </c>
      <c r="K88" t="s">
        <v>524</v>
      </c>
      <c r="L88" t="s">
        <v>111</v>
      </c>
      <c r="M88" t="s">
        <v>111</v>
      </c>
      <c r="N88" t="s">
        <v>111</v>
      </c>
      <c r="O88" t="s">
        <v>111</v>
      </c>
      <c r="P88" t="s">
        <v>392</v>
      </c>
      <c r="Q88" t="s">
        <v>393</v>
      </c>
      <c r="R88" t="s">
        <v>127</v>
      </c>
      <c r="S88" t="s">
        <v>117</v>
      </c>
      <c r="T88" t="s">
        <v>111</v>
      </c>
      <c r="U88">
        <v>5</v>
      </c>
      <c r="V88">
        <v>4</v>
      </c>
      <c r="W88">
        <v>4</v>
      </c>
      <c r="X88">
        <v>4</v>
      </c>
      <c r="Y88">
        <v>4</v>
      </c>
      <c r="Z88">
        <v>4</v>
      </c>
      <c r="AA88">
        <v>4</v>
      </c>
      <c r="AB88">
        <v>3</v>
      </c>
      <c r="AC88">
        <v>4</v>
      </c>
      <c r="AD88">
        <f>IF(#REF! = 3, 1, IF(#REF! = 2.5, 0.5, IF(#REF! = 3.5, 0.5, 0)))</f>
        <v>0</v>
      </c>
      <c r="AE88" t="s">
        <v>525</v>
      </c>
      <c r="AF88">
        <f>IF(#REF!="PM &lt; 2.5 μm", 1, 0)</f>
        <v>0</v>
      </c>
      <c r="AG88" t="s">
        <v>131</v>
      </c>
      <c r="AH88">
        <f>IF(#REF!="Particles of this size are generally absorbed in the respiratory tract and safely excreted in mucus.", 1, 0)</f>
        <v>0</v>
      </c>
      <c r="AI88" t="s">
        <v>526</v>
      </c>
      <c r="AJ88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-1</v>
      </c>
      <c r="AK88">
        <v>2</v>
      </c>
      <c r="AL88">
        <v>2</v>
      </c>
      <c r="AM88">
        <v>2</v>
      </c>
      <c r="AN88">
        <v>2</v>
      </c>
      <c r="AO88">
        <v>4</v>
      </c>
      <c r="AP88">
        <v>4</v>
      </c>
      <c r="AQ88">
        <v>5</v>
      </c>
      <c r="AR88" t="s">
        <v>527</v>
      </c>
    </row>
    <row r="89" spans="1:44" x14ac:dyDescent="0.25">
      <c r="A89" t="s">
        <v>560</v>
      </c>
      <c r="B89" t="s">
        <v>561</v>
      </c>
      <c r="C89" t="s">
        <v>42</v>
      </c>
      <c r="D89" t="s">
        <v>389</v>
      </c>
      <c r="E89">
        <v>1</v>
      </c>
      <c r="F89" t="s">
        <v>112</v>
      </c>
      <c r="G89">
        <f>_xlfn.NUMBERVALUE(#REF!)</f>
        <v>151</v>
      </c>
      <c r="H89" t="s">
        <v>562</v>
      </c>
      <c r="I89" t="s">
        <v>114</v>
      </c>
      <c r="J89" t="s">
        <v>561</v>
      </c>
      <c r="K89" t="s">
        <v>563</v>
      </c>
      <c r="L89" t="s">
        <v>111</v>
      </c>
      <c r="M89" t="s">
        <v>111</v>
      </c>
      <c r="N89" t="s">
        <v>111</v>
      </c>
      <c r="O89" t="s">
        <v>111</v>
      </c>
      <c r="P89" t="s">
        <v>392</v>
      </c>
      <c r="Q89" t="s">
        <v>393</v>
      </c>
      <c r="R89" t="s">
        <v>487</v>
      </c>
      <c r="S89" t="s">
        <v>117</v>
      </c>
      <c r="T89" t="s">
        <v>111</v>
      </c>
      <c r="U89">
        <v>5</v>
      </c>
      <c r="V89">
        <v>5</v>
      </c>
      <c r="W89">
        <v>5</v>
      </c>
      <c r="X89">
        <v>5</v>
      </c>
      <c r="Y89">
        <v>5</v>
      </c>
      <c r="Z89">
        <v>5</v>
      </c>
      <c r="AA89">
        <v>5</v>
      </c>
      <c r="AB89">
        <v>5</v>
      </c>
      <c r="AC89">
        <v>4.5</v>
      </c>
      <c r="AD89">
        <f>IF(#REF! = 3, 1, IF(#REF! = 2.5, 0.5, IF(#REF! = 3.5, 0.5, 0)))</f>
        <v>0</v>
      </c>
      <c r="AE89" t="s">
        <v>525</v>
      </c>
      <c r="AF89">
        <f>IF(#REF!="PM &lt; 2.5 μm", 1, 0)</f>
        <v>0</v>
      </c>
      <c r="AG89" t="s">
        <v>141</v>
      </c>
      <c r="AH89">
        <f>IF(#REF!="Particles of this size are generally absorbed in the respiratory tract and safely excreted in mucus.", 1, 0)</f>
        <v>0</v>
      </c>
      <c r="AI89" t="s">
        <v>167</v>
      </c>
      <c r="AJ89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3</v>
      </c>
      <c r="AK89">
        <v>4</v>
      </c>
      <c r="AL89">
        <v>4</v>
      </c>
      <c r="AM89">
        <v>4</v>
      </c>
      <c r="AN89">
        <v>4</v>
      </c>
      <c r="AO89">
        <v>4</v>
      </c>
      <c r="AP89">
        <v>4</v>
      </c>
      <c r="AQ89">
        <v>10</v>
      </c>
      <c r="AR89" t="s">
        <v>564</v>
      </c>
    </row>
    <row r="90" spans="1:44" x14ac:dyDescent="0.25">
      <c r="A90" t="s">
        <v>639</v>
      </c>
      <c r="B90" t="s">
        <v>640</v>
      </c>
      <c r="C90" t="s">
        <v>42</v>
      </c>
      <c r="D90" t="s">
        <v>389</v>
      </c>
      <c r="E90">
        <v>1</v>
      </c>
      <c r="F90" t="s">
        <v>112</v>
      </c>
      <c r="G90">
        <f>_xlfn.NUMBERVALUE(#REF!)</f>
        <v>247</v>
      </c>
      <c r="H90" t="s">
        <v>641</v>
      </c>
      <c r="I90" t="s">
        <v>114</v>
      </c>
      <c r="J90" t="s">
        <v>642</v>
      </c>
      <c r="K90" t="s">
        <v>643</v>
      </c>
      <c r="L90" t="s">
        <v>111</v>
      </c>
      <c r="M90" t="s">
        <v>111</v>
      </c>
      <c r="N90" t="s">
        <v>111</v>
      </c>
      <c r="O90" t="s">
        <v>111</v>
      </c>
      <c r="P90" t="s">
        <v>392</v>
      </c>
      <c r="Q90" t="s">
        <v>393</v>
      </c>
      <c r="R90" t="s">
        <v>487</v>
      </c>
      <c r="S90" t="s">
        <v>117</v>
      </c>
      <c r="T90" t="s">
        <v>111</v>
      </c>
      <c r="U90">
        <v>4</v>
      </c>
      <c r="V90">
        <v>4</v>
      </c>
      <c r="W90">
        <v>5</v>
      </c>
      <c r="X90">
        <v>4</v>
      </c>
      <c r="Y90">
        <v>5</v>
      </c>
      <c r="Z90">
        <v>5</v>
      </c>
      <c r="AA90">
        <v>4</v>
      </c>
      <c r="AB90">
        <v>2</v>
      </c>
      <c r="AC90">
        <v>3.5</v>
      </c>
      <c r="AD90">
        <f>IF(#REF! = 3, 1, IF(#REF! = 2.5, 0.5, IF(#REF! = 3.5, 0.5, 0)))</f>
        <v>0.5</v>
      </c>
      <c r="AE90" t="s">
        <v>154</v>
      </c>
      <c r="AF90">
        <f>IF(#REF!="PM &lt; 2.5 μm", 1, 0)</f>
        <v>0</v>
      </c>
      <c r="AG90" t="s">
        <v>131</v>
      </c>
      <c r="AH90">
        <f>IF(#REF!="Particles of this size are generally absorbed in the respiratory tract and safely excreted in mucus.", 1, 0)</f>
        <v>0</v>
      </c>
      <c r="AI90" t="s">
        <v>167</v>
      </c>
      <c r="AJ90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3</v>
      </c>
      <c r="AK90">
        <v>3</v>
      </c>
      <c r="AL90">
        <v>4</v>
      </c>
      <c r="AM90">
        <v>5</v>
      </c>
      <c r="AN90">
        <v>1</v>
      </c>
      <c r="AO90">
        <v>4</v>
      </c>
      <c r="AP90">
        <v>2</v>
      </c>
      <c r="AQ90">
        <v>5</v>
      </c>
      <c r="AR90" t="s">
        <v>111</v>
      </c>
    </row>
    <row r="91" spans="1:44" x14ac:dyDescent="0.25">
      <c r="A91" t="s">
        <v>644</v>
      </c>
      <c r="B91" t="s">
        <v>645</v>
      </c>
      <c r="C91" t="s">
        <v>42</v>
      </c>
      <c r="D91" t="s">
        <v>646</v>
      </c>
      <c r="E91">
        <v>1</v>
      </c>
      <c r="F91" t="s">
        <v>112</v>
      </c>
      <c r="G91">
        <f>_xlfn.NUMBERVALUE(#REF!)</f>
        <v>267</v>
      </c>
      <c r="H91" t="s">
        <v>634</v>
      </c>
      <c r="I91" t="s">
        <v>114</v>
      </c>
      <c r="J91" t="s">
        <v>645</v>
      </c>
      <c r="K91" t="s">
        <v>647</v>
      </c>
      <c r="L91" t="s">
        <v>111</v>
      </c>
      <c r="M91" t="s">
        <v>111</v>
      </c>
      <c r="N91" t="s">
        <v>111</v>
      </c>
      <c r="O91" t="s">
        <v>111</v>
      </c>
      <c r="P91" t="s">
        <v>648</v>
      </c>
      <c r="Q91" t="s">
        <v>649</v>
      </c>
      <c r="R91" t="s">
        <v>487</v>
      </c>
      <c r="S91" t="s">
        <v>117</v>
      </c>
      <c r="T91" t="s">
        <v>111</v>
      </c>
      <c r="U91">
        <v>4</v>
      </c>
      <c r="V91">
        <v>4</v>
      </c>
      <c r="W91">
        <v>3</v>
      </c>
      <c r="X91">
        <v>3</v>
      </c>
      <c r="Y91">
        <v>3</v>
      </c>
      <c r="Z91">
        <v>2</v>
      </c>
      <c r="AA91">
        <v>3</v>
      </c>
      <c r="AB91">
        <v>2</v>
      </c>
      <c r="AC91">
        <v>4</v>
      </c>
      <c r="AD91">
        <f>IF(#REF! = 3, 1, IF(#REF! = 2.5, 0.5, IF(#REF! = 3.5, 0.5, 0)))</f>
        <v>0</v>
      </c>
      <c r="AE91" t="s">
        <v>130</v>
      </c>
      <c r="AF91">
        <f>IF(#REF!="PM &lt; 2.5 μm", 1, 0)</f>
        <v>0</v>
      </c>
      <c r="AG91" t="s">
        <v>175</v>
      </c>
      <c r="AH91">
        <f>IF(#REF!="Particles of this size are generally absorbed in the respiratory tract and safely excreted in mucus.", 1, 0)</f>
        <v>1</v>
      </c>
      <c r="AI91" t="s">
        <v>650</v>
      </c>
      <c r="AJ91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3</v>
      </c>
      <c r="AK91">
        <v>3</v>
      </c>
      <c r="AL91">
        <v>2</v>
      </c>
      <c r="AM91">
        <v>3</v>
      </c>
      <c r="AN91">
        <v>3</v>
      </c>
      <c r="AO91">
        <v>4</v>
      </c>
      <c r="AP91">
        <v>4</v>
      </c>
      <c r="AQ91">
        <v>4</v>
      </c>
      <c r="AR91" t="s">
        <v>111</v>
      </c>
    </row>
    <row r="92" spans="1:44" x14ac:dyDescent="0.25">
      <c r="A92" t="s">
        <v>685</v>
      </c>
      <c r="B92" t="s">
        <v>686</v>
      </c>
      <c r="C92" t="s">
        <v>42</v>
      </c>
      <c r="D92" t="s">
        <v>687</v>
      </c>
      <c r="E92">
        <v>1</v>
      </c>
      <c r="F92" t="s">
        <v>112</v>
      </c>
      <c r="G92">
        <f>_xlfn.NUMBERVALUE(#REF!)</f>
        <v>336</v>
      </c>
      <c r="H92" t="s">
        <v>688</v>
      </c>
      <c r="I92" t="s">
        <v>114</v>
      </c>
      <c r="J92" t="s">
        <v>686</v>
      </c>
      <c r="K92" t="s">
        <v>689</v>
      </c>
      <c r="L92" t="s">
        <v>111</v>
      </c>
      <c r="M92" t="s">
        <v>111</v>
      </c>
      <c r="N92" t="s">
        <v>111</v>
      </c>
      <c r="O92" t="s">
        <v>111</v>
      </c>
      <c r="P92" t="s">
        <v>351</v>
      </c>
      <c r="Q92" t="s">
        <v>352</v>
      </c>
      <c r="R92" t="s">
        <v>487</v>
      </c>
      <c r="S92" t="s">
        <v>117</v>
      </c>
      <c r="T92" t="s">
        <v>111</v>
      </c>
      <c r="U92">
        <v>4</v>
      </c>
      <c r="V92">
        <v>5</v>
      </c>
      <c r="W92">
        <v>1</v>
      </c>
      <c r="X92">
        <v>3</v>
      </c>
      <c r="Y92">
        <v>5</v>
      </c>
      <c r="Z92">
        <v>2</v>
      </c>
      <c r="AA92">
        <v>5</v>
      </c>
      <c r="AB92">
        <v>4</v>
      </c>
      <c r="AC92">
        <v>4</v>
      </c>
      <c r="AD92">
        <f>IF(#REF! = 3, 1, IF(#REF! = 2.5, 0.5, IF(#REF! = 3.5, 0.5, 0)))</f>
        <v>0</v>
      </c>
      <c r="AE92" t="s">
        <v>166</v>
      </c>
      <c r="AF92">
        <f>IF(#REF!="PM &lt; 2.5 μm", 1, 0)</f>
        <v>0</v>
      </c>
      <c r="AG92" t="s">
        <v>141</v>
      </c>
      <c r="AH92">
        <f>IF(#REF!="Particles of this size are generally absorbed in the respiratory tract and safely excreted in mucus.", 1, 0)</f>
        <v>0</v>
      </c>
      <c r="AI92" t="s">
        <v>167</v>
      </c>
      <c r="AJ92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3</v>
      </c>
      <c r="AK92">
        <v>4</v>
      </c>
      <c r="AL92">
        <v>5</v>
      </c>
      <c r="AM92">
        <v>5</v>
      </c>
      <c r="AO92">
        <v>5</v>
      </c>
      <c r="AP92">
        <v>4</v>
      </c>
      <c r="AQ92">
        <v>9</v>
      </c>
      <c r="AR92" t="s">
        <v>111</v>
      </c>
    </row>
    <row r="93" spans="1:44" x14ac:dyDescent="0.25">
      <c r="A93" t="s">
        <v>690</v>
      </c>
      <c r="B93" t="s">
        <v>691</v>
      </c>
      <c r="C93" t="s">
        <v>42</v>
      </c>
      <c r="D93" t="s">
        <v>692</v>
      </c>
      <c r="E93">
        <v>1</v>
      </c>
      <c r="F93" t="s">
        <v>112</v>
      </c>
      <c r="G93">
        <f>_xlfn.NUMBERVALUE(#REF!)</f>
        <v>303</v>
      </c>
      <c r="H93" t="s">
        <v>693</v>
      </c>
      <c r="I93" t="s">
        <v>114</v>
      </c>
      <c r="J93" t="s">
        <v>691</v>
      </c>
      <c r="K93" t="s">
        <v>694</v>
      </c>
      <c r="L93" t="s">
        <v>111</v>
      </c>
      <c r="M93" t="s">
        <v>111</v>
      </c>
      <c r="N93" t="s">
        <v>111</v>
      </c>
      <c r="O93" t="s">
        <v>111</v>
      </c>
      <c r="P93" t="s">
        <v>115</v>
      </c>
      <c r="Q93" t="s">
        <v>116</v>
      </c>
      <c r="R93" t="s">
        <v>127</v>
      </c>
      <c r="S93" t="s">
        <v>117</v>
      </c>
      <c r="T93" t="s">
        <v>111</v>
      </c>
      <c r="U93">
        <v>3</v>
      </c>
      <c r="V93">
        <v>1</v>
      </c>
      <c r="W93">
        <v>4</v>
      </c>
      <c r="X93">
        <v>3</v>
      </c>
      <c r="Y93">
        <v>1</v>
      </c>
      <c r="Z93">
        <v>4</v>
      </c>
      <c r="AA93">
        <v>5</v>
      </c>
      <c r="AB93">
        <v>2</v>
      </c>
      <c r="AC93">
        <v>3</v>
      </c>
      <c r="AD93">
        <f>IF(#REF! = 3, 1, IF(#REF! = 2.5, 0.5, IF(#REF! = 3.5, 0.5, 0)))</f>
        <v>1</v>
      </c>
      <c r="AE93" t="s">
        <v>525</v>
      </c>
      <c r="AF93">
        <f>IF(#REF!="PM &lt; 2.5 μm", 1, 0)</f>
        <v>0</v>
      </c>
      <c r="AG93" t="s">
        <v>141</v>
      </c>
      <c r="AH93">
        <f>IF(#REF!="Particles of this size are generally absorbed in the respiratory tract and safely excreted in mucus.", 1, 0)</f>
        <v>0</v>
      </c>
      <c r="AI93" t="s">
        <v>450</v>
      </c>
      <c r="AJ93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2</v>
      </c>
      <c r="AK93">
        <v>2</v>
      </c>
      <c r="AL93">
        <v>1</v>
      </c>
      <c r="AQ93">
        <v>2</v>
      </c>
      <c r="AR93" t="s">
        <v>695</v>
      </c>
    </row>
    <row r="94" spans="1:44" x14ac:dyDescent="0.25">
      <c r="A94" t="s">
        <v>702</v>
      </c>
      <c r="B94" t="s">
        <v>703</v>
      </c>
      <c r="C94" t="s">
        <v>42</v>
      </c>
      <c r="D94" t="s">
        <v>704</v>
      </c>
      <c r="E94">
        <v>1</v>
      </c>
      <c r="F94" t="s">
        <v>112</v>
      </c>
      <c r="G94">
        <f>_xlfn.NUMBERVALUE(#REF!)</f>
        <v>384</v>
      </c>
      <c r="H94" t="s">
        <v>705</v>
      </c>
      <c r="I94" t="s">
        <v>114</v>
      </c>
      <c r="J94" t="s">
        <v>703</v>
      </c>
      <c r="K94" t="s">
        <v>706</v>
      </c>
      <c r="L94" t="s">
        <v>111</v>
      </c>
      <c r="M94" t="s">
        <v>111</v>
      </c>
      <c r="N94" t="s">
        <v>111</v>
      </c>
      <c r="O94" t="s">
        <v>111</v>
      </c>
      <c r="P94" t="s">
        <v>435</v>
      </c>
      <c r="Q94" t="s">
        <v>436</v>
      </c>
      <c r="R94" t="s">
        <v>487</v>
      </c>
      <c r="S94" t="s">
        <v>117</v>
      </c>
      <c r="T94" t="s">
        <v>111</v>
      </c>
      <c r="U94">
        <v>5</v>
      </c>
      <c r="V94">
        <v>5</v>
      </c>
      <c r="W94">
        <v>4</v>
      </c>
      <c r="X94">
        <v>5</v>
      </c>
      <c r="Y94">
        <v>4</v>
      </c>
      <c r="Z94">
        <v>4</v>
      </c>
      <c r="AA94">
        <v>5</v>
      </c>
      <c r="AB94">
        <v>3</v>
      </c>
      <c r="AC94">
        <v>4</v>
      </c>
      <c r="AD94">
        <f>IF(#REF! = 3, 1, IF(#REF! = 2.5, 0.5, IF(#REF! = 3.5, 0.5, 0)))</f>
        <v>0</v>
      </c>
      <c r="AE94" t="s">
        <v>130</v>
      </c>
      <c r="AF94">
        <f>IF(#REF!="PM &lt; 2.5 μm", 1, 0)</f>
        <v>0</v>
      </c>
      <c r="AG94" t="s">
        <v>175</v>
      </c>
      <c r="AH94">
        <f>IF(#REF!="Particles of this size are generally absorbed in the respiratory tract and safely excreted in mucus.", 1, 0)</f>
        <v>1</v>
      </c>
      <c r="AI94" t="s">
        <v>167</v>
      </c>
      <c r="AJ94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3</v>
      </c>
      <c r="AK94">
        <v>3</v>
      </c>
      <c r="AL94">
        <v>4</v>
      </c>
      <c r="AM94">
        <v>2</v>
      </c>
      <c r="AN94">
        <v>1</v>
      </c>
      <c r="AO94">
        <v>3</v>
      </c>
      <c r="AP94">
        <v>3</v>
      </c>
      <c r="AQ94">
        <v>8</v>
      </c>
      <c r="AR94" t="s">
        <v>707</v>
      </c>
    </row>
    <row r="95" spans="1:44" x14ac:dyDescent="0.25">
      <c r="A95" t="s">
        <v>554</v>
      </c>
      <c r="B95" t="s">
        <v>708</v>
      </c>
      <c r="C95" t="s">
        <v>42</v>
      </c>
      <c r="D95" t="s">
        <v>709</v>
      </c>
      <c r="E95">
        <v>1</v>
      </c>
      <c r="F95" t="s">
        <v>112</v>
      </c>
      <c r="G95">
        <f>_xlfn.NUMBERVALUE(#REF!)</f>
        <v>385</v>
      </c>
      <c r="H95" t="s">
        <v>710</v>
      </c>
      <c r="I95" t="s">
        <v>114</v>
      </c>
      <c r="J95" t="s">
        <v>708</v>
      </c>
      <c r="K95" t="s">
        <v>711</v>
      </c>
      <c r="L95" t="s">
        <v>111</v>
      </c>
      <c r="M95" t="s">
        <v>111</v>
      </c>
      <c r="N95" t="s">
        <v>111</v>
      </c>
      <c r="O95" t="s">
        <v>111</v>
      </c>
      <c r="P95" t="s">
        <v>712</v>
      </c>
      <c r="Q95" t="s">
        <v>713</v>
      </c>
      <c r="R95" t="s">
        <v>487</v>
      </c>
      <c r="S95" t="s">
        <v>117</v>
      </c>
      <c r="T95" t="s">
        <v>111</v>
      </c>
      <c r="U95">
        <v>4</v>
      </c>
      <c r="V95">
        <v>4</v>
      </c>
      <c r="W95">
        <v>3</v>
      </c>
      <c r="X95">
        <v>5</v>
      </c>
      <c r="Y95">
        <v>2</v>
      </c>
      <c r="Z95">
        <v>3</v>
      </c>
      <c r="AA95">
        <v>5</v>
      </c>
      <c r="AB95">
        <v>1</v>
      </c>
      <c r="AC95">
        <v>3.5</v>
      </c>
      <c r="AD95">
        <f>IF(#REF! = 3, 1, IF(#REF! = 2.5, 0.5, IF(#REF! = 3.5, 0.5, 0)))</f>
        <v>0.5</v>
      </c>
      <c r="AE95" t="s">
        <v>185</v>
      </c>
      <c r="AF95">
        <f>IF(#REF!="PM &lt; 2.5 μm", 1, 0)</f>
        <v>0</v>
      </c>
      <c r="AG95" t="s">
        <v>141</v>
      </c>
      <c r="AH95">
        <f>IF(#REF!="Particles of this size are generally absorbed in the respiratory tract and safely excreted in mucus.", 1, 0)</f>
        <v>0</v>
      </c>
      <c r="AI95" t="s">
        <v>714</v>
      </c>
      <c r="AJ95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0</v>
      </c>
      <c r="AK95">
        <v>4</v>
      </c>
      <c r="AL95">
        <v>4</v>
      </c>
      <c r="AM95">
        <v>5</v>
      </c>
      <c r="AN95">
        <v>3</v>
      </c>
      <c r="AO95">
        <v>4</v>
      </c>
      <c r="AP95">
        <v>5</v>
      </c>
      <c r="AQ95">
        <v>7</v>
      </c>
      <c r="AR95" t="s">
        <v>715</v>
      </c>
    </row>
    <row r="96" spans="1:44" x14ac:dyDescent="0.25">
      <c r="A96" t="s">
        <v>716</v>
      </c>
      <c r="B96" t="s">
        <v>717</v>
      </c>
      <c r="C96" t="s">
        <v>42</v>
      </c>
      <c r="D96" t="s">
        <v>389</v>
      </c>
      <c r="E96">
        <v>1</v>
      </c>
      <c r="F96" t="s">
        <v>112</v>
      </c>
      <c r="G96">
        <f>_xlfn.NUMBERVALUE(#REF!)</f>
        <v>107</v>
      </c>
      <c r="H96" t="s">
        <v>308</v>
      </c>
      <c r="I96" t="s">
        <v>114</v>
      </c>
      <c r="J96" t="s">
        <v>717</v>
      </c>
      <c r="K96" t="s">
        <v>718</v>
      </c>
      <c r="L96" t="s">
        <v>111</v>
      </c>
      <c r="M96" t="s">
        <v>111</v>
      </c>
      <c r="N96" t="s">
        <v>111</v>
      </c>
      <c r="O96" t="s">
        <v>111</v>
      </c>
      <c r="P96" t="s">
        <v>392</v>
      </c>
      <c r="Q96" t="s">
        <v>393</v>
      </c>
      <c r="R96" t="s">
        <v>127</v>
      </c>
      <c r="S96" t="s">
        <v>117</v>
      </c>
      <c r="T96" t="s">
        <v>111</v>
      </c>
      <c r="U96">
        <v>4</v>
      </c>
      <c r="V96">
        <v>4</v>
      </c>
      <c r="W96">
        <v>4</v>
      </c>
      <c r="X96">
        <v>4</v>
      </c>
      <c r="Y96">
        <v>3</v>
      </c>
      <c r="Z96">
        <v>3</v>
      </c>
      <c r="AA96">
        <v>4</v>
      </c>
      <c r="AB96">
        <v>3</v>
      </c>
      <c r="AC96">
        <v>5</v>
      </c>
      <c r="AD96">
        <f>IF(#REF! = 3, 1, IF(#REF! = 2.5, 0.5, IF(#REF! = 3.5, 0.5, 0)))</f>
        <v>0</v>
      </c>
      <c r="AE96" t="s">
        <v>130</v>
      </c>
      <c r="AF96">
        <f>IF(#REF!="PM &lt; 2.5 μm", 1, 0)</f>
        <v>0</v>
      </c>
      <c r="AG96" t="s">
        <v>131</v>
      </c>
      <c r="AH96">
        <f>IF(#REF!="Particles of this size are generally absorbed in the respiratory tract and safely excreted in mucus.", 1, 0)</f>
        <v>0</v>
      </c>
      <c r="AI96" t="s">
        <v>224</v>
      </c>
      <c r="AJ96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1</v>
      </c>
      <c r="AK96">
        <v>4</v>
      </c>
      <c r="AL96">
        <v>4</v>
      </c>
      <c r="AM96">
        <v>3</v>
      </c>
      <c r="AN96">
        <v>3</v>
      </c>
      <c r="AO96">
        <v>4</v>
      </c>
      <c r="AP96">
        <v>3</v>
      </c>
      <c r="AQ96">
        <v>6</v>
      </c>
      <c r="AR96" t="s">
        <v>111</v>
      </c>
    </row>
    <row r="97" spans="1:45" x14ac:dyDescent="0.25">
      <c r="A97" t="s">
        <v>719</v>
      </c>
      <c r="B97" t="s">
        <v>720</v>
      </c>
      <c r="C97" t="s">
        <v>42</v>
      </c>
      <c r="D97" t="s">
        <v>721</v>
      </c>
      <c r="E97">
        <v>1</v>
      </c>
      <c r="F97" t="s">
        <v>112</v>
      </c>
      <c r="G97">
        <f>_xlfn.NUMBERVALUE(#REF!)</f>
        <v>505</v>
      </c>
      <c r="H97" t="s">
        <v>722</v>
      </c>
      <c r="I97" t="s">
        <v>114</v>
      </c>
      <c r="J97" t="s">
        <v>723</v>
      </c>
      <c r="K97" t="s">
        <v>724</v>
      </c>
      <c r="L97" t="s">
        <v>111</v>
      </c>
      <c r="M97" t="s">
        <v>111</v>
      </c>
      <c r="N97" t="s">
        <v>111</v>
      </c>
      <c r="O97" t="s">
        <v>111</v>
      </c>
      <c r="P97" t="s">
        <v>351</v>
      </c>
      <c r="Q97" t="s">
        <v>352</v>
      </c>
      <c r="R97" t="s">
        <v>487</v>
      </c>
      <c r="S97" t="s">
        <v>117</v>
      </c>
      <c r="T97" t="s">
        <v>111</v>
      </c>
      <c r="U97">
        <v>4</v>
      </c>
      <c r="V97">
        <v>4</v>
      </c>
      <c r="W97">
        <v>3</v>
      </c>
      <c r="X97">
        <v>5</v>
      </c>
      <c r="Y97">
        <v>3</v>
      </c>
      <c r="Z97">
        <v>4</v>
      </c>
      <c r="AA97">
        <v>5</v>
      </c>
      <c r="AB97">
        <v>3</v>
      </c>
      <c r="AC97">
        <v>2.5</v>
      </c>
      <c r="AD97">
        <f>IF(#REF! = 3, 1, IF(#REF! = 2.5, 0.5, IF(#REF! = 3.5, 0.5, 0)))</f>
        <v>0.5</v>
      </c>
      <c r="AE97" t="s">
        <v>130</v>
      </c>
      <c r="AF97">
        <f>IF(#REF!="PM &lt; 2.5 μm", 1, 0)</f>
        <v>0</v>
      </c>
      <c r="AG97" t="s">
        <v>131</v>
      </c>
      <c r="AH97">
        <f>IF(#REF!="Particles of this size are generally absorbed in the respiratory tract and safely excreted in mucus.", 1, 0)</f>
        <v>0</v>
      </c>
      <c r="AI97" t="s">
        <v>725</v>
      </c>
      <c r="AJ97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0</v>
      </c>
      <c r="AK97">
        <v>3</v>
      </c>
      <c r="AL97">
        <v>3</v>
      </c>
      <c r="AM97">
        <v>4</v>
      </c>
      <c r="AN97">
        <v>3</v>
      </c>
      <c r="AO97">
        <v>4</v>
      </c>
      <c r="AP97">
        <v>5</v>
      </c>
      <c r="AQ97">
        <v>8</v>
      </c>
      <c r="AR97" t="s">
        <v>726</v>
      </c>
    </row>
    <row r="98" spans="1:45" x14ac:dyDescent="0.25">
      <c r="A98" t="s">
        <v>750</v>
      </c>
      <c r="B98" t="s">
        <v>751</v>
      </c>
      <c r="C98" t="s">
        <v>42</v>
      </c>
      <c r="D98" t="s">
        <v>752</v>
      </c>
      <c r="E98">
        <v>1</v>
      </c>
      <c r="F98" t="s">
        <v>112</v>
      </c>
      <c r="G98">
        <f>_xlfn.NUMBERVALUE(#REF!)</f>
        <v>94</v>
      </c>
      <c r="H98" t="s">
        <v>753</v>
      </c>
      <c r="I98" t="s">
        <v>114</v>
      </c>
      <c r="J98" t="s">
        <v>754</v>
      </c>
      <c r="K98" t="s">
        <v>755</v>
      </c>
      <c r="L98" t="s">
        <v>111</v>
      </c>
      <c r="M98" t="s">
        <v>111</v>
      </c>
      <c r="N98" t="s">
        <v>111</v>
      </c>
      <c r="O98" t="s">
        <v>111</v>
      </c>
      <c r="P98" t="s">
        <v>656</v>
      </c>
      <c r="Q98" t="s">
        <v>657</v>
      </c>
      <c r="R98" t="s">
        <v>127</v>
      </c>
      <c r="S98" t="s">
        <v>117</v>
      </c>
      <c r="T98" t="s">
        <v>111</v>
      </c>
      <c r="U98">
        <v>5</v>
      </c>
      <c r="V98">
        <v>5</v>
      </c>
      <c r="W98">
        <v>3</v>
      </c>
      <c r="X98">
        <v>5</v>
      </c>
      <c r="Y98">
        <v>2</v>
      </c>
      <c r="Z98">
        <v>3</v>
      </c>
      <c r="AA98">
        <v>5</v>
      </c>
      <c r="AB98">
        <v>2</v>
      </c>
      <c r="AC98">
        <v>5</v>
      </c>
      <c r="AD98">
        <f>IF(#REF! = 3, 1, IF(#REF! = 2.5, 0.5, IF(#REF! = 3.5, 0.5, 0)))</f>
        <v>0</v>
      </c>
      <c r="AE98" t="s">
        <v>166</v>
      </c>
      <c r="AF98">
        <f>IF(#REF!="PM &lt; 2.5 μm", 1, 0)</f>
        <v>0</v>
      </c>
      <c r="AG98" t="s">
        <v>155</v>
      </c>
      <c r="AH98">
        <f>IF(#REF!="Particles of this size are generally absorbed in the respiratory tract and safely excreted in mucus.", 1, 0)</f>
        <v>0</v>
      </c>
      <c r="AI98" t="s">
        <v>526</v>
      </c>
      <c r="AJ98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-1</v>
      </c>
      <c r="AK98">
        <v>4</v>
      </c>
      <c r="AL98">
        <v>3</v>
      </c>
      <c r="AM98">
        <v>5</v>
      </c>
      <c r="AN98">
        <v>5</v>
      </c>
      <c r="AO98">
        <v>5</v>
      </c>
      <c r="AP98">
        <v>4</v>
      </c>
      <c r="AQ98">
        <v>10</v>
      </c>
      <c r="AR98" t="s">
        <v>111</v>
      </c>
    </row>
    <row r="99" spans="1:45" x14ac:dyDescent="0.25">
      <c r="A99" t="s">
        <v>775</v>
      </c>
      <c r="B99" t="s">
        <v>776</v>
      </c>
      <c r="C99" t="s">
        <v>42</v>
      </c>
      <c r="D99" t="s">
        <v>389</v>
      </c>
      <c r="E99">
        <v>1</v>
      </c>
      <c r="F99" t="s">
        <v>112</v>
      </c>
      <c r="G99">
        <f>_xlfn.NUMBERVALUE(#REF!)</f>
        <v>958</v>
      </c>
      <c r="H99" t="s">
        <v>777</v>
      </c>
      <c r="I99" t="s">
        <v>114</v>
      </c>
      <c r="J99" t="s">
        <v>776</v>
      </c>
      <c r="K99" t="s">
        <v>778</v>
      </c>
      <c r="L99" t="s">
        <v>111</v>
      </c>
      <c r="M99" t="s">
        <v>111</v>
      </c>
      <c r="N99" t="s">
        <v>111</v>
      </c>
      <c r="O99" t="s">
        <v>111</v>
      </c>
      <c r="P99" t="s">
        <v>392</v>
      </c>
      <c r="Q99" t="s">
        <v>393</v>
      </c>
      <c r="R99" t="s">
        <v>127</v>
      </c>
      <c r="S99" t="s">
        <v>117</v>
      </c>
      <c r="T99" t="s">
        <v>111</v>
      </c>
      <c r="U99">
        <v>5</v>
      </c>
      <c r="V99">
        <v>5</v>
      </c>
      <c r="W99">
        <v>5</v>
      </c>
      <c r="X99">
        <v>5</v>
      </c>
      <c r="Y99">
        <v>5</v>
      </c>
      <c r="Z99">
        <v>5</v>
      </c>
      <c r="AA99">
        <v>5</v>
      </c>
      <c r="AB99">
        <v>5</v>
      </c>
      <c r="AC99">
        <v>4</v>
      </c>
      <c r="AD99">
        <f>IF(#REF! = 3, 1, IF(#REF! = 2.5, 0.5, IF(#REF! = 3.5, 0.5, 0)))</f>
        <v>0</v>
      </c>
      <c r="AE99" t="s">
        <v>130</v>
      </c>
      <c r="AF99">
        <f>IF(#REF!="PM &lt; 2.5 μm", 1, 0)</f>
        <v>0</v>
      </c>
      <c r="AG99" t="s">
        <v>131</v>
      </c>
      <c r="AH99">
        <f>IF(#REF!="Particles of this size are generally absorbed in the respiratory tract and safely excreted in mucus.", 1, 0)</f>
        <v>0</v>
      </c>
      <c r="AI99" t="s">
        <v>142</v>
      </c>
      <c r="AJ99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2</v>
      </c>
      <c r="AK99">
        <v>3</v>
      </c>
      <c r="AL99">
        <v>3</v>
      </c>
      <c r="AM99">
        <v>4</v>
      </c>
      <c r="AN99">
        <v>4</v>
      </c>
      <c r="AO99">
        <v>4</v>
      </c>
      <c r="AP99">
        <v>3</v>
      </c>
      <c r="AQ99">
        <v>10</v>
      </c>
      <c r="AR99" t="s">
        <v>111</v>
      </c>
    </row>
    <row r="100" spans="1:45" x14ac:dyDescent="0.25">
      <c r="A100" t="s">
        <v>800</v>
      </c>
      <c r="B100" t="s">
        <v>801</v>
      </c>
      <c r="C100" t="s">
        <v>42</v>
      </c>
      <c r="D100" t="s">
        <v>802</v>
      </c>
      <c r="E100">
        <v>1</v>
      </c>
      <c r="F100" t="s">
        <v>112</v>
      </c>
      <c r="G100">
        <f>_xlfn.NUMBERVALUE(#REF!)</f>
        <v>322</v>
      </c>
      <c r="H100" t="s">
        <v>357</v>
      </c>
      <c r="I100" t="s">
        <v>114</v>
      </c>
      <c r="J100" t="s">
        <v>803</v>
      </c>
      <c r="K100" t="s">
        <v>804</v>
      </c>
      <c r="L100" t="s">
        <v>111</v>
      </c>
      <c r="M100" t="s">
        <v>111</v>
      </c>
      <c r="N100" t="s">
        <v>111</v>
      </c>
      <c r="O100" t="s">
        <v>111</v>
      </c>
      <c r="P100" t="s">
        <v>712</v>
      </c>
      <c r="Q100" t="s">
        <v>713</v>
      </c>
      <c r="R100" t="s">
        <v>487</v>
      </c>
      <c r="S100" t="s">
        <v>117</v>
      </c>
      <c r="T100" t="s">
        <v>111</v>
      </c>
      <c r="U100">
        <v>4</v>
      </c>
      <c r="V100">
        <v>4</v>
      </c>
      <c r="W100">
        <v>4</v>
      </c>
      <c r="X100">
        <v>4</v>
      </c>
      <c r="Y100">
        <v>3</v>
      </c>
      <c r="Z100">
        <v>3</v>
      </c>
      <c r="AA100">
        <v>5</v>
      </c>
      <c r="AB100">
        <v>3</v>
      </c>
      <c r="AC100">
        <v>4</v>
      </c>
      <c r="AD100">
        <f>IF(#REF! = 3, 1, IF(#REF! = 2.5, 0.5, IF(#REF! = 3.5, 0.5, 0)))</f>
        <v>0</v>
      </c>
      <c r="AE100" t="s">
        <v>525</v>
      </c>
      <c r="AF100">
        <f>IF(#REF!="PM &lt; 2.5 μm", 1, 0)</f>
        <v>0</v>
      </c>
      <c r="AG100" t="s">
        <v>141</v>
      </c>
      <c r="AH100">
        <f>IF(#REF!="Particles of this size are generally absorbed in the respiratory tract and safely excreted in mucus.", 1, 0)</f>
        <v>0</v>
      </c>
      <c r="AI100" t="s">
        <v>167</v>
      </c>
      <c r="AJ100">
        <f>IF(ISNUMBER( SEARCH("Trucks",#REF!)) = TRUE, 1, 0) + IF(ISNUMBER( SEARCH("Cars",#REF!)) = TRUE, 1, 0) + IF(ISNUMBER( SEARCH("Fireplaces",#REF!)) = TRUE, 1, 0) + IF(ISNUMBER( SEARCH("Dirt Roads",#REF!)) = TRUE, 1, 0) - IF(ISNUMBER( SEARCH("Electric Vehicles",#REF!)) = TRUE, 1, 0) - IF(ISNUMBER( SEARCH("Pollen",#REF!)) = TRUE, 1, 0)</f>
        <v>3</v>
      </c>
      <c r="AK100">
        <v>5</v>
      </c>
      <c r="AL100">
        <v>3</v>
      </c>
      <c r="AM100">
        <v>2</v>
      </c>
      <c r="AN100">
        <v>2</v>
      </c>
      <c r="AO100">
        <v>3</v>
      </c>
      <c r="AP100">
        <v>3</v>
      </c>
      <c r="AQ100">
        <v>8</v>
      </c>
      <c r="AR100" t="s">
        <v>805</v>
      </c>
    </row>
    <row r="101" spans="1:45" x14ac:dyDescent="0.25">
      <c r="A101" t="s">
        <v>618</v>
      </c>
      <c r="B101" t="s">
        <v>876</v>
      </c>
      <c r="C101" t="s">
        <v>42</v>
      </c>
      <c r="D101" t="s">
        <v>877</v>
      </c>
      <c r="E101">
        <v>1</v>
      </c>
      <c r="F101" t="s">
        <v>878</v>
      </c>
      <c r="G101">
        <f>_xlfn.NUMBERVALUE(#REF!)</f>
        <v>110</v>
      </c>
      <c r="H101" t="s">
        <v>879</v>
      </c>
      <c r="I101" t="s">
        <v>821</v>
      </c>
      <c r="J101" t="s">
        <v>880</v>
      </c>
      <c r="K101" t="s">
        <v>881</v>
      </c>
      <c r="L101" t="s">
        <v>111</v>
      </c>
      <c r="M101" t="s">
        <v>111</v>
      </c>
      <c r="N101" t="s">
        <v>111</v>
      </c>
      <c r="O101" t="s">
        <v>111</v>
      </c>
      <c r="P101" t="s">
        <v>111</v>
      </c>
      <c r="Q101" t="s">
        <v>111</v>
      </c>
      <c r="R101" t="s">
        <v>487</v>
      </c>
      <c r="S101" t="s">
        <v>117</v>
      </c>
      <c r="T101" t="s">
        <v>111</v>
      </c>
      <c r="U101">
        <v>5</v>
      </c>
      <c r="V101">
        <v>3</v>
      </c>
      <c r="W101">
        <v>2</v>
      </c>
      <c r="X101">
        <v>5</v>
      </c>
      <c r="Y101">
        <v>2</v>
      </c>
      <c r="Z101">
        <v>2</v>
      </c>
      <c r="AA101">
        <v>5</v>
      </c>
      <c r="AB101">
        <v>2</v>
      </c>
      <c r="AC101">
        <v>3.5</v>
      </c>
      <c r="AD101" t="s">
        <v>111</v>
      </c>
      <c r="AE101" t="s">
        <v>130</v>
      </c>
      <c r="AF101" t="s">
        <v>111</v>
      </c>
      <c r="AG101" t="s">
        <v>111</v>
      </c>
      <c r="AH101" t="s">
        <v>111</v>
      </c>
      <c r="AI101" t="s">
        <v>111</v>
      </c>
      <c r="AJ101" t="s">
        <v>111</v>
      </c>
      <c r="AK101" t="s">
        <v>111</v>
      </c>
      <c r="AL101" t="s">
        <v>111</v>
      </c>
      <c r="AM101" t="s">
        <v>111</v>
      </c>
    </row>
    <row r="102" spans="1:45" x14ac:dyDescent="0.25">
      <c r="A102" t="s">
        <v>882</v>
      </c>
      <c r="B102" t="s">
        <v>883</v>
      </c>
      <c r="C102" t="s">
        <v>42</v>
      </c>
      <c r="D102" t="s">
        <v>389</v>
      </c>
      <c r="E102">
        <v>1</v>
      </c>
      <c r="F102" t="s">
        <v>878</v>
      </c>
      <c r="G102">
        <f>_xlfn.NUMBERVALUE(#REF!)</f>
        <v>259</v>
      </c>
      <c r="H102" t="s">
        <v>884</v>
      </c>
      <c r="I102" t="s">
        <v>821</v>
      </c>
      <c r="J102" t="s">
        <v>885</v>
      </c>
      <c r="K102" t="s">
        <v>886</v>
      </c>
      <c r="L102" t="s">
        <v>111</v>
      </c>
      <c r="M102" t="s">
        <v>111</v>
      </c>
      <c r="N102" t="s">
        <v>111</v>
      </c>
      <c r="O102" t="s">
        <v>111</v>
      </c>
      <c r="P102" t="s">
        <v>111</v>
      </c>
      <c r="Q102" t="s">
        <v>111</v>
      </c>
      <c r="R102" t="s">
        <v>127</v>
      </c>
      <c r="S102" t="s">
        <v>117</v>
      </c>
      <c r="T102" t="s">
        <v>250</v>
      </c>
      <c r="U102">
        <v>5</v>
      </c>
      <c r="V102">
        <v>5</v>
      </c>
      <c r="W102">
        <v>5</v>
      </c>
      <c r="X102">
        <v>5</v>
      </c>
      <c r="Y102">
        <v>5</v>
      </c>
      <c r="Z102">
        <v>5</v>
      </c>
      <c r="AA102">
        <v>5</v>
      </c>
      <c r="AB102">
        <v>5</v>
      </c>
      <c r="AC102" t="s">
        <v>111</v>
      </c>
      <c r="AD102" t="s">
        <v>111</v>
      </c>
      <c r="AE102" t="s">
        <v>111</v>
      </c>
      <c r="AF102" t="s">
        <v>111</v>
      </c>
      <c r="AG102" t="s">
        <v>111</v>
      </c>
      <c r="AH102" t="s">
        <v>111</v>
      </c>
      <c r="AI102" t="s">
        <v>111</v>
      </c>
      <c r="AJ102" t="s">
        <v>111</v>
      </c>
      <c r="AK102" t="s">
        <v>111</v>
      </c>
      <c r="AL102" t="s">
        <v>111</v>
      </c>
      <c r="AM102" t="s">
        <v>111</v>
      </c>
    </row>
    <row r="103" spans="1:45" x14ac:dyDescent="0.25">
      <c r="A103" t="s">
        <v>887</v>
      </c>
      <c r="B103" t="s">
        <v>888</v>
      </c>
      <c r="C103" t="s">
        <v>42</v>
      </c>
      <c r="D103" t="s">
        <v>517</v>
      </c>
      <c r="E103">
        <v>1</v>
      </c>
      <c r="F103" t="s">
        <v>878</v>
      </c>
      <c r="G103">
        <f>_xlfn.NUMBERVALUE(#REF!)</f>
        <v>89</v>
      </c>
      <c r="H103" t="s">
        <v>889</v>
      </c>
      <c r="I103" t="s">
        <v>821</v>
      </c>
      <c r="J103" t="s">
        <v>890</v>
      </c>
      <c r="K103" t="s">
        <v>891</v>
      </c>
      <c r="L103" t="s">
        <v>111</v>
      </c>
      <c r="M103" t="s">
        <v>111</v>
      </c>
      <c r="N103" t="s">
        <v>111</v>
      </c>
      <c r="O103" t="s">
        <v>111</v>
      </c>
      <c r="P103" t="s">
        <v>111</v>
      </c>
      <c r="Q103" t="s">
        <v>111</v>
      </c>
      <c r="R103" t="s">
        <v>127</v>
      </c>
      <c r="S103" t="s">
        <v>117</v>
      </c>
      <c r="T103" t="s">
        <v>892</v>
      </c>
      <c r="U103">
        <v>4</v>
      </c>
      <c r="V103">
        <v>2</v>
      </c>
      <c r="W103">
        <v>4</v>
      </c>
      <c r="X103">
        <v>5</v>
      </c>
      <c r="Y103">
        <v>2</v>
      </c>
      <c r="Z103">
        <v>4</v>
      </c>
      <c r="AA103">
        <v>4</v>
      </c>
      <c r="AB103">
        <v>2</v>
      </c>
      <c r="AC103">
        <v>2</v>
      </c>
      <c r="AD103" t="s">
        <v>111</v>
      </c>
      <c r="AE103" t="s">
        <v>130</v>
      </c>
      <c r="AF103" t="s">
        <v>111</v>
      </c>
      <c r="AG103" t="s">
        <v>111</v>
      </c>
      <c r="AH103" t="s">
        <v>111</v>
      </c>
      <c r="AI103" t="s">
        <v>111</v>
      </c>
      <c r="AJ103" t="s">
        <v>111</v>
      </c>
      <c r="AK103" t="s">
        <v>111</v>
      </c>
      <c r="AL103" t="s">
        <v>111</v>
      </c>
      <c r="AM103" t="s">
        <v>111</v>
      </c>
    </row>
    <row r="104" spans="1:45" x14ac:dyDescent="0.25">
      <c r="A104" t="s">
        <v>902</v>
      </c>
      <c r="B104" t="s">
        <v>903</v>
      </c>
      <c r="C104" t="s">
        <v>42</v>
      </c>
      <c r="D104" t="s">
        <v>904</v>
      </c>
      <c r="E104">
        <v>1</v>
      </c>
      <c r="F104" t="s">
        <v>878</v>
      </c>
      <c r="G104">
        <f>_xlfn.NUMBERVALUE(#REF!)</f>
        <v>120</v>
      </c>
      <c r="H104">
        <v>120</v>
      </c>
      <c r="I104" t="s">
        <v>821</v>
      </c>
      <c r="J104" t="s">
        <v>905</v>
      </c>
      <c r="K104" t="s">
        <v>906</v>
      </c>
      <c r="L104" t="s">
        <v>111</v>
      </c>
      <c r="M104" t="s">
        <v>111</v>
      </c>
      <c r="N104" t="s">
        <v>111</v>
      </c>
      <c r="O104" t="s">
        <v>111</v>
      </c>
      <c r="P104" t="s">
        <v>111</v>
      </c>
      <c r="Q104" t="s">
        <v>111</v>
      </c>
      <c r="R104" t="s">
        <v>487</v>
      </c>
      <c r="S104" t="s">
        <v>117</v>
      </c>
      <c r="T104" t="s">
        <v>111</v>
      </c>
      <c r="U104">
        <v>4</v>
      </c>
      <c r="V104">
        <v>5</v>
      </c>
      <c r="W104">
        <v>5</v>
      </c>
      <c r="X104">
        <v>5</v>
      </c>
      <c r="Y104">
        <v>5</v>
      </c>
      <c r="Z104">
        <v>5</v>
      </c>
      <c r="AA104">
        <v>5</v>
      </c>
      <c r="AB104">
        <v>3</v>
      </c>
      <c r="AC104">
        <v>5</v>
      </c>
      <c r="AE104" t="s">
        <v>154</v>
      </c>
      <c r="AF104" t="s">
        <v>111</v>
      </c>
      <c r="AG104" t="s">
        <v>111</v>
      </c>
      <c r="AH104" t="s">
        <v>111</v>
      </c>
      <c r="AI104" t="s">
        <v>111</v>
      </c>
      <c r="AJ104" t="s">
        <v>111</v>
      </c>
      <c r="AK104" t="s">
        <v>111</v>
      </c>
      <c r="AL104" t="s">
        <v>111</v>
      </c>
      <c r="AM104" t="s">
        <v>111</v>
      </c>
      <c r="AN104" t="s">
        <v>111</v>
      </c>
    </row>
    <row r="105" spans="1:45" x14ac:dyDescent="0.25">
      <c r="A105" t="s">
        <v>996</v>
      </c>
      <c r="B105" t="s">
        <v>1051</v>
      </c>
      <c r="C105" t="s">
        <v>42</v>
      </c>
      <c r="D105" t="s">
        <v>389</v>
      </c>
      <c r="E105">
        <v>2</v>
      </c>
      <c r="F105">
        <v>100</v>
      </c>
      <c r="G105">
        <v>658</v>
      </c>
      <c r="H105">
        <f>_xlfn.NUMBERVALUE(G105)</f>
        <v>658</v>
      </c>
      <c r="I105" t="s">
        <v>114</v>
      </c>
      <c r="J105" t="s">
        <v>1052</v>
      </c>
      <c r="K105" t="s">
        <v>1053</v>
      </c>
      <c r="L105" t="s">
        <v>111</v>
      </c>
      <c r="M105" t="s">
        <v>111</v>
      </c>
      <c r="N105" t="s">
        <v>111</v>
      </c>
      <c r="O105" t="s">
        <v>111</v>
      </c>
      <c r="P105" t="s">
        <v>392</v>
      </c>
      <c r="Q105" t="str">
        <f>IF(COUNTIF($Q$5:$Q$72, P105)=1, "Unique", "")</f>
        <v/>
      </c>
      <c r="R105" t="s">
        <v>393</v>
      </c>
      <c r="S105" t="s">
        <v>487</v>
      </c>
      <c r="T105" t="s">
        <v>461</v>
      </c>
      <c r="U105">
        <v>5</v>
      </c>
      <c r="V105">
        <v>5</v>
      </c>
      <c r="W105">
        <v>5</v>
      </c>
      <c r="X105">
        <v>5</v>
      </c>
      <c r="Y105">
        <v>5</v>
      </c>
      <c r="Z105">
        <v>5</v>
      </c>
      <c r="AA105">
        <v>5</v>
      </c>
      <c r="AB105">
        <v>5</v>
      </c>
      <c r="AC105">
        <v>3</v>
      </c>
      <c r="AD105">
        <f t="shared" ref="AD105:AD168" si="0">IF(AC105 = 3, 1, IF(AC105 = 2.5, 0.5, IF(AC105 = 3.5, 0.5, 0)))</f>
        <v>1</v>
      </c>
      <c r="AE105" t="s">
        <v>154</v>
      </c>
      <c r="AF105">
        <f t="shared" ref="AF105:AF168" si="1">IF(AE105="PM &lt; 2.5 μm", 1, 0)</f>
        <v>0</v>
      </c>
      <c r="AG105" t="s">
        <v>175</v>
      </c>
      <c r="AH105">
        <f t="shared" ref="AH105:AH168" si="2">IF(AG105="Particles of this size are generally absorbed in the respiratory tract and safely excreted in mucus.", 1, 0)</f>
        <v>1</v>
      </c>
      <c r="AI105" t="s">
        <v>142</v>
      </c>
      <c r="AJ105">
        <f t="shared" ref="AJ105:AJ168" si="3">IF(ISNUMBER(SEARCH("Trucks", AI105)) = TRUE, 1, 0) + IF(ISNUMBER(SEARCH("Cars", AI105)) = TRUE, 1, 0) + IF(ISNUMBER(SEARCH("Fireplaces",AI105)) = TRUE, 1, 0) + IF(ISNUMBER(SEARCH("Dirt Roads", AI105)) = TRUE, 1, 0) - IF(ISNUMBER(SEARCH("Electric Vehicles",AI105)) = TRUE, 1, 0) - IF(ISNUMBER(SEARCH("Pollen",AI105)) = TRUE, 1, 0)</f>
        <v>2</v>
      </c>
      <c r="AK105">
        <v>2</v>
      </c>
      <c r="AL105">
        <v>1</v>
      </c>
      <c r="AM105">
        <v>3</v>
      </c>
      <c r="AN105">
        <v>2</v>
      </c>
      <c r="AO105">
        <v>3</v>
      </c>
      <c r="AP105">
        <v>2</v>
      </c>
      <c r="AQ105">
        <v>10</v>
      </c>
      <c r="AR105" t="s">
        <v>1054</v>
      </c>
      <c r="AS105" t="s">
        <v>1340</v>
      </c>
    </row>
    <row r="106" spans="1:45" x14ac:dyDescent="0.25">
      <c r="A106" t="s">
        <v>1127</v>
      </c>
      <c r="B106" t="s">
        <v>1128</v>
      </c>
      <c r="C106" t="s">
        <v>42</v>
      </c>
      <c r="D106" t="s">
        <v>517</v>
      </c>
      <c r="E106">
        <v>2</v>
      </c>
      <c r="F106">
        <v>100</v>
      </c>
      <c r="G106">
        <v>81</v>
      </c>
      <c r="H106">
        <f t="shared" ref="H106:H169" si="4">_xlfn.NUMBERVALUE(G106)</f>
        <v>81</v>
      </c>
      <c r="I106" t="s">
        <v>114</v>
      </c>
      <c r="J106" t="s">
        <v>1129</v>
      </c>
      <c r="K106" t="s">
        <v>1130</v>
      </c>
      <c r="L106" t="s">
        <v>111</v>
      </c>
      <c r="M106" t="s">
        <v>111</v>
      </c>
      <c r="N106" t="s">
        <v>111</v>
      </c>
      <c r="O106" t="s">
        <v>111</v>
      </c>
      <c r="P106" t="s">
        <v>351</v>
      </c>
      <c r="Q106" t="str">
        <f t="shared" ref="Q106:Q169" si="5">IF(COUNTIF($Q$5:$Q$72, P106)=1, "Unique", "")</f>
        <v/>
      </c>
      <c r="R106" t="s">
        <v>352</v>
      </c>
      <c r="S106" t="s">
        <v>127</v>
      </c>
      <c r="T106" t="s">
        <v>1131</v>
      </c>
      <c r="U106">
        <v>5</v>
      </c>
      <c r="V106">
        <v>5</v>
      </c>
      <c r="W106">
        <v>5</v>
      </c>
      <c r="X106">
        <v>5</v>
      </c>
      <c r="Y106">
        <v>5</v>
      </c>
      <c r="Z106">
        <v>5</v>
      </c>
      <c r="AA106">
        <v>5</v>
      </c>
      <c r="AB106">
        <v>5</v>
      </c>
      <c r="AC106">
        <v>2.5</v>
      </c>
      <c r="AD106">
        <f t="shared" si="0"/>
        <v>0.5</v>
      </c>
      <c r="AE106" t="s">
        <v>154</v>
      </c>
      <c r="AF106">
        <f t="shared" si="1"/>
        <v>0</v>
      </c>
      <c r="AG106" t="s">
        <v>175</v>
      </c>
      <c r="AH106">
        <f t="shared" si="2"/>
        <v>1</v>
      </c>
      <c r="AI106" t="s">
        <v>206</v>
      </c>
      <c r="AJ106">
        <f t="shared" si="3"/>
        <v>2</v>
      </c>
      <c r="AK106">
        <v>5</v>
      </c>
      <c r="AL106">
        <v>5</v>
      </c>
      <c r="AM106">
        <v>5</v>
      </c>
      <c r="AN106">
        <v>5</v>
      </c>
      <c r="AO106">
        <v>5</v>
      </c>
      <c r="AP106">
        <v>5</v>
      </c>
      <c r="AQ106">
        <v>10</v>
      </c>
    </row>
    <row r="107" spans="1:45" x14ac:dyDescent="0.25">
      <c r="A107" t="s">
        <v>1157</v>
      </c>
      <c r="B107" t="s">
        <v>1158</v>
      </c>
      <c r="C107" t="s">
        <v>42</v>
      </c>
      <c r="D107" t="s">
        <v>389</v>
      </c>
      <c r="E107">
        <v>2</v>
      </c>
      <c r="F107">
        <v>100</v>
      </c>
      <c r="G107">
        <v>146</v>
      </c>
      <c r="H107">
        <f t="shared" si="4"/>
        <v>146</v>
      </c>
      <c r="I107" t="s">
        <v>114</v>
      </c>
      <c r="J107" t="s">
        <v>1158</v>
      </c>
      <c r="K107" t="s">
        <v>1159</v>
      </c>
      <c r="L107" t="s">
        <v>111</v>
      </c>
      <c r="M107" t="s">
        <v>111</v>
      </c>
      <c r="N107" t="s">
        <v>111</v>
      </c>
      <c r="O107" t="s">
        <v>111</v>
      </c>
      <c r="P107" t="s">
        <v>392</v>
      </c>
      <c r="Q107" t="str">
        <f t="shared" si="5"/>
        <v/>
      </c>
      <c r="R107" t="s">
        <v>393</v>
      </c>
      <c r="S107" t="s">
        <v>127</v>
      </c>
      <c r="T107" t="s">
        <v>569</v>
      </c>
      <c r="U107">
        <v>5</v>
      </c>
      <c r="V107">
        <v>5</v>
      </c>
      <c r="W107">
        <v>5</v>
      </c>
      <c r="X107">
        <v>5</v>
      </c>
      <c r="Y107">
        <v>5</v>
      </c>
      <c r="Z107">
        <v>5</v>
      </c>
      <c r="AA107">
        <v>5</v>
      </c>
      <c r="AB107">
        <v>3</v>
      </c>
      <c r="AC107">
        <v>3</v>
      </c>
      <c r="AD107">
        <f t="shared" si="0"/>
        <v>1</v>
      </c>
      <c r="AE107" t="s">
        <v>154</v>
      </c>
      <c r="AF107">
        <f t="shared" si="1"/>
        <v>0</v>
      </c>
      <c r="AG107" t="s">
        <v>141</v>
      </c>
      <c r="AH107">
        <f t="shared" si="2"/>
        <v>0</v>
      </c>
      <c r="AI107" t="s">
        <v>206</v>
      </c>
      <c r="AJ107">
        <f t="shared" si="3"/>
        <v>2</v>
      </c>
      <c r="AK107">
        <v>5</v>
      </c>
      <c r="AL107">
        <v>3</v>
      </c>
      <c r="AM107">
        <v>4</v>
      </c>
      <c r="AN107">
        <v>4</v>
      </c>
      <c r="AO107">
        <v>4</v>
      </c>
      <c r="AP107">
        <v>5</v>
      </c>
      <c r="AQ107">
        <v>9</v>
      </c>
      <c r="AR107" t="s">
        <v>111</v>
      </c>
    </row>
    <row r="108" spans="1:45" x14ac:dyDescent="0.25">
      <c r="A108" t="s">
        <v>1189</v>
      </c>
      <c r="B108" t="s">
        <v>1190</v>
      </c>
      <c r="C108" t="s">
        <v>42</v>
      </c>
      <c r="D108" t="s">
        <v>837</v>
      </c>
      <c r="E108">
        <v>2</v>
      </c>
      <c r="F108">
        <v>100</v>
      </c>
      <c r="G108">
        <v>108</v>
      </c>
      <c r="H108">
        <f t="shared" si="4"/>
        <v>108</v>
      </c>
      <c r="I108" t="s">
        <v>114</v>
      </c>
      <c r="J108" t="s">
        <v>1191</v>
      </c>
      <c r="K108" t="s">
        <v>1192</v>
      </c>
      <c r="L108" t="s">
        <v>111</v>
      </c>
      <c r="M108" t="s">
        <v>111</v>
      </c>
      <c r="N108" t="s">
        <v>111</v>
      </c>
      <c r="O108" t="s">
        <v>111</v>
      </c>
      <c r="P108" t="s">
        <v>1168</v>
      </c>
      <c r="Q108" t="str">
        <f t="shared" si="5"/>
        <v/>
      </c>
      <c r="R108" t="s">
        <v>1169</v>
      </c>
      <c r="S108" t="s">
        <v>127</v>
      </c>
      <c r="T108" t="s">
        <v>583</v>
      </c>
      <c r="U108">
        <v>4</v>
      </c>
      <c r="V108">
        <v>3</v>
      </c>
      <c r="W108">
        <v>3</v>
      </c>
      <c r="X108">
        <v>5</v>
      </c>
      <c r="Y108">
        <v>4</v>
      </c>
      <c r="Z108">
        <v>4</v>
      </c>
      <c r="AA108">
        <v>5</v>
      </c>
      <c r="AB108">
        <v>3</v>
      </c>
      <c r="AC108">
        <v>4</v>
      </c>
      <c r="AD108">
        <f t="shared" si="0"/>
        <v>0</v>
      </c>
      <c r="AE108" t="s">
        <v>140</v>
      </c>
      <c r="AF108">
        <f t="shared" si="1"/>
        <v>1</v>
      </c>
      <c r="AG108" t="s">
        <v>141</v>
      </c>
      <c r="AH108">
        <f t="shared" si="2"/>
        <v>0</v>
      </c>
      <c r="AI108" t="s">
        <v>186</v>
      </c>
      <c r="AJ108">
        <f t="shared" si="3"/>
        <v>3</v>
      </c>
      <c r="AK108">
        <v>5</v>
      </c>
      <c r="AL108">
        <v>3</v>
      </c>
      <c r="AM108">
        <v>5</v>
      </c>
      <c r="AN108">
        <v>4</v>
      </c>
      <c r="AO108">
        <v>5</v>
      </c>
      <c r="AP108">
        <v>4</v>
      </c>
      <c r="AQ108">
        <v>8</v>
      </c>
      <c r="AR108" t="s">
        <v>111</v>
      </c>
    </row>
    <row r="109" spans="1:45" x14ac:dyDescent="0.25">
      <c r="A109" t="s">
        <v>1205</v>
      </c>
      <c r="B109" t="s">
        <v>1206</v>
      </c>
      <c r="C109" t="s">
        <v>42</v>
      </c>
      <c r="D109" t="s">
        <v>1207</v>
      </c>
      <c r="E109">
        <v>2</v>
      </c>
      <c r="F109">
        <v>100</v>
      </c>
      <c r="G109">
        <v>203</v>
      </c>
      <c r="H109">
        <f t="shared" si="4"/>
        <v>203</v>
      </c>
      <c r="I109" t="s">
        <v>114</v>
      </c>
      <c r="J109" t="s">
        <v>1208</v>
      </c>
      <c r="K109" t="s">
        <v>1209</v>
      </c>
      <c r="L109" t="s">
        <v>111</v>
      </c>
      <c r="M109" t="s">
        <v>111</v>
      </c>
      <c r="N109" t="s">
        <v>111</v>
      </c>
      <c r="O109" t="s">
        <v>111</v>
      </c>
      <c r="P109" t="s">
        <v>351</v>
      </c>
      <c r="Q109" t="str">
        <f t="shared" si="5"/>
        <v/>
      </c>
      <c r="R109" t="s">
        <v>352</v>
      </c>
      <c r="S109" t="s">
        <v>127</v>
      </c>
      <c r="T109" t="s">
        <v>538</v>
      </c>
      <c r="U109">
        <v>4</v>
      </c>
      <c r="V109">
        <v>2</v>
      </c>
      <c r="W109">
        <v>4</v>
      </c>
      <c r="X109">
        <v>5</v>
      </c>
      <c r="Y109">
        <v>3</v>
      </c>
      <c r="Z109">
        <v>3</v>
      </c>
      <c r="AA109">
        <v>5</v>
      </c>
      <c r="AB109">
        <v>2</v>
      </c>
      <c r="AC109">
        <v>3.5</v>
      </c>
      <c r="AD109">
        <f t="shared" si="0"/>
        <v>0.5</v>
      </c>
      <c r="AE109" t="s">
        <v>154</v>
      </c>
      <c r="AF109">
        <f t="shared" si="1"/>
        <v>0</v>
      </c>
      <c r="AG109" t="s">
        <v>141</v>
      </c>
      <c r="AH109">
        <f t="shared" si="2"/>
        <v>0</v>
      </c>
      <c r="AI109" t="s">
        <v>156</v>
      </c>
      <c r="AJ109">
        <f t="shared" si="3"/>
        <v>4</v>
      </c>
      <c r="AK109">
        <v>3</v>
      </c>
      <c r="AL109">
        <v>1</v>
      </c>
      <c r="AM109">
        <v>2</v>
      </c>
      <c r="AN109">
        <v>2</v>
      </c>
      <c r="AO109">
        <v>1</v>
      </c>
      <c r="AP109">
        <v>4</v>
      </c>
      <c r="AQ109">
        <v>8</v>
      </c>
      <c r="AR109" t="s">
        <v>1210</v>
      </c>
    </row>
    <row r="110" spans="1:45" x14ac:dyDescent="0.25">
      <c r="A110" t="s">
        <v>1238</v>
      </c>
      <c r="B110" t="s">
        <v>1239</v>
      </c>
      <c r="C110" t="s">
        <v>42</v>
      </c>
      <c r="D110" t="s">
        <v>1240</v>
      </c>
      <c r="E110">
        <v>2</v>
      </c>
      <c r="F110">
        <v>100</v>
      </c>
      <c r="G110">
        <v>72</v>
      </c>
      <c r="H110">
        <f t="shared" si="4"/>
        <v>72</v>
      </c>
      <c r="I110" t="s">
        <v>114</v>
      </c>
      <c r="J110" t="s">
        <v>1239</v>
      </c>
      <c r="K110" t="s">
        <v>1241</v>
      </c>
      <c r="L110" t="s">
        <v>111</v>
      </c>
      <c r="M110" t="s">
        <v>111</v>
      </c>
      <c r="N110" t="s">
        <v>111</v>
      </c>
      <c r="O110" t="s">
        <v>111</v>
      </c>
      <c r="P110" t="s">
        <v>656</v>
      </c>
      <c r="Q110" t="str">
        <f t="shared" si="5"/>
        <v/>
      </c>
      <c r="R110" t="s">
        <v>657</v>
      </c>
      <c r="S110" t="s">
        <v>127</v>
      </c>
      <c r="T110" t="s">
        <v>664</v>
      </c>
      <c r="U110">
        <v>5</v>
      </c>
      <c r="V110">
        <v>4</v>
      </c>
      <c r="W110">
        <v>5</v>
      </c>
      <c r="X110">
        <v>5</v>
      </c>
      <c r="Y110">
        <v>4</v>
      </c>
      <c r="Z110">
        <v>4</v>
      </c>
      <c r="AA110">
        <v>5</v>
      </c>
      <c r="AB110">
        <v>3</v>
      </c>
      <c r="AC110">
        <v>3</v>
      </c>
      <c r="AD110">
        <f t="shared" si="0"/>
        <v>1</v>
      </c>
      <c r="AE110" t="s">
        <v>140</v>
      </c>
      <c r="AF110">
        <f t="shared" si="1"/>
        <v>1</v>
      </c>
      <c r="AG110" t="s">
        <v>175</v>
      </c>
      <c r="AH110">
        <f t="shared" si="2"/>
        <v>1</v>
      </c>
      <c r="AI110" t="s">
        <v>142</v>
      </c>
      <c r="AJ110">
        <f t="shared" si="3"/>
        <v>2</v>
      </c>
      <c r="AK110">
        <v>4</v>
      </c>
      <c r="AL110">
        <v>4</v>
      </c>
      <c r="AM110">
        <v>4</v>
      </c>
      <c r="AN110">
        <v>4</v>
      </c>
      <c r="AO110">
        <v>5</v>
      </c>
      <c r="AP110">
        <v>5</v>
      </c>
      <c r="AQ110">
        <v>10</v>
      </c>
      <c r="AR110" t="s">
        <v>111</v>
      </c>
    </row>
    <row r="111" spans="1:45" x14ac:dyDescent="0.25">
      <c r="A111" t="s">
        <v>1234</v>
      </c>
      <c r="B111" t="s">
        <v>1235</v>
      </c>
      <c r="C111" t="s">
        <v>42</v>
      </c>
      <c r="D111" t="s">
        <v>389</v>
      </c>
      <c r="E111">
        <v>2</v>
      </c>
      <c r="F111">
        <v>100</v>
      </c>
      <c r="G111">
        <v>581</v>
      </c>
      <c r="H111">
        <f t="shared" si="4"/>
        <v>581</v>
      </c>
      <c r="I111" t="s">
        <v>114</v>
      </c>
      <c r="J111" t="s">
        <v>1235</v>
      </c>
      <c r="K111" t="s">
        <v>1236</v>
      </c>
      <c r="L111" t="s">
        <v>111</v>
      </c>
      <c r="M111" t="s">
        <v>111</v>
      </c>
      <c r="N111" t="s">
        <v>111</v>
      </c>
      <c r="O111" t="s">
        <v>111</v>
      </c>
      <c r="P111" t="s">
        <v>392</v>
      </c>
      <c r="Q111" t="str">
        <f t="shared" si="5"/>
        <v/>
      </c>
      <c r="R111" t="s">
        <v>393</v>
      </c>
      <c r="S111" t="s">
        <v>127</v>
      </c>
      <c r="T111" t="s">
        <v>1237</v>
      </c>
      <c r="U111">
        <v>5</v>
      </c>
      <c r="V111">
        <v>3</v>
      </c>
      <c r="W111">
        <v>5</v>
      </c>
      <c r="X111">
        <v>5</v>
      </c>
      <c r="Y111">
        <v>3</v>
      </c>
      <c r="Z111">
        <v>4</v>
      </c>
      <c r="AA111">
        <v>4</v>
      </c>
      <c r="AB111">
        <v>3</v>
      </c>
      <c r="AC111">
        <v>3</v>
      </c>
      <c r="AD111">
        <f t="shared" si="0"/>
        <v>1</v>
      </c>
      <c r="AE111" t="s">
        <v>140</v>
      </c>
      <c r="AF111">
        <f t="shared" si="1"/>
        <v>1</v>
      </c>
      <c r="AG111" t="s">
        <v>155</v>
      </c>
      <c r="AH111">
        <f t="shared" si="2"/>
        <v>0</v>
      </c>
      <c r="AI111" t="s">
        <v>610</v>
      </c>
      <c r="AJ111">
        <f t="shared" si="3"/>
        <v>2</v>
      </c>
      <c r="AK111">
        <v>3</v>
      </c>
      <c r="AL111">
        <v>5</v>
      </c>
      <c r="AM111">
        <v>3</v>
      </c>
      <c r="AN111">
        <v>4</v>
      </c>
      <c r="AO111">
        <v>4</v>
      </c>
      <c r="AP111">
        <v>3</v>
      </c>
      <c r="AQ111">
        <v>10</v>
      </c>
      <c r="AR111" t="s">
        <v>111</v>
      </c>
    </row>
    <row r="112" spans="1:45" x14ac:dyDescent="0.25">
      <c r="A112" t="s">
        <v>1000</v>
      </c>
      <c r="B112" t="s">
        <v>1001</v>
      </c>
      <c r="C112" t="s">
        <v>42</v>
      </c>
      <c r="D112" t="s">
        <v>1002</v>
      </c>
      <c r="E112">
        <v>2</v>
      </c>
      <c r="F112">
        <v>100</v>
      </c>
      <c r="G112">
        <v>54</v>
      </c>
      <c r="H112">
        <f t="shared" si="4"/>
        <v>54</v>
      </c>
      <c r="I112" t="s">
        <v>114</v>
      </c>
      <c r="J112" t="s">
        <v>1001</v>
      </c>
      <c r="K112" t="s">
        <v>1003</v>
      </c>
      <c r="L112" t="s">
        <v>111</v>
      </c>
      <c r="M112" t="s">
        <v>111</v>
      </c>
      <c r="N112" t="s">
        <v>111</v>
      </c>
      <c r="O112" t="s">
        <v>111</v>
      </c>
      <c r="P112" t="s">
        <v>351</v>
      </c>
      <c r="Q112" t="str">
        <f t="shared" si="5"/>
        <v/>
      </c>
      <c r="R112" t="s">
        <v>352</v>
      </c>
      <c r="S112" t="s">
        <v>487</v>
      </c>
      <c r="T112" t="s">
        <v>531</v>
      </c>
      <c r="U112">
        <v>5</v>
      </c>
      <c r="V112">
        <v>5</v>
      </c>
      <c r="W112">
        <v>4</v>
      </c>
      <c r="X112">
        <v>5</v>
      </c>
      <c r="Y112">
        <v>5</v>
      </c>
      <c r="Z112">
        <v>5</v>
      </c>
      <c r="AA112">
        <v>5</v>
      </c>
      <c r="AB112">
        <v>3</v>
      </c>
      <c r="AC112">
        <v>2.5</v>
      </c>
      <c r="AD112">
        <f t="shared" si="0"/>
        <v>0.5</v>
      </c>
      <c r="AE112" t="s">
        <v>140</v>
      </c>
      <c r="AF112">
        <f t="shared" si="1"/>
        <v>1</v>
      </c>
      <c r="AG112" t="s">
        <v>131</v>
      </c>
      <c r="AH112">
        <f t="shared" si="2"/>
        <v>0</v>
      </c>
      <c r="AI112" t="s">
        <v>142</v>
      </c>
      <c r="AJ112">
        <f t="shared" si="3"/>
        <v>2</v>
      </c>
      <c r="AK112">
        <v>4</v>
      </c>
      <c r="AL112">
        <v>4</v>
      </c>
      <c r="AM112">
        <v>4</v>
      </c>
      <c r="AN112">
        <v>3</v>
      </c>
      <c r="AO112">
        <v>3</v>
      </c>
      <c r="AP112">
        <v>4</v>
      </c>
      <c r="AQ112">
        <v>9</v>
      </c>
      <c r="AR112" t="s">
        <v>111</v>
      </c>
    </row>
    <row r="113" spans="1:45" x14ac:dyDescent="0.25">
      <c r="A113" t="s">
        <v>1165</v>
      </c>
      <c r="B113" t="s">
        <v>1166</v>
      </c>
      <c r="C113" t="s">
        <v>42</v>
      </c>
      <c r="D113" t="s">
        <v>837</v>
      </c>
      <c r="E113">
        <v>2</v>
      </c>
      <c r="F113">
        <v>100</v>
      </c>
      <c r="G113">
        <v>76</v>
      </c>
      <c r="H113">
        <f t="shared" si="4"/>
        <v>76</v>
      </c>
      <c r="I113" t="s">
        <v>114</v>
      </c>
      <c r="J113" t="s">
        <v>1166</v>
      </c>
      <c r="K113" t="s">
        <v>1167</v>
      </c>
      <c r="L113" t="s">
        <v>111</v>
      </c>
      <c r="M113" t="s">
        <v>111</v>
      </c>
      <c r="N113" t="s">
        <v>111</v>
      </c>
      <c r="O113" t="s">
        <v>111</v>
      </c>
      <c r="P113" t="s">
        <v>1168</v>
      </c>
      <c r="Q113" t="str">
        <f t="shared" si="5"/>
        <v/>
      </c>
      <c r="R113" t="s">
        <v>1169</v>
      </c>
      <c r="S113" t="s">
        <v>127</v>
      </c>
      <c r="T113" t="s">
        <v>504</v>
      </c>
      <c r="U113">
        <v>4</v>
      </c>
      <c r="V113">
        <v>4</v>
      </c>
      <c r="W113">
        <v>3</v>
      </c>
      <c r="X113">
        <v>5</v>
      </c>
      <c r="Y113">
        <v>3</v>
      </c>
      <c r="Z113">
        <v>4</v>
      </c>
      <c r="AA113">
        <v>5</v>
      </c>
      <c r="AB113">
        <v>3</v>
      </c>
      <c r="AC113">
        <v>4</v>
      </c>
      <c r="AD113">
        <f t="shared" si="0"/>
        <v>0</v>
      </c>
      <c r="AE113" t="s">
        <v>140</v>
      </c>
      <c r="AF113">
        <f t="shared" si="1"/>
        <v>1</v>
      </c>
      <c r="AG113" t="s">
        <v>175</v>
      </c>
      <c r="AH113">
        <f t="shared" si="2"/>
        <v>1</v>
      </c>
      <c r="AI113" t="s">
        <v>167</v>
      </c>
      <c r="AJ113">
        <f t="shared" si="3"/>
        <v>3</v>
      </c>
      <c r="AK113">
        <v>5</v>
      </c>
      <c r="AL113">
        <v>5</v>
      </c>
      <c r="AM113">
        <v>5</v>
      </c>
      <c r="AN113">
        <v>5</v>
      </c>
      <c r="AO113">
        <v>5</v>
      </c>
      <c r="AP113">
        <v>5</v>
      </c>
      <c r="AQ113">
        <v>9</v>
      </c>
      <c r="AR113" t="s">
        <v>111</v>
      </c>
    </row>
    <row r="114" spans="1:45" x14ac:dyDescent="0.25">
      <c r="A114" t="s">
        <v>1160</v>
      </c>
      <c r="B114" t="s">
        <v>1161</v>
      </c>
      <c r="C114" t="s">
        <v>42</v>
      </c>
      <c r="D114" t="s">
        <v>808</v>
      </c>
      <c r="E114">
        <v>2</v>
      </c>
      <c r="F114">
        <v>100</v>
      </c>
      <c r="G114">
        <v>180</v>
      </c>
      <c r="H114">
        <f t="shared" si="4"/>
        <v>180</v>
      </c>
      <c r="I114" t="s">
        <v>114</v>
      </c>
      <c r="J114" t="s">
        <v>1161</v>
      </c>
      <c r="K114" t="s">
        <v>1162</v>
      </c>
      <c r="L114" t="s">
        <v>111</v>
      </c>
      <c r="M114" t="s">
        <v>111</v>
      </c>
      <c r="N114" t="s">
        <v>111</v>
      </c>
      <c r="O114" t="s">
        <v>111</v>
      </c>
      <c r="P114" t="s">
        <v>164</v>
      </c>
      <c r="Q114" t="str">
        <f t="shared" si="5"/>
        <v/>
      </c>
      <c r="R114" t="s">
        <v>165</v>
      </c>
      <c r="S114" t="s">
        <v>487</v>
      </c>
      <c r="T114" t="s">
        <v>1163</v>
      </c>
      <c r="U114">
        <v>5</v>
      </c>
      <c r="V114">
        <v>4</v>
      </c>
      <c r="W114">
        <v>4</v>
      </c>
      <c r="X114">
        <v>4</v>
      </c>
      <c r="Y114">
        <v>2</v>
      </c>
      <c r="Z114">
        <v>3</v>
      </c>
      <c r="AA114">
        <v>5</v>
      </c>
      <c r="AB114">
        <v>3</v>
      </c>
      <c r="AC114">
        <v>3</v>
      </c>
      <c r="AD114">
        <f t="shared" si="0"/>
        <v>1</v>
      </c>
      <c r="AE114" t="s">
        <v>140</v>
      </c>
      <c r="AF114">
        <f t="shared" si="1"/>
        <v>1</v>
      </c>
      <c r="AG114" t="s">
        <v>131</v>
      </c>
      <c r="AH114">
        <f t="shared" si="2"/>
        <v>0</v>
      </c>
      <c r="AI114" t="s">
        <v>450</v>
      </c>
      <c r="AJ114">
        <f t="shared" si="3"/>
        <v>2</v>
      </c>
      <c r="AK114">
        <v>4</v>
      </c>
      <c r="AL114">
        <v>4</v>
      </c>
      <c r="AM114">
        <v>4</v>
      </c>
      <c r="AN114">
        <v>4</v>
      </c>
      <c r="AO114">
        <v>4</v>
      </c>
      <c r="AP114">
        <v>5</v>
      </c>
      <c r="AQ114">
        <v>9</v>
      </c>
      <c r="AR114" t="s">
        <v>1164</v>
      </c>
      <c r="AS114" t="s">
        <v>1339</v>
      </c>
    </row>
    <row r="115" spans="1:45" x14ac:dyDescent="0.25">
      <c r="A115" t="s">
        <v>1023</v>
      </c>
      <c r="B115" t="s">
        <v>1024</v>
      </c>
      <c r="C115" t="s">
        <v>42</v>
      </c>
      <c r="D115" t="s">
        <v>1025</v>
      </c>
      <c r="E115">
        <v>2</v>
      </c>
      <c r="F115">
        <v>100</v>
      </c>
      <c r="G115">
        <v>241</v>
      </c>
      <c r="H115">
        <f t="shared" si="4"/>
        <v>241</v>
      </c>
      <c r="I115" t="s">
        <v>114</v>
      </c>
      <c r="J115" t="s">
        <v>1026</v>
      </c>
      <c r="K115" t="s">
        <v>1027</v>
      </c>
      <c r="L115" t="s">
        <v>111</v>
      </c>
      <c r="M115" t="s">
        <v>111</v>
      </c>
      <c r="N115" t="s">
        <v>111</v>
      </c>
      <c r="O115" t="s">
        <v>111</v>
      </c>
      <c r="P115" t="s">
        <v>1028</v>
      </c>
      <c r="Q115" t="str">
        <f t="shared" si="5"/>
        <v/>
      </c>
      <c r="R115" t="s">
        <v>1029</v>
      </c>
      <c r="S115" t="s">
        <v>487</v>
      </c>
      <c r="T115" t="s">
        <v>1030</v>
      </c>
      <c r="U115">
        <v>4</v>
      </c>
      <c r="V115">
        <v>4</v>
      </c>
      <c r="W115">
        <v>2</v>
      </c>
      <c r="X115">
        <v>4</v>
      </c>
      <c r="Y115">
        <v>2</v>
      </c>
      <c r="Z115">
        <v>2</v>
      </c>
      <c r="AA115">
        <v>5</v>
      </c>
      <c r="AB115">
        <v>2</v>
      </c>
      <c r="AC115">
        <v>4</v>
      </c>
      <c r="AD115">
        <f t="shared" si="0"/>
        <v>0</v>
      </c>
      <c r="AE115" t="s">
        <v>140</v>
      </c>
      <c r="AF115">
        <f t="shared" si="1"/>
        <v>1</v>
      </c>
      <c r="AG115" t="s">
        <v>175</v>
      </c>
      <c r="AH115">
        <f t="shared" si="2"/>
        <v>1</v>
      </c>
      <c r="AI115" t="s">
        <v>156</v>
      </c>
      <c r="AJ115">
        <f t="shared" si="3"/>
        <v>4</v>
      </c>
      <c r="AK115">
        <v>3</v>
      </c>
      <c r="AL115">
        <v>4</v>
      </c>
      <c r="AM115">
        <v>4</v>
      </c>
      <c r="AN115">
        <v>3</v>
      </c>
      <c r="AO115">
        <v>5</v>
      </c>
      <c r="AP115">
        <v>5</v>
      </c>
      <c r="AQ115">
        <v>8</v>
      </c>
      <c r="AR115" t="s">
        <v>1031</v>
      </c>
      <c r="AS115" t="s">
        <v>1335</v>
      </c>
    </row>
    <row r="116" spans="1:45" x14ac:dyDescent="0.25">
      <c r="A116" t="s">
        <v>1062</v>
      </c>
      <c r="B116" t="s">
        <v>1063</v>
      </c>
      <c r="C116" t="s">
        <v>42</v>
      </c>
      <c r="D116" t="s">
        <v>389</v>
      </c>
      <c r="E116">
        <v>2</v>
      </c>
      <c r="F116">
        <v>100</v>
      </c>
      <c r="G116">
        <v>1214</v>
      </c>
      <c r="H116">
        <f t="shared" si="4"/>
        <v>1214</v>
      </c>
      <c r="I116" t="s">
        <v>114</v>
      </c>
      <c r="J116" t="s">
        <v>1063</v>
      </c>
      <c r="K116" t="s">
        <v>1064</v>
      </c>
      <c r="L116" t="s">
        <v>111</v>
      </c>
      <c r="M116" t="s">
        <v>111</v>
      </c>
      <c r="N116" t="s">
        <v>111</v>
      </c>
      <c r="O116" t="s">
        <v>111</v>
      </c>
      <c r="P116" t="s">
        <v>392</v>
      </c>
      <c r="Q116" t="str">
        <f t="shared" si="5"/>
        <v/>
      </c>
      <c r="R116" t="s">
        <v>393</v>
      </c>
      <c r="S116" t="s">
        <v>487</v>
      </c>
      <c r="T116" t="s">
        <v>362</v>
      </c>
      <c r="U116">
        <v>4</v>
      </c>
      <c r="V116">
        <v>4</v>
      </c>
      <c r="W116">
        <v>2</v>
      </c>
      <c r="X116">
        <v>5</v>
      </c>
      <c r="Y116">
        <v>2</v>
      </c>
      <c r="Z116">
        <v>2</v>
      </c>
      <c r="AA116">
        <v>5</v>
      </c>
      <c r="AB116">
        <v>2</v>
      </c>
      <c r="AC116">
        <v>1</v>
      </c>
      <c r="AD116">
        <f t="shared" si="0"/>
        <v>0</v>
      </c>
      <c r="AE116" t="s">
        <v>185</v>
      </c>
      <c r="AF116">
        <f t="shared" si="1"/>
        <v>0</v>
      </c>
      <c r="AG116" t="s">
        <v>175</v>
      </c>
      <c r="AH116">
        <f t="shared" si="2"/>
        <v>1</v>
      </c>
      <c r="AI116" t="s">
        <v>156</v>
      </c>
      <c r="AJ116">
        <f t="shared" si="3"/>
        <v>4</v>
      </c>
      <c r="AK116">
        <v>1</v>
      </c>
      <c r="AL116">
        <v>5</v>
      </c>
      <c r="AM116">
        <v>2</v>
      </c>
      <c r="AN116">
        <v>2</v>
      </c>
      <c r="AO116">
        <v>3</v>
      </c>
      <c r="AP116">
        <v>3</v>
      </c>
      <c r="AQ116">
        <v>10</v>
      </c>
      <c r="AR116" t="s">
        <v>1065</v>
      </c>
      <c r="AS116" t="s">
        <v>1340</v>
      </c>
    </row>
    <row r="117" spans="1:45" x14ac:dyDescent="0.25">
      <c r="A117" t="s">
        <v>1267</v>
      </c>
      <c r="B117" t="s">
        <v>1268</v>
      </c>
      <c r="C117" t="s">
        <v>42</v>
      </c>
      <c r="D117" t="s">
        <v>190</v>
      </c>
      <c r="E117">
        <v>2</v>
      </c>
      <c r="F117">
        <v>100</v>
      </c>
      <c r="G117">
        <v>155</v>
      </c>
      <c r="H117">
        <f t="shared" si="4"/>
        <v>155</v>
      </c>
      <c r="I117" t="s">
        <v>114</v>
      </c>
      <c r="J117" t="s">
        <v>1269</v>
      </c>
      <c r="K117" t="s">
        <v>1270</v>
      </c>
      <c r="L117" t="s">
        <v>111</v>
      </c>
      <c r="M117" t="s">
        <v>111</v>
      </c>
      <c r="N117" t="s">
        <v>111</v>
      </c>
      <c r="O117" t="s">
        <v>111</v>
      </c>
      <c r="P117" t="s">
        <v>193</v>
      </c>
      <c r="Q117" t="str">
        <f t="shared" si="5"/>
        <v/>
      </c>
      <c r="R117" t="s">
        <v>194</v>
      </c>
      <c r="S117" t="s">
        <v>127</v>
      </c>
      <c r="T117" t="s">
        <v>1271</v>
      </c>
      <c r="U117">
        <v>5</v>
      </c>
      <c r="V117">
        <v>5</v>
      </c>
      <c r="W117">
        <v>5</v>
      </c>
      <c r="X117">
        <v>5</v>
      </c>
      <c r="Y117">
        <v>4</v>
      </c>
      <c r="Z117">
        <v>5</v>
      </c>
      <c r="AA117">
        <v>5</v>
      </c>
      <c r="AB117">
        <v>5</v>
      </c>
      <c r="AC117">
        <v>3</v>
      </c>
      <c r="AD117">
        <f t="shared" si="0"/>
        <v>1</v>
      </c>
      <c r="AE117" t="s">
        <v>140</v>
      </c>
      <c r="AF117">
        <f t="shared" si="1"/>
        <v>1</v>
      </c>
      <c r="AG117" t="s">
        <v>175</v>
      </c>
      <c r="AH117">
        <f t="shared" si="2"/>
        <v>1</v>
      </c>
      <c r="AI117" t="s">
        <v>142</v>
      </c>
      <c r="AJ117">
        <f t="shared" si="3"/>
        <v>2</v>
      </c>
      <c r="AK117">
        <v>5</v>
      </c>
      <c r="AL117">
        <v>2</v>
      </c>
      <c r="AM117">
        <v>3</v>
      </c>
      <c r="AN117">
        <v>3</v>
      </c>
      <c r="AO117">
        <v>5</v>
      </c>
      <c r="AP117">
        <v>4</v>
      </c>
      <c r="AQ117">
        <v>9</v>
      </c>
      <c r="AR117" t="s">
        <v>111</v>
      </c>
    </row>
    <row r="118" spans="1:45" x14ac:dyDescent="0.25">
      <c r="A118" t="s">
        <v>1066</v>
      </c>
      <c r="B118" t="s">
        <v>1067</v>
      </c>
      <c r="C118" t="s">
        <v>42</v>
      </c>
      <c r="D118" t="s">
        <v>1068</v>
      </c>
      <c r="E118">
        <v>2</v>
      </c>
      <c r="F118">
        <v>100</v>
      </c>
      <c r="G118">
        <v>1277</v>
      </c>
      <c r="H118">
        <f t="shared" si="4"/>
        <v>1277</v>
      </c>
      <c r="I118" t="s">
        <v>114</v>
      </c>
      <c r="J118" t="s">
        <v>1067</v>
      </c>
      <c r="K118" t="s">
        <v>1069</v>
      </c>
      <c r="L118" t="s">
        <v>111</v>
      </c>
      <c r="M118" t="s">
        <v>111</v>
      </c>
      <c r="N118" t="s">
        <v>111</v>
      </c>
      <c r="O118" t="s">
        <v>111</v>
      </c>
      <c r="P118" t="s">
        <v>656</v>
      </c>
      <c r="Q118" t="str">
        <f t="shared" si="5"/>
        <v/>
      </c>
      <c r="R118" t="s">
        <v>657</v>
      </c>
      <c r="S118" t="s">
        <v>487</v>
      </c>
      <c r="T118" t="s">
        <v>304</v>
      </c>
      <c r="U118">
        <v>5</v>
      </c>
      <c r="V118">
        <v>4</v>
      </c>
      <c r="W118">
        <v>4</v>
      </c>
      <c r="X118">
        <v>4</v>
      </c>
      <c r="Y118">
        <v>3</v>
      </c>
      <c r="Z118">
        <v>3</v>
      </c>
      <c r="AA118">
        <v>4</v>
      </c>
      <c r="AB118">
        <v>3</v>
      </c>
      <c r="AC118">
        <v>4.5</v>
      </c>
      <c r="AD118">
        <f t="shared" si="0"/>
        <v>0</v>
      </c>
      <c r="AE118" t="s">
        <v>154</v>
      </c>
      <c r="AF118">
        <f t="shared" si="1"/>
        <v>0</v>
      </c>
      <c r="AG118" t="s">
        <v>131</v>
      </c>
      <c r="AH118">
        <f t="shared" si="2"/>
        <v>0</v>
      </c>
      <c r="AI118" t="s">
        <v>167</v>
      </c>
      <c r="AJ118">
        <f t="shared" si="3"/>
        <v>3</v>
      </c>
      <c r="AK118">
        <v>4</v>
      </c>
      <c r="AL118">
        <v>3</v>
      </c>
      <c r="AM118">
        <v>3</v>
      </c>
      <c r="AN118">
        <v>3</v>
      </c>
      <c r="AO118">
        <v>4</v>
      </c>
      <c r="AP118">
        <v>3</v>
      </c>
      <c r="AQ118">
        <v>8</v>
      </c>
      <c r="AR118" t="s">
        <v>111</v>
      </c>
    </row>
    <row r="119" spans="1:45" x14ac:dyDescent="0.25">
      <c r="A119" t="s">
        <v>1137</v>
      </c>
      <c r="B119" t="s">
        <v>1138</v>
      </c>
      <c r="C119" t="s">
        <v>42</v>
      </c>
      <c r="D119" t="s">
        <v>826</v>
      </c>
      <c r="E119">
        <v>2</v>
      </c>
      <c r="F119">
        <v>100</v>
      </c>
      <c r="G119">
        <v>184</v>
      </c>
      <c r="H119">
        <f t="shared" si="4"/>
        <v>184</v>
      </c>
      <c r="I119" t="s">
        <v>114</v>
      </c>
      <c r="J119" t="s">
        <v>1139</v>
      </c>
      <c r="K119" t="s">
        <v>1140</v>
      </c>
      <c r="L119" t="s">
        <v>111</v>
      </c>
      <c r="M119" t="s">
        <v>111</v>
      </c>
      <c r="N119" t="s">
        <v>111</v>
      </c>
      <c r="O119" t="s">
        <v>111</v>
      </c>
      <c r="P119" t="s">
        <v>115</v>
      </c>
      <c r="Q119" t="str">
        <f t="shared" si="5"/>
        <v/>
      </c>
      <c r="R119" t="s">
        <v>116</v>
      </c>
      <c r="S119" t="s">
        <v>127</v>
      </c>
      <c r="T119" t="s">
        <v>496</v>
      </c>
      <c r="U119">
        <v>4</v>
      </c>
      <c r="V119">
        <v>5</v>
      </c>
      <c r="W119">
        <v>3</v>
      </c>
      <c r="X119">
        <v>4</v>
      </c>
      <c r="Y119">
        <v>1</v>
      </c>
      <c r="Z119">
        <v>1</v>
      </c>
      <c r="AA119">
        <v>4</v>
      </c>
      <c r="AB119">
        <v>1</v>
      </c>
      <c r="AC119">
        <v>2.5</v>
      </c>
      <c r="AD119">
        <f t="shared" si="0"/>
        <v>0.5</v>
      </c>
      <c r="AE119" t="s">
        <v>140</v>
      </c>
      <c r="AF119">
        <f t="shared" si="1"/>
        <v>1</v>
      </c>
      <c r="AG119" t="s">
        <v>175</v>
      </c>
      <c r="AH119">
        <f t="shared" si="2"/>
        <v>1</v>
      </c>
      <c r="AI119" t="s">
        <v>224</v>
      </c>
      <c r="AJ119">
        <f t="shared" si="3"/>
        <v>1</v>
      </c>
      <c r="AK119">
        <v>4</v>
      </c>
      <c r="AL119">
        <v>3</v>
      </c>
      <c r="AM119">
        <v>3</v>
      </c>
      <c r="AN119">
        <v>2</v>
      </c>
      <c r="AO119">
        <v>3</v>
      </c>
      <c r="AP119">
        <v>5</v>
      </c>
      <c r="AQ119">
        <v>10</v>
      </c>
      <c r="AR119" t="s">
        <v>1141</v>
      </c>
      <c r="AS119" t="s">
        <v>1340</v>
      </c>
    </row>
    <row r="120" spans="1:45" x14ac:dyDescent="0.25">
      <c r="A120" t="s">
        <v>1014</v>
      </c>
      <c r="B120" t="s">
        <v>1011</v>
      </c>
      <c r="C120" t="s">
        <v>42</v>
      </c>
      <c r="D120" t="s">
        <v>1015</v>
      </c>
      <c r="E120">
        <v>2</v>
      </c>
      <c r="F120">
        <v>100</v>
      </c>
      <c r="G120">
        <v>233</v>
      </c>
      <c r="H120">
        <f t="shared" si="4"/>
        <v>233</v>
      </c>
      <c r="I120" t="s">
        <v>114</v>
      </c>
      <c r="J120" t="s">
        <v>1016</v>
      </c>
      <c r="K120" t="s">
        <v>1017</v>
      </c>
      <c r="L120" t="s">
        <v>111</v>
      </c>
      <c r="M120" t="s">
        <v>111</v>
      </c>
      <c r="N120" t="s">
        <v>111</v>
      </c>
      <c r="O120" t="s">
        <v>111</v>
      </c>
      <c r="P120" t="s">
        <v>351</v>
      </c>
      <c r="Q120" t="str">
        <f t="shared" si="5"/>
        <v/>
      </c>
      <c r="R120" t="s">
        <v>352</v>
      </c>
      <c r="S120" t="s">
        <v>487</v>
      </c>
      <c r="T120" t="s">
        <v>1018</v>
      </c>
      <c r="U120">
        <v>3</v>
      </c>
      <c r="V120">
        <v>4</v>
      </c>
      <c r="W120">
        <v>4</v>
      </c>
      <c r="X120">
        <v>5</v>
      </c>
      <c r="AA120">
        <v>5</v>
      </c>
      <c r="AC120">
        <v>4</v>
      </c>
      <c r="AD120">
        <f t="shared" si="0"/>
        <v>0</v>
      </c>
      <c r="AE120" t="s">
        <v>140</v>
      </c>
      <c r="AF120">
        <f t="shared" si="1"/>
        <v>1</v>
      </c>
      <c r="AG120" t="s">
        <v>175</v>
      </c>
      <c r="AH120">
        <f t="shared" si="2"/>
        <v>1</v>
      </c>
      <c r="AI120" t="s">
        <v>1019</v>
      </c>
      <c r="AJ120">
        <f t="shared" si="3"/>
        <v>2</v>
      </c>
      <c r="AK120">
        <v>4</v>
      </c>
      <c r="AL120">
        <v>4</v>
      </c>
      <c r="AM120">
        <v>4</v>
      </c>
      <c r="AN120">
        <v>4</v>
      </c>
      <c r="AO120">
        <v>4</v>
      </c>
      <c r="AP120">
        <v>4</v>
      </c>
      <c r="AQ120">
        <v>6</v>
      </c>
      <c r="AR120" t="s">
        <v>111</v>
      </c>
    </row>
    <row r="121" spans="1:45" x14ac:dyDescent="0.25">
      <c r="A121" t="s">
        <v>1142</v>
      </c>
      <c r="B121" t="s">
        <v>1143</v>
      </c>
      <c r="C121" t="s">
        <v>42</v>
      </c>
      <c r="D121" t="s">
        <v>389</v>
      </c>
      <c r="E121">
        <v>2</v>
      </c>
      <c r="F121">
        <v>100</v>
      </c>
      <c r="G121">
        <v>139</v>
      </c>
      <c r="H121">
        <f t="shared" si="4"/>
        <v>139</v>
      </c>
      <c r="I121" t="s">
        <v>114</v>
      </c>
      <c r="J121" t="s">
        <v>1143</v>
      </c>
      <c r="K121" t="s">
        <v>1144</v>
      </c>
      <c r="L121" t="s">
        <v>111</v>
      </c>
      <c r="M121" t="s">
        <v>111</v>
      </c>
      <c r="N121" t="s">
        <v>111</v>
      </c>
      <c r="O121" t="s">
        <v>111</v>
      </c>
      <c r="P121" t="s">
        <v>392</v>
      </c>
      <c r="Q121" t="str">
        <f t="shared" si="5"/>
        <v/>
      </c>
      <c r="R121" t="s">
        <v>393</v>
      </c>
      <c r="S121" t="s">
        <v>127</v>
      </c>
      <c r="T121" t="s">
        <v>1145</v>
      </c>
      <c r="U121">
        <v>4</v>
      </c>
      <c r="V121">
        <v>5</v>
      </c>
      <c r="W121">
        <v>4</v>
      </c>
      <c r="X121">
        <v>3</v>
      </c>
      <c r="Y121">
        <v>5</v>
      </c>
      <c r="Z121">
        <v>4</v>
      </c>
      <c r="AA121">
        <v>5</v>
      </c>
      <c r="AB121">
        <v>3</v>
      </c>
      <c r="AC121">
        <v>3</v>
      </c>
      <c r="AD121">
        <f t="shared" si="0"/>
        <v>1</v>
      </c>
      <c r="AE121" t="s">
        <v>140</v>
      </c>
      <c r="AF121">
        <f t="shared" si="1"/>
        <v>1</v>
      </c>
      <c r="AG121" t="s">
        <v>175</v>
      </c>
      <c r="AH121">
        <f t="shared" si="2"/>
        <v>1</v>
      </c>
      <c r="AI121" t="s">
        <v>186</v>
      </c>
      <c r="AJ121">
        <f t="shared" si="3"/>
        <v>3</v>
      </c>
      <c r="AK121">
        <v>5</v>
      </c>
      <c r="AL121">
        <v>4</v>
      </c>
      <c r="AM121">
        <v>4</v>
      </c>
      <c r="AN121">
        <v>4</v>
      </c>
      <c r="AO121">
        <v>4</v>
      </c>
      <c r="AP121">
        <v>5</v>
      </c>
      <c r="AQ121">
        <v>10</v>
      </c>
      <c r="AR121" t="s">
        <v>111</v>
      </c>
    </row>
    <row r="122" spans="1:45" x14ac:dyDescent="0.25">
      <c r="A122" t="s">
        <v>1093</v>
      </c>
      <c r="B122" t="s">
        <v>1094</v>
      </c>
      <c r="C122" t="s">
        <v>42</v>
      </c>
      <c r="D122" t="s">
        <v>389</v>
      </c>
      <c r="E122">
        <v>2</v>
      </c>
      <c r="F122">
        <v>100</v>
      </c>
      <c r="G122">
        <v>256</v>
      </c>
      <c r="H122">
        <f t="shared" si="4"/>
        <v>256</v>
      </c>
      <c r="I122" t="s">
        <v>114</v>
      </c>
      <c r="J122" t="s">
        <v>1094</v>
      </c>
      <c r="K122" t="s">
        <v>1095</v>
      </c>
      <c r="L122" t="s">
        <v>111</v>
      </c>
      <c r="M122" t="s">
        <v>111</v>
      </c>
      <c r="N122" t="s">
        <v>111</v>
      </c>
      <c r="O122" t="s">
        <v>111</v>
      </c>
      <c r="P122" t="s">
        <v>392</v>
      </c>
      <c r="Q122" t="str">
        <f t="shared" si="5"/>
        <v/>
      </c>
      <c r="R122" t="s">
        <v>393</v>
      </c>
      <c r="S122" t="s">
        <v>127</v>
      </c>
      <c r="T122" t="s">
        <v>139</v>
      </c>
      <c r="U122">
        <v>5</v>
      </c>
      <c r="V122">
        <v>5</v>
      </c>
      <c r="W122">
        <v>5</v>
      </c>
      <c r="X122">
        <v>5</v>
      </c>
      <c r="Y122">
        <v>4</v>
      </c>
      <c r="Z122">
        <v>4</v>
      </c>
      <c r="AA122">
        <v>5</v>
      </c>
      <c r="AB122">
        <v>4</v>
      </c>
      <c r="AC122">
        <v>3</v>
      </c>
      <c r="AD122">
        <f t="shared" si="0"/>
        <v>1</v>
      </c>
      <c r="AE122" t="s">
        <v>140</v>
      </c>
      <c r="AF122">
        <f t="shared" si="1"/>
        <v>1</v>
      </c>
      <c r="AG122" t="s">
        <v>141</v>
      </c>
      <c r="AH122">
        <f t="shared" si="2"/>
        <v>0</v>
      </c>
      <c r="AI122" t="s">
        <v>280</v>
      </c>
      <c r="AJ122">
        <f t="shared" si="3"/>
        <v>2</v>
      </c>
      <c r="AK122">
        <v>5</v>
      </c>
      <c r="AL122">
        <v>5</v>
      </c>
      <c r="AM122">
        <v>4</v>
      </c>
      <c r="AN122">
        <v>4</v>
      </c>
      <c r="AO122">
        <v>4</v>
      </c>
      <c r="AP122">
        <v>5</v>
      </c>
      <c r="AQ122">
        <v>8</v>
      </c>
      <c r="AR122" t="s">
        <v>1096</v>
      </c>
      <c r="AS122" t="s">
        <v>1328</v>
      </c>
    </row>
    <row r="123" spans="1:45" x14ac:dyDescent="0.25">
      <c r="A123" t="s">
        <v>963</v>
      </c>
      <c r="B123" t="s">
        <v>964</v>
      </c>
      <c r="C123" t="s">
        <v>42</v>
      </c>
      <c r="D123" t="s">
        <v>453</v>
      </c>
      <c r="E123">
        <v>2</v>
      </c>
      <c r="F123">
        <v>100</v>
      </c>
      <c r="G123">
        <v>85</v>
      </c>
      <c r="H123">
        <f t="shared" si="4"/>
        <v>85</v>
      </c>
      <c r="I123" t="s">
        <v>114</v>
      </c>
      <c r="J123" t="s">
        <v>964</v>
      </c>
      <c r="K123" t="s">
        <v>965</v>
      </c>
      <c r="L123" t="s">
        <v>111</v>
      </c>
      <c r="M123" t="s">
        <v>111</v>
      </c>
      <c r="N123" t="s">
        <v>111</v>
      </c>
      <c r="O123" t="s">
        <v>111</v>
      </c>
      <c r="P123" t="s">
        <v>115</v>
      </c>
      <c r="Q123" t="str">
        <f t="shared" si="5"/>
        <v/>
      </c>
      <c r="R123" t="s">
        <v>116</v>
      </c>
      <c r="S123" t="s">
        <v>487</v>
      </c>
      <c r="T123" t="s">
        <v>966</v>
      </c>
      <c r="U123">
        <v>5</v>
      </c>
      <c r="V123">
        <v>4</v>
      </c>
      <c r="W123">
        <v>1</v>
      </c>
      <c r="X123">
        <v>5</v>
      </c>
      <c r="Y123">
        <v>1</v>
      </c>
      <c r="Z123">
        <v>5</v>
      </c>
      <c r="AA123">
        <v>5</v>
      </c>
      <c r="AB123">
        <v>1</v>
      </c>
      <c r="AC123">
        <v>3</v>
      </c>
      <c r="AD123">
        <f t="shared" si="0"/>
        <v>1</v>
      </c>
      <c r="AE123" t="s">
        <v>140</v>
      </c>
      <c r="AF123">
        <f t="shared" si="1"/>
        <v>1</v>
      </c>
      <c r="AG123" t="s">
        <v>175</v>
      </c>
      <c r="AH123">
        <f t="shared" si="2"/>
        <v>1</v>
      </c>
      <c r="AI123" t="s">
        <v>186</v>
      </c>
      <c r="AJ123">
        <f t="shared" si="3"/>
        <v>3</v>
      </c>
      <c r="AK123">
        <v>4</v>
      </c>
      <c r="AL123">
        <v>2</v>
      </c>
      <c r="AM123">
        <v>2</v>
      </c>
      <c r="AN123">
        <v>1</v>
      </c>
      <c r="AO123">
        <v>4</v>
      </c>
      <c r="AP123">
        <v>5</v>
      </c>
      <c r="AQ123">
        <v>9</v>
      </c>
      <c r="AR123" t="s">
        <v>111</v>
      </c>
    </row>
    <row r="124" spans="1:45" x14ac:dyDescent="0.25">
      <c r="A124" t="s">
        <v>1179</v>
      </c>
      <c r="B124" t="s">
        <v>1180</v>
      </c>
      <c r="C124" t="s">
        <v>42</v>
      </c>
      <c r="D124" t="s">
        <v>389</v>
      </c>
      <c r="E124">
        <v>2</v>
      </c>
      <c r="F124">
        <v>100</v>
      </c>
      <c r="G124">
        <v>96</v>
      </c>
      <c r="H124">
        <f t="shared" si="4"/>
        <v>96</v>
      </c>
      <c r="I124" t="s">
        <v>114</v>
      </c>
      <c r="J124" t="s">
        <v>1181</v>
      </c>
      <c r="K124" t="s">
        <v>1182</v>
      </c>
      <c r="L124" t="s">
        <v>111</v>
      </c>
      <c r="M124" t="s">
        <v>111</v>
      </c>
      <c r="N124" t="s">
        <v>111</v>
      </c>
      <c r="O124" t="s">
        <v>111</v>
      </c>
      <c r="P124" t="s">
        <v>392</v>
      </c>
      <c r="Q124" t="str">
        <f t="shared" si="5"/>
        <v/>
      </c>
      <c r="R124" t="s">
        <v>393</v>
      </c>
      <c r="S124" t="s">
        <v>127</v>
      </c>
      <c r="T124" t="s">
        <v>1183</v>
      </c>
      <c r="U124">
        <v>5</v>
      </c>
      <c r="V124">
        <v>4</v>
      </c>
      <c r="W124">
        <v>4</v>
      </c>
      <c r="X124">
        <v>5</v>
      </c>
      <c r="Y124">
        <v>3</v>
      </c>
      <c r="Z124">
        <v>4</v>
      </c>
      <c r="AA124">
        <v>5</v>
      </c>
      <c r="AB124">
        <v>3</v>
      </c>
      <c r="AC124">
        <v>4</v>
      </c>
      <c r="AD124">
        <f t="shared" si="0"/>
        <v>0</v>
      </c>
      <c r="AE124" t="s">
        <v>140</v>
      </c>
      <c r="AF124">
        <f t="shared" si="1"/>
        <v>1</v>
      </c>
      <c r="AG124" t="s">
        <v>175</v>
      </c>
      <c r="AH124">
        <f t="shared" si="2"/>
        <v>1</v>
      </c>
      <c r="AI124" t="s">
        <v>167</v>
      </c>
      <c r="AJ124">
        <f t="shared" si="3"/>
        <v>3</v>
      </c>
      <c r="AK124">
        <v>4</v>
      </c>
      <c r="AL124">
        <v>3</v>
      </c>
      <c r="AM124">
        <v>4</v>
      </c>
      <c r="AN124">
        <v>1</v>
      </c>
      <c r="AO124">
        <v>4</v>
      </c>
      <c r="AP124">
        <v>4</v>
      </c>
      <c r="AQ124">
        <v>9</v>
      </c>
      <c r="AR124" t="s">
        <v>111</v>
      </c>
    </row>
    <row r="125" spans="1:45" x14ac:dyDescent="0.25">
      <c r="A125" t="s">
        <v>1101</v>
      </c>
      <c r="B125" t="s">
        <v>1102</v>
      </c>
      <c r="C125" t="s">
        <v>42</v>
      </c>
      <c r="D125" t="s">
        <v>843</v>
      </c>
      <c r="E125">
        <v>2</v>
      </c>
      <c r="F125">
        <v>100</v>
      </c>
      <c r="G125">
        <v>90</v>
      </c>
      <c r="H125">
        <f t="shared" si="4"/>
        <v>90</v>
      </c>
      <c r="I125" t="s">
        <v>114</v>
      </c>
      <c r="J125" t="s">
        <v>1102</v>
      </c>
      <c r="K125" t="s">
        <v>1103</v>
      </c>
      <c r="L125" t="s">
        <v>111</v>
      </c>
      <c r="M125" t="s">
        <v>111</v>
      </c>
      <c r="N125" t="s">
        <v>111</v>
      </c>
      <c r="O125" t="s">
        <v>111</v>
      </c>
      <c r="P125" t="s">
        <v>229</v>
      </c>
      <c r="Q125" t="str">
        <f t="shared" si="5"/>
        <v/>
      </c>
      <c r="R125" t="s">
        <v>230</v>
      </c>
      <c r="S125" t="s">
        <v>127</v>
      </c>
      <c r="T125" t="s">
        <v>1104</v>
      </c>
      <c r="U125">
        <v>5</v>
      </c>
      <c r="V125">
        <v>5</v>
      </c>
      <c r="W125">
        <v>4</v>
      </c>
      <c r="X125">
        <v>5</v>
      </c>
      <c r="Y125">
        <v>4</v>
      </c>
      <c r="Z125">
        <v>5</v>
      </c>
      <c r="AA125">
        <v>5</v>
      </c>
      <c r="AB125">
        <v>3</v>
      </c>
      <c r="AC125">
        <v>3</v>
      </c>
      <c r="AD125">
        <f t="shared" si="0"/>
        <v>1</v>
      </c>
      <c r="AE125" t="s">
        <v>154</v>
      </c>
      <c r="AF125">
        <f t="shared" si="1"/>
        <v>0</v>
      </c>
      <c r="AG125" t="s">
        <v>131</v>
      </c>
      <c r="AH125">
        <f t="shared" si="2"/>
        <v>0</v>
      </c>
      <c r="AI125" t="s">
        <v>186</v>
      </c>
      <c r="AJ125">
        <f t="shared" si="3"/>
        <v>3</v>
      </c>
      <c r="AK125">
        <v>5</v>
      </c>
      <c r="AL125">
        <v>5</v>
      </c>
      <c r="AM125">
        <v>3</v>
      </c>
      <c r="AN125">
        <v>3</v>
      </c>
      <c r="AO125">
        <v>4</v>
      </c>
      <c r="AP125">
        <v>5</v>
      </c>
      <c r="AQ125">
        <v>9</v>
      </c>
      <c r="AR125" t="s">
        <v>111</v>
      </c>
    </row>
    <row r="126" spans="1:45" x14ac:dyDescent="0.25">
      <c r="A126" t="s">
        <v>1146</v>
      </c>
      <c r="B126" t="s">
        <v>1147</v>
      </c>
      <c r="C126" t="s">
        <v>42</v>
      </c>
      <c r="D126" t="s">
        <v>190</v>
      </c>
      <c r="E126">
        <v>2</v>
      </c>
      <c r="F126">
        <v>100</v>
      </c>
      <c r="G126">
        <v>76</v>
      </c>
      <c r="H126">
        <f t="shared" si="4"/>
        <v>76</v>
      </c>
      <c r="I126" t="s">
        <v>114</v>
      </c>
      <c r="J126" t="s">
        <v>1148</v>
      </c>
      <c r="K126" t="s">
        <v>1149</v>
      </c>
      <c r="L126" t="s">
        <v>111</v>
      </c>
      <c r="M126" t="s">
        <v>111</v>
      </c>
      <c r="N126" t="s">
        <v>111</v>
      </c>
      <c r="O126" t="s">
        <v>111</v>
      </c>
      <c r="P126" t="s">
        <v>193</v>
      </c>
      <c r="Q126" t="str">
        <f t="shared" si="5"/>
        <v/>
      </c>
      <c r="R126" t="s">
        <v>194</v>
      </c>
      <c r="S126" t="s">
        <v>127</v>
      </c>
      <c r="T126" t="s">
        <v>297</v>
      </c>
      <c r="U126">
        <v>4</v>
      </c>
      <c r="V126">
        <v>4</v>
      </c>
      <c r="W126">
        <v>3</v>
      </c>
      <c r="X126">
        <v>3</v>
      </c>
      <c r="Y126">
        <v>2</v>
      </c>
      <c r="Z126">
        <v>3</v>
      </c>
      <c r="AA126">
        <v>4</v>
      </c>
      <c r="AB126">
        <v>2</v>
      </c>
      <c r="AC126">
        <v>4</v>
      </c>
      <c r="AD126">
        <f t="shared" si="0"/>
        <v>0</v>
      </c>
      <c r="AE126" t="s">
        <v>525</v>
      </c>
      <c r="AF126">
        <f t="shared" si="1"/>
        <v>0</v>
      </c>
      <c r="AG126" t="s">
        <v>141</v>
      </c>
      <c r="AH126">
        <f t="shared" si="2"/>
        <v>0</v>
      </c>
      <c r="AI126" t="s">
        <v>280</v>
      </c>
      <c r="AJ126">
        <f t="shared" si="3"/>
        <v>2</v>
      </c>
      <c r="AK126">
        <v>4</v>
      </c>
      <c r="AL126">
        <v>2</v>
      </c>
      <c r="AM126">
        <v>2</v>
      </c>
      <c r="AN126">
        <v>2</v>
      </c>
      <c r="AO126">
        <v>3</v>
      </c>
      <c r="AP126">
        <v>4</v>
      </c>
      <c r="AQ126">
        <v>7</v>
      </c>
      <c r="AR126" t="s">
        <v>111</v>
      </c>
    </row>
    <row r="127" spans="1:45" x14ac:dyDescent="0.25">
      <c r="A127" t="s">
        <v>1193</v>
      </c>
      <c r="B127" t="s">
        <v>1194</v>
      </c>
      <c r="C127" t="s">
        <v>42</v>
      </c>
      <c r="D127" t="s">
        <v>1195</v>
      </c>
      <c r="E127">
        <v>2</v>
      </c>
      <c r="F127">
        <v>100</v>
      </c>
      <c r="G127">
        <v>82</v>
      </c>
      <c r="H127">
        <f t="shared" si="4"/>
        <v>82</v>
      </c>
      <c r="I127" t="s">
        <v>114</v>
      </c>
      <c r="J127" t="s">
        <v>1194</v>
      </c>
      <c r="K127" t="s">
        <v>1196</v>
      </c>
      <c r="L127" t="s">
        <v>111</v>
      </c>
      <c r="M127" t="s">
        <v>111</v>
      </c>
      <c r="N127" t="s">
        <v>111</v>
      </c>
      <c r="O127" t="s">
        <v>111</v>
      </c>
      <c r="P127" t="s">
        <v>214</v>
      </c>
      <c r="Q127" t="str">
        <f t="shared" si="5"/>
        <v/>
      </c>
      <c r="R127" t="s">
        <v>215</v>
      </c>
      <c r="S127" t="s">
        <v>127</v>
      </c>
      <c r="T127" t="s">
        <v>1197</v>
      </c>
      <c r="U127">
        <v>4</v>
      </c>
      <c r="V127">
        <v>4</v>
      </c>
      <c r="W127">
        <v>5</v>
      </c>
      <c r="X127">
        <v>5</v>
      </c>
      <c r="Y127">
        <v>2</v>
      </c>
      <c r="Z127">
        <v>2</v>
      </c>
      <c r="AA127">
        <v>5</v>
      </c>
      <c r="AB127">
        <v>3</v>
      </c>
      <c r="AC127">
        <v>5</v>
      </c>
      <c r="AD127">
        <f t="shared" si="0"/>
        <v>0</v>
      </c>
      <c r="AE127" t="s">
        <v>154</v>
      </c>
      <c r="AF127">
        <f t="shared" si="1"/>
        <v>0</v>
      </c>
      <c r="AG127" t="s">
        <v>155</v>
      </c>
      <c r="AH127">
        <f t="shared" si="2"/>
        <v>0</v>
      </c>
      <c r="AI127" t="s">
        <v>327</v>
      </c>
      <c r="AJ127">
        <f t="shared" si="3"/>
        <v>1</v>
      </c>
      <c r="AK127">
        <v>5</v>
      </c>
      <c r="AL127">
        <v>4</v>
      </c>
      <c r="AM127">
        <v>5</v>
      </c>
      <c r="AN127">
        <v>5</v>
      </c>
      <c r="AO127">
        <v>5</v>
      </c>
      <c r="AP127">
        <v>5</v>
      </c>
      <c r="AQ127">
        <v>9</v>
      </c>
      <c r="AR127" t="s">
        <v>111</v>
      </c>
    </row>
    <row r="128" spans="1:45" x14ac:dyDescent="0.25">
      <c r="A128" t="s">
        <v>1246</v>
      </c>
      <c r="B128" t="s">
        <v>1247</v>
      </c>
      <c r="C128" t="s">
        <v>42</v>
      </c>
      <c r="D128" t="s">
        <v>389</v>
      </c>
      <c r="E128">
        <v>2</v>
      </c>
      <c r="F128">
        <v>100</v>
      </c>
      <c r="G128">
        <v>259</v>
      </c>
      <c r="H128">
        <f t="shared" si="4"/>
        <v>259</v>
      </c>
      <c r="I128" t="s">
        <v>114</v>
      </c>
      <c r="J128" t="s">
        <v>1247</v>
      </c>
      <c r="K128" t="s">
        <v>1248</v>
      </c>
      <c r="L128" t="s">
        <v>111</v>
      </c>
      <c r="M128" t="s">
        <v>111</v>
      </c>
      <c r="N128" t="s">
        <v>111</v>
      </c>
      <c r="O128" t="s">
        <v>111</v>
      </c>
      <c r="P128" t="s">
        <v>392</v>
      </c>
      <c r="Q128" t="str">
        <f t="shared" si="5"/>
        <v/>
      </c>
      <c r="R128" t="s">
        <v>393</v>
      </c>
      <c r="S128" t="s">
        <v>127</v>
      </c>
      <c r="T128" t="s">
        <v>1249</v>
      </c>
      <c r="U128">
        <v>5</v>
      </c>
      <c r="V128">
        <v>5</v>
      </c>
      <c r="W128">
        <v>4</v>
      </c>
      <c r="X128">
        <v>4</v>
      </c>
      <c r="Y128">
        <v>3</v>
      </c>
      <c r="Z128">
        <v>4</v>
      </c>
      <c r="AB128">
        <v>3</v>
      </c>
      <c r="AC128">
        <v>3</v>
      </c>
      <c r="AD128">
        <f t="shared" si="0"/>
        <v>1</v>
      </c>
      <c r="AE128" t="s">
        <v>525</v>
      </c>
      <c r="AF128">
        <f t="shared" si="1"/>
        <v>0</v>
      </c>
      <c r="AG128" t="s">
        <v>111</v>
      </c>
      <c r="AH128">
        <f t="shared" si="2"/>
        <v>0</v>
      </c>
      <c r="AI128" t="s">
        <v>142</v>
      </c>
      <c r="AJ128">
        <f t="shared" si="3"/>
        <v>2</v>
      </c>
      <c r="AK128">
        <v>5</v>
      </c>
      <c r="AL128">
        <v>5</v>
      </c>
      <c r="AM128">
        <v>5</v>
      </c>
      <c r="AN128">
        <v>5</v>
      </c>
      <c r="AO128">
        <v>5</v>
      </c>
      <c r="AP128">
        <v>5</v>
      </c>
      <c r="AQ128">
        <v>10</v>
      </c>
      <c r="AR128" t="s">
        <v>1250</v>
      </c>
      <c r="AS128" t="s">
        <v>1330</v>
      </c>
    </row>
    <row r="129" spans="1:45" x14ac:dyDescent="0.25">
      <c r="A129" t="s">
        <v>1078</v>
      </c>
      <c r="B129" t="s">
        <v>1079</v>
      </c>
      <c r="C129" t="s">
        <v>42</v>
      </c>
      <c r="D129" t="s">
        <v>389</v>
      </c>
      <c r="E129">
        <v>2</v>
      </c>
      <c r="F129">
        <v>100</v>
      </c>
      <c r="G129">
        <v>3436</v>
      </c>
      <c r="H129">
        <f t="shared" si="4"/>
        <v>3436</v>
      </c>
      <c r="I129" t="s">
        <v>114</v>
      </c>
      <c r="J129" t="s">
        <v>1079</v>
      </c>
      <c r="K129" t="s">
        <v>1080</v>
      </c>
      <c r="L129" t="s">
        <v>111</v>
      </c>
      <c r="M129" t="s">
        <v>111</v>
      </c>
      <c r="N129" t="s">
        <v>111</v>
      </c>
      <c r="O129" t="s">
        <v>111</v>
      </c>
      <c r="P129" t="s">
        <v>392</v>
      </c>
      <c r="Q129" t="str">
        <f t="shared" si="5"/>
        <v/>
      </c>
      <c r="R129" t="s">
        <v>393</v>
      </c>
      <c r="S129" t="s">
        <v>487</v>
      </c>
      <c r="T129" t="s">
        <v>748</v>
      </c>
      <c r="U129">
        <v>5</v>
      </c>
      <c r="V129">
        <v>5</v>
      </c>
      <c r="W129">
        <v>5</v>
      </c>
      <c r="X129">
        <v>5</v>
      </c>
      <c r="Y129">
        <v>4</v>
      </c>
      <c r="Z129">
        <v>3</v>
      </c>
      <c r="AA129">
        <v>5</v>
      </c>
      <c r="AB129">
        <v>2</v>
      </c>
      <c r="AC129">
        <v>3</v>
      </c>
      <c r="AD129">
        <f t="shared" si="0"/>
        <v>1</v>
      </c>
      <c r="AE129" t="s">
        <v>140</v>
      </c>
      <c r="AF129">
        <f t="shared" si="1"/>
        <v>1</v>
      </c>
      <c r="AG129" t="s">
        <v>131</v>
      </c>
      <c r="AH129">
        <f t="shared" si="2"/>
        <v>0</v>
      </c>
      <c r="AI129" t="s">
        <v>280</v>
      </c>
      <c r="AJ129">
        <f t="shared" si="3"/>
        <v>2</v>
      </c>
      <c r="AK129">
        <v>4</v>
      </c>
      <c r="AL129">
        <v>4</v>
      </c>
      <c r="AM129">
        <v>2</v>
      </c>
      <c r="AN129">
        <v>3</v>
      </c>
      <c r="AO129">
        <v>5</v>
      </c>
      <c r="AP129">
        <v>4</v>
      </c>
      <c r="AQ129">
        <v>10</v>
      </c>
      <c r="AR129" t="s">
        <v>1081</v>
      </c>
      <c r="AS129" t="s">
        <v>1328</v>
      </c>
    </row>
    <row r="130" spans="1:45" x14ac:dyDescent="0.25">
      <c r="A130" t="s">
        <v>1004</v>
      </c>
      <c r="B130" t="s">
        <v>1005</v>
      </c>
      <c r="C130" t="s">
        <v>42</v>
      </c>
      <c r="D130" t="s">
        <v>1006</v>
      </c>
      <c r="E130">
        <v>2</v>
      </c>
      <c r="F130">
        <v>100</v>
      </c>
      <c r="G130">
        <v>109</v>
      </c>
      <c r="H130">
        <f t="shared" si="4"/>
        <v>109</v>
      </c>
      <c r="I130" t="s">
        <v>114</v>
      </c>
      <c r="J130" t="s">
        <v>1007</v>
      </c>
      <c r="K130" t="s">
        <v>1008</v>
      </c>
      <c r="L130" t="s">
        <v>111</v>
      </c>
      <c r="M130" t="s">
        <v>111</v>
      </c>
      <c r="N130" t="s">
        <v>111</v>
      </c>
      <c r="O130" t="s">
        <v>111</v>
      </c>
      <c r="P130" t="s">
        <v>351</v>
      </c>
      <c r="Q130" t="str">
        <f t="shared" si="5"/>
        <v/>
      </c>
      <c r="R130" t="s">
        <v>352</v>
      </c>
      <c r="S130" t="s">
        <v>487</v>
      </c>
      <c r="T130" t="s">
        <v>319</v>
      </c>
      <c r="U130">
        <v>5</v>
      </c>
      <c r="V130">
        <v>5</v>
      </c>
      <c r="W130">
        <v>4</v>
      </c>
      <c r="X130">
        <v>4</v>
      </c>
      <c r="Y130">
        <v>5</v>
      </c>
      <c r="Z130">
        <v>5</v>
      </c>
      <c r="AA130">
        <v>5</v>
      </c>
      <c r="AB130">
        <v>4</v>
      </c>
      <c r="AC130">
        <v>3</v>
      </c>
      <c r="AD130">
        <f t="shared" si="0"/>
        <v>1</v>
      </c>
      <c r="AE130" t="s">
        <v>140</v>
      </c>
      <c r="AF130">
        <f t="shared" si="1"/>
        <v>1</v>
      </c>
      <c r="AG130" t="s">
        <v>175</v>
      </c>
      <c r="AH130">
        <f t="shared" si="2"/>
        <v>1</v>
      </c>
      <c r="AI130" t="s">
        <v>142</v>
      </c>
      <c r="AJ130">
        <f t="shared" si="3"/>
        <v>2</v>
      </c>
      <c r="AK130">
        <v>2</v>
      </c>
      <c r="AL130">
        <v>3</v>
      </c>
      <c r="AM130">
        <v>2</v>
      </c>
      <c r="AN130">
        <v>1</v>
      </c>
      <c r="AO130">
        <v>2</v>
      </c>
      <c r="AP130">
        <v>3</v>
      </c>
      <c r="AQ130">
        <v>8</v>
      </c>
      <c r="AR130" t="s">
        <v>1009</v>
      </c>
      <c r="AS130" t="s">
        <v>1337</v>
      </c>
    </row>
    <row r="131" spans="1:45" x14ac:dyDescent="0.25">
      <c r="A131" t="s">
        <v>976</v>
      </c>
      <c r="B131" t="s">
        <v>977</v>
      </c>
      <c r="C131" t="s">
        <v>42</v>
      </c>
      <c r="D131" t="s">
        <v>601</v>
      </c>
      <c r="E131">
        <v>2</v>
      </c>
      <c r="F131">
        <v>100</v>
      </c>
      <c r="G131">
        <v>94</v>
      </c>
      <c r="H131">
        <f t="shared" si="4"/>
        <v>94</v>
      </c>
      <c r="I131" t="s">
        <v>114</v>
      </c>
      <c r="J131" t="s">
        <v>977</v>
      </c>
      <c r="K131" t="s">
        <v>978</v>
      </c>
      <c r="L131" t="s">
        <v>111</v>
      </c>
      <c r="M131" t="s">
        <v>111</v>
      </c>
      <c r="N131" t="s">
        <v>111</v>
      </c>
      <c r="O131" t="s">
        <v>111</v>
      </c>
      <c r="P131" t="s">
        <v>351</v>
      </c>
      <c r="Q131" t="str">
        <f t="shared" si="5"/>
        <v/>
      </c>
      <c r="R131" t="s">
        <v>352</v>
      </c>
      <c r="S131" t="s">
        <v>487</v>
      </c>
      <c r="T131" t="s">
        <v>604</v>
      </c>
      <c r="U131">
        <v>5</v>
      </c>
      <c r="V131">
        <v>5</v>
      </c>
      <c r="W131">
        <v>5</v>
      </c>
      <c r="X131">
        <v>5</v>
      </c>
      <c r="Y131">
        <v>5</v>
      </c>
      <c r="Z131">
        <v>5</v>
      </c>
      <c r="AA131">
        <v>5</v>
      </c>
      <c r="AB131">
        <v>2</v>
      </c>
      <c r="AC131">
        <v>5</v>
      </c>
      <c r="AD131">
        <f t="shared" si="0"/>
        <v>0</v>
      </c>
      <c r="AE131" t="s">
        <v>140</v>
      </c>
      <c r="AF131">
        <f t="shared" si="1"/>
        <v>1</v>
      </c>
      <c r="AG131" t="s">
        <v>155</v>
      </c>
      <c r="AH131">
        <f t="shared" si="2"/>
        <v>0</v>
      </c>
      <c r="AI131" t="s">
        <v>167</v>
      </c>
      <c r="AJ131">
        <f t="shared" si="3"/>
        <v>3</v>
      </c>
      <c r="AK131">
        <v>5</v>
      </c>
      <c r="AL131">
        <v>5</v>
      </c>
      <c r="AM131">
        <v>5</v>
      </c>
      <c r="AN131">
        <v>5</v>
      </c>
      <c r="AO131">
        <v>5</v>
      </c>
      <c r="AP131">
        <v>5</v>
      </c>
      <c r="AQ131">
        <v>10</v>
      </c>
      <c r="AR131" t="s">
        <v>979</v>
      </c>
      <c r="AS131" t="s">
        <v>1330</v>
      </c>
    </row>
    <row r="132" spans="1:45" x14ac:dyDescent="0.25">
      <c r="A132" t="s">
        <v>1150</v>
      </c>
      <c r="B132" t="s">
        <v>1151</v>
      </c>
      <c r="C132" t="s">
        <v>42</v>
      </c>
      <c r="D132" t="s">
        <v>1152</v>
      </c>
      <c r="E132">
        <v>2</v>
      </c>
      <c r="F132">
        <v>100</v>
      </c>
      <c r="G132">
        <v>229</v>
      </c>
      <c r="H132">
        <f t="shared" si="4"/>
        <v>229</v>
      </c>
      <c r="I132" t="s">
        <v>114</v>
      </c>
      <c r="J132" t="s">
        <v>1151</v>
      </c>
      <c r="K132" t="s">
        <v>1153</v>
      </c>
      <c r="L132" t="s">
        <v>111</v>
      </c>
      <c r="M132" t="s">
        <v>111</v>
      </c>
      <c r="N132" t="s">
        <v>111</v>
      </c>
      <c r="O132" t="s">
        <v>111</v>
      </c>
      <c r="P132" t="s">
        <v>1154</v>
      </c>
      <c r="Q132" t="str">
        <f t="shared" si="5"/>
        <v/>
      </c>
      <c r="R132" t="s">
        <v>1155</v>
      </c>
      <c r="S132" t="s">
        <v>127</v>
      </c>
      <c r="T132" t="s">
        <v>1156</v>
      </c>
      <c r="U132">
        <v>5</v>
      </c>
      <c r="V132">
        <v>5</v>
      </c>
      <c r="W132">
        <v>5</v>
      </c>
      <c r="X132">
        <v>5</v>
      </c>
      <c r="Y132">
        <v>5</v>
      </c>
      <c r="Z132">
        <v>5</v>
      </c>
      <c r="AA132">
        <v>5</v>
      </c>
      <c r="AB132">
        <v>5</v>
      </c>
      <c r="AC132">
        <v>3</v>
      </c>
      <c r="AD132">
        <f t="shared" si="0"/>
        <v>1</v>
      </c>
      <c r="AE132" t="s">
        <v>140</v>
      </c>
      <c r="AF132">
        <f t="shared" si="1"/>
        <v>1</v>
      </c>
      <c r="AG132" t="s">
        <v>155</v>
      </c>
      <c r="AH132">
        <f t="shared" si="2"/>
        <v>0</v>
      </c>
      <c r="AI132" t="s">
        <v>186</v>
      </c>
      <c r="AJ132">
        <f t="shared" si="3"/>
        <v>3</v>
      </c>
      <c r="AK132">
        <v>5</v>
      </c>
      <c r="AL132">
        <v>3</v>
      </c>
      <c r="AM132">
        <v>5</v>
      </c>
      <c r="AN132">
        <v>4</v>
      </c>
      <c r="AO132">
        <v>5</v>
      </c>
      <c r="AP132">
        <v>5</v>
      </c>
      <c r="AQ132">
        <v>9</v>
      </c>
      <c r="AR132" t="s">
        <v>111</v>
      </c>
    </row>
    <row r="133" spans="1:45" x14ac:dyDescent="0.25">
      <c r="A133" t="s">
        <v>958</v>
      </c>
      <c r="B133" t="s">
        <v>959</v>
      </c>
      <c r="C133" t="s">
        <v>42</v>
      </c>
      <c r="D133" t="s">
        <v>389</v>
      </c>
      <c r="E133">
        <v>2</v>
      </c>
      <c r="F133">
        <v>100</v>
      </c>
      <c r="G133">
        <v>113</v>
      </c>
      <c r="H133">
        <f t="shared" si="4"/>
        <v>113</v>
      </c>
      <c r="I133" t="s">
        <v>114</v>
      </c>
      <c r="J133" t="s">
        <v>960</v>
      </c>
      <c r="K133" t="s">
        <v>961</v>
      </c>
      <c r="L133" t="s">
        <v>111</v>
      </c>
      <c r="M133" t="s">
        <v>111</v>
      </c>
      <c r="N133" t="s">
        <v>111</v>
      </c>
      <c r="O133" t="s">
        <v>111</v>
      </c>
      <c r="P133" t="s">
        <v>392</v>
      </c>
      <c r="Q133" t="str">
        <f t="shared" si="5"/>
        <v/>
      </c>
      <c r="R133" t="s">
        <v>393</v>
      </c>
      <c r="S133" t="s">
        <v>487</v>
      </c>
      <c r="T133" t="s">
        <v>616</v>
      </c>
      <c r="U133">
        <v>3</v>
      </c>
      <c r="V133">
        <v>2</v>
      </c>
      <c r="W133">
        <v>2</v>
      </c>
      <c r="X133">
        <v>4</v>
      </c>
      <c r="Y133">
        <v>1</v>
      </c>
      <c r="Z133">
        <v>4</v>
      </c>
      <c r="AA133">
        <v>5</v>
      </c>
      <c r="AB133">
        <v>1</v>
      </c>
      <c r="AC133">
        <v>3</v>
      </c>
      <c r="AD133">
        <f t="shared" si="0"/>
        <v>1</v>
      </c>
      <c r="AE133" t="s">
        <v>140</v>
      </c>
      <c r="AF133">
        <f t="shared" si="1"/>
        <v>1</v>
      </c>
      <c r="AG133" t="s">
        <v>155</v>
      </c>
      <c r="AH133">
        <f t="shared" si="2"/>
        <v>0</v>
      </c>
      <c r="AI133" t="s">
        <v>167</v>
      </c>
      <c r="AJ133">
        <f t="shared" si="3"/>
        <v>3</v>
      </c>
      <c r="AK133">
        <v>4</v>
      </c>
      <c r="AL133">
        <v>3</v>
      </c>
      <c r="AM133">
        <v>4</v>
      </c>
      <c r="AN133">
        <v>1</v>
      </c>
      <c r="AO133">
        <v>4</v>
      </c>
      <c r="AP133">
        <v>5</v>
      </c>
      <c r="AQ133">
        <v>8</v>
      </c>
      <c r="AR133" t="s">
        <v>962</v>
      </c>
      <c r="AS133" t="s">
        <v>1337</v>
      </c>
    </row>
    <row r="134" spans="1:45" x14ac:dyDescent="0.25">
      <c r="A134" t="s">
        <v>984</v>
      </c>
      <c r="B134" t="s">
        <v>1047</v>
      </c>
      <c r="C134" t="s">
        <v>42</v>
      </c>
      <c r="D134" t="s">
        <v>389</v>
      </c>
      <c r="E134">
        <v>2</v>
      </c>
      <c r="F134">
        <v>100</v>
      </c>
      <c r="G134">
        <v>551</v>
      </c>
      <c r="H134">
        <f t="shared" si="4"/>
        <v>551</v>
      </c>
      <c r="I134" t="s">
        <v>114</v>
      </c>
      <c r="J134" t="s">
        <v>1048</v>
      </c>
      <c r="K134" t="s">
        <v>1049</v>
      </c>
      <c r="L134" t="s">
        <v>111</v>
      </c>
      <c r="M134" t="s">
        <v>111</v>
      </c>
      <c r="N134" t="s">
        <v>111</v>
      </c>
      <c r="O134" t="s">
        <v>111</v>
      </c>
      <c r="P134" t="s">
        <v>392</v>
      </c>
      <c r="Q134" t="str">
        <f t="shared" si="5"/>
        <v/>
      </c>
      <c r="R134" t="s">
        <v>393</v>
      </c>
      <c r="S134" t="s">
        <v>487</v>
      </c>
      <c r="T134" t="s">
        <v>128</v>
      </c>
      <c r="U134">
        <v>4</v>
      </c>
      <c r="V134">
        <v>5</v>
      </c>
      <c r="W134">
        <v>4</v>
      </c>
      <c r="X134">
        <v>5</v>
      </c>
      <c r="Y134">
        <v>3</v>
      </c>
      <c r="Z134">
        <v>3</v>
      </c>
      <c r="AA134">
        <v>5</v>
      </c>
      <c r="AB134">
        <v>2</v>
      </c>
      <c r="AC134">
        <v>3</v>
      </c>
      <c r="AD134">
        <f t="shared" si="0"/>
        <v>1</v>
      </c>
      <c r="AE134" t="s">
        <v>140</v>
      </c>
      <c r="AF134">
        <f t="shared" si="1"/>
        <v>1</v>
      </c>
      <c r="AG134" t="s">
        <v>175</v>
      </c>
      <c r="AH134">
        <f t="shared" si="2"/>
        <v>1</v>
      </c>
      <c r="AI134" t="s">
        <v>402</v>
      </c>
      <c r="AJ134">
        <f t="shared" si="3"/>
        <v>1</v>
      </c>
      <c r="AK134">
        <v>3</v>
      </c>
      <c r="AL134">
        <v>1</v>
      </c>
      <c r="AM134">
        <v>3</v>
      </c>
      <c r="AN134">
        <v>5</v>
      </c>
      <c r="AO134">
        <v>5</v>
      </c>
      <c r="AP134">
        <v>5</v>
      </c>
      <c r="AQ134">
        <v>8</v>
      </c>
      <c r="AR134" t="s">
        <v>1050</v>
      </c>
      <c r="AS134" t="s">
        <v>1342</v>
      </c>
    </row>
    <row r="135" spans="1:45" x14ac:dyDescent="0.25">
      <c r="A135" t="s">
        <v>1014</v>
      </c>
      <c r="B135" t="s">
        <v>1070</v>
      </c>
      <c r="C135" t="s">
        <v>42</v>
      </c>
      <c r="D135" t="s">
        <v>389</v>
      </c>
      <c r="E135">
        <v>2</v>
      </c>
      <c r="F135">
        <v>100</v>
      </c>
      <c r="G135">
        <v>1323</v>
      </c>
      <c r="H135">
        <f t="shared" si="4"/>
        <v>1323</v>
      </c>
      <c r="I135" t="s">
        <v>114</v>
      </c>
      <c r="J135" t="s">
        <v>1071</v>
      </c>
      <c r="K135" t="s">
        <v>1072</v>
      </c>
      <c r="L135" t="s">
        <v>111</v>
      </c>
      <c r="M135" t="s">
        <v>111</v>
      </c>
      <c r="N135" t="s">
        <v>111</v>
      </c>
      <c r="O135" t="s">
        <v>111</v>
      </c>
      <c r="P135" t="s">
        <v>392</v>
      </c>
      <c r="Q135" t="str">
        <f t="shared" si="5"/>
        <v/>
      </c>
      <c r="R135" t="s">
        <v>393</v>
      </c>
      <c r="S135" t="s">
        <v>487</v>
      </c>
      <c r="T135" t="s">
        <v>1073</v>
      </c>
      <c r="U135">
        <v>5</v>
      </c>
      <c r="V135">
        <v>4</v>
      </c>
      <c r="W135">
        <v>5</v>
      </c>
      <c r="X135">
        <v>5</v>
      </c>
      <c r="Y135">
        <v>2</v>
      </c>
      <c r="Z135">
        <v>3</v>
      </c>
      <c r="AA135">
        <v>5</v>
      </c>
      <c r="AB135">
        <v>2</v>
      </c>
      <c r="AC135">
        <v>3</v>
      </c>
      <c r="AD135">
        <f t="shared" si="0"/>
        <v>1</v>
      </c>
      <c r="AE135" t="s">
        <v>140</v>
      </c>
      <c r="AF135">
        <f t="shared" si="1"/>
        <v>1</v>
      </c>
      <c r="AG135" t="s">
        <v>131</v>
      </c>
      <c r="AH135">
        <f t="shared" si="2"/>
        <v>0</v>
      </c>
      <c r="AI135" t="s">
        <v>353</v>
      </c>
      <c r="AJ135">
        <f t="shared" si="3"/>
        <v>3</v>
      </c>
      <c r="AK135">
        <v>5</v>
      </c>
      <c r="AL135">
        <v>5</v>
      </c>
      <c r="AM135">
        <v>3</v>
      </c>
      <c r="AN135">
        <v>3</v>
      </c>
      <c r="AO135">
        <v>3</v>
      </c>
      <c r="AP135">
        <v>3</v>
      </c>
      <c r="AQ135">
        <v>10</v>
      </c>
      <c r="AR135" t="s">
        <v>1074</v>
      </c>
      <c r="AS135" t="s">
        <v>1338</v>
      </c>
    </row>
    <row r="136" spans="1:45" x14ac:dyDescent="0.25">
      <c r="A136" t="s">
        <v>1211</v>
      </c>
      <c r="B136" t="s">
        <v>1212</v>
      </c>
      <c r="C136" t="s">
        <v>42</v>
      </c>
      <c r="D136" t="s">
        <v>389</v>
      </c>
      <c r="E136">
        <v>2</v>
      </c>
      <c r="F136">
        <v>100</v>
      </c>
      <c r="G136">
        <v>375</v>
      </c>
      <c r="H136">
        <f t="shared" si="4"/>
        <v>375</v>
      </c>
      <c r="I136" t="s">
        <v>114</v>
      </c>
      <c r="J136" t="s">
        <v>1212</v>
      </c>
      <c r="K136" t="s">
        <v>1213</v>
      </c>
      <c r="L136" t="s">
        <v>111</v>
      </c>
      <c r="M136" t="s">
        <v>111</v>
      </c>
      <c r="N136" t="s">
        <v>111</v>
      </c>
      <c r="O136" t="s">
        <v>111</v>
      </c>
      <c r="P136" t="s">
        <v>392</v>
      </c>
      <c r="Q136" t="str">
        <f t="shared" si="5"/>
        <v/>
      </c>
      <c r="R136" t="s">
        <v>393</v>
      </c>
      <c r="S136" t="s">
        <v>127</v>
      </c>
      <c r="T136" t="s">
        <v>473</v>
      </c>
      <c r="U136">
        <v>5</v>
      </c>
      <c r="V136">
        <v>3</v>
      </c>
      <c r="W136">
        <v>5</v>
      </c>
      <c r="X136">
        <v>3</v>
      </c>
      <c r="Y136">
        <v>2</v>
      </c>
      <c r="Z136">
        <v>2</v>
      </c>
      <c r="AA136">
        <v>5</v>
      </c>
      <c r="AB136">
        <v>2</v>
      </c>
      <c r="AC136">
        <v>3</v>
      </c>
      <c r="AD136">
        <f t="shared" si="0"/>
        <v>1</v>
      </c>
      <c r="AE136" t="s">
        <v>140</v>
      </c>
      <c r="AF136">
        <f t="shared" si="1"/>
        <v>1</v>
      </c>
      <c r="AG136" t="s">
        <v>141</v>
      </c>
      <c r="AH136">
        <f t="shared" si="2"/>
        <v>0</v>
      </c>
      <c r="AI136" t="s">
        <v>186</v>
      </c>
      <c r="AJ136">
        <f t="shared" si="3"/>
        <v>3</v>
      </c>
      <c r="AK136">
        <v>3</v>
      </c>
      <c r="AL136">
        <v>4</v>
      </c>
      <c r="AM136">
        <v>4</v>
      </c>
      <c r="AN136">
        <v>2</v>
      </c>
      <c r="AO136">
        <v>3</v>
      </c>
      <c r="AP136">
        <v>5</v>
      </c>
      <c r="AQ136">
        <v>8</v>
      </c>
      <c r="AR136" t="s">
        <v>1214</v>
      </c>
      <c r="AS136" t="s">
        <v>1340</v>
      </c>
    </row>
    <row r="137" spans="1:45" x14ac:dyDescent="0.25">
      <c r="A137" t="s">
        <v>1262</v>
      </c>
      <c r="B137" t="s">
        <v>1263</v>
      </c>
      <c r="C137" t="s">
        <v>42</v>
      </c>
      <c r="D137" t="s">
        <v>1264</v>
      </c>
      <c r="E137">
        <v>2</v>
      </c>
      <c r="F137">
        <v>100</v>
      </c>
      <c r="G137">
        <v>68</v>
      </c>
      <c r="H137">
        <f t="shared" si="4"/>
        <v>68</v>
      </c>
      <c r="I137" t="s">
        <v>114</v>
      </c>
      <c r="J137" t="s">
        <v>1265</v>
      </c>
      <c r="K137" t="s">
        <v>1266</v>
      </c>
      <c r="L137" t="s">
        <v>111</v>
      </c>
      <c r="M137" t="s">
        <v>111</v>
      </c>
      <c r="N137" t="s">
        <v>111</v>
      </c>
      <c r="O137" t="s">
        <v>111</v>
      </c>
      <c r="P137" t="s">
        <v>351</v>
      </c>
      <c r="Q137" t="str">
        <f t="shared" si="5"/>
        <v/>
      </c>
      <c r="R137" t="s">
        <v>352</v>
      </c>
      <c r="S137" t="s">
        <v>127</v>
      </c>
      <c r="T137" t="s">
        <v>437</v>
      </c>
      <c r="U137">
        <v>4</v>
      </c>
      <c r="V137">
        <v>5</v>
      </c>
      <c r="W137">
        <v>5</v>
      </c>
      <c r="X137">
        <v>5</v>
      </c>
      <c r="Y137">
        <v>5</v>
      </c>
      <c r="Z137">
        <v>4</v>
      </c>
      <c r="AA137">
        <v>5</v>
      </c>
      <c r="AB137">
        <v>4</v>
      </c>
      <c r="AC137">
        <v>3</v>
      </c>
      <c r="AD137">
        <f t="shared" si="0"/>
        <v>1</v>
      </c>
      <c r="AE137" t="s">
        <v>140</v>
      </c>
      <c r="AF137">
        <f t="shared" si="1"/>
        <v>1</v>
      </c>
      <c r="AG137" t="s">
        <v>175</v>
      </c>
      <c r="AH137">
        <f t="shared" si="2"/>
        <v>1</v>
      </c>
      <c r="AI137" t="s">
        <v>142</v>
      </c>
      <c r="AJ137">
        <f t="shared" si="3"/>
        <v>2</v>
      </c>
      <c r="AK137">
        <v>5</v>
      </c>
      <c r="AL137">
        <v>5</v>
      </c>
      <c r="AM137">
        <v>5</v>
      </c>
      <c r="AN137">
        <v>5</v>
      </c>
      <c r="AO137">
        <v>5</v>
      </c>
      <c r="AP137">
        <v>5</v>
      </c>
      <c r="AQ137">
        <v>10</v>
      </c>
      <c r="AR137" t="s">
        <v>111</v>
      </c>
    </row>
    <row r="138" spans="1:45" x14ac:dyDescent="0.25">
      <c r="A138" t="s">
        <v>1121</v>
      </c>
      <c r="B138" t="s">
        <v>1122</v>
      </c>
      <c r="C138" t="s">
        <v>42</v>
      </c>
      <c r="D138" t="s">
        <v>1123</v>
      </c>
      <c r="E138">
        <v>2</v>
      </c>
      <c r="F138">
        <v>100</v>
      </c>
      <c r="G138">
        <v>858</v>
      </c>
      <c r="H138">
        <f t="shared" si="4"/>
        <v>858</v>
      </c>
      <c r="I138" t="s">
        <v>114</v>
      </c>
      <c r="J138" t="s">
        <v>1124</v>
      </c>
      <c r="K138" t="s">
        <v>1125</v>
      </c>
      <c r="L138" t="s">
        <v>111</v>
      </c>
      <c r="M138" t="s">
        <v>111</v>
      </c>
      <c r="N138" t="s">
        <v>111</v>
      </c>
      <c r="O138" t="s">
        <v>111</v>
      </c>
      <c r="P138" t="s">
        <v>193</v>
      </c>
      <c r="Q138" t="str">
        <f t="shared" si="5"/>
        <v/>
      </c>
      <c r="R138" t="s">
        <v>194</v>
      </c>
      <c r="S138" t="s">
        <v>127</v>
      </c>
      <c r="T138" t="s">
        <v>799</v>
      </c>
      <c r="U138">
        <v>4</v>
      </c>
      <c r="V138">
        <v>3</v>
      </c>
      <c r="W138">
        <v>5</v>
      </c>
      <c r="X138">
        <v>5</v>
      </c>
      <c r="Y138">
        <v>5</v>
      </c>
      <c r="Z138">
        <v>4</v>
      </c>
      <c r="AA138">
        <v>5</v>
      </c>
      <c r="AB138">
        <v>5</v>
      </c>
      <c r="AC138">
        <v>3</v>
      </c>
      <c r="AD138">
        <f t="shared" si="0"/>
        <v>1</v>
      </c>
      <c r="AE138" t="s">
        <v>140</v>
      </c>
      <c r="AF138">
        <f t="shared" si="1"/>
        <v>1</v>
      </c>
      <c r="AG138" t="s">
        <v>175</v>
      </c>
      <c r="AH138">
        <f t="shared" si="2"/>
        <v>1</v>
      </c>
      <c r="AI138" t="s">
        <v>402</v>
      </c>
      <c r="AJ138">
        <f t="shared" si="3"/>
        <v>1</v>
      </c>
      <c r="AK138">
        <v>1</v>
      </c>
      <c r="AM138">
        <v>1</v>
      </c>
      <c r="AN138">
        <v>1</v>
      </c>
      <c r="AO138">
        <v>1</v>
      </c>
      <c r="AP138">
        <v>2</v>
      </c>
      <c r="AQ138">
        <v>7</v>
      </c>
      <c r="AR138" t="s">
        <v>1126</v>
      </c>
      <c r="AS138" t="s">
        <v>1331</v>
      </c>
    </row>
    <row r="139" spans="1:45" x14ac:dyDescent="0.25">
      <c r="A139" t="s">
        <v>1272</v>
      </c>
      <c r="B139" t="s">
        <v>1273</v>
      </c>
      <c r="C139" t="s">
        <v>42</v>
      </c>
      <c r="D139" t="s">
        <v>284</v>
      </c>
      <c r="E139">
        <v>2</v>
      </c>
      <c r="F139">
        <v>100</v>
      </c>
      <c r="G139">
        <v>341</v>
      </c>
      <c r="H139">
        <f t="shared" si="4"/>
        <v>341</v>
      </c>
      <c r="I139" t="s">
        <v>114</v>
      </c>
      <c r="J139" t="s">
        <v>1273</v>
      </c>
      <c r="K139" t="s">
        <v>1274</v>
      </c>
      <c r="L139" t="s">
        <v>111</v>
      </c>
      <c r="M139" t="s">
        <v>111</v>
      </c>
      <c r="N139" t="s">
        <v>111</v>
      </c>
      <c r="O139" t="s">
        <v>111</v>
      </c>
      <c r="P139" t="s">
        <v>288</v>
      </c>
      <c r="Q139" t="str">
        <f t="shared" si="5"/>
        <v/>
      </c>
      <c r="R139" t="s">
        <v>289</v>
      </c>
      <c r="S139" t="s">
        <v>127</v>
      </c>
      <c r="T139" t="s">
        <v>1275</v>
      </c>
      <c r="U139">
        <v>5</v>
      </c>
      <c r="V139">
        <v>4</v>
      </c>
      <c r="W139">
        <v>3</v>
      </c>
      <c r="X139">
        <v>5</v>
      </c>
      <c r="Y139">
        <v>4</v>
      </c>
      <c r="Z139">
        <v>3</v>
      </c>
      <c r="AA139">
        <v>5</v>
      </c>
      <c r="AB139">
        <v>2</v>
      </c>
      <c r="AC139">
        <v>3</v>
      </c>
      <c r="AD139">
        <f t="shared" si="0"/>
        <v>1</v>
      </c>
      <c r="AE139" t="s">
        <v>140</v>
      </c>
      <c r="AF139">
        <f t="shared" si="1"/>
        <v>1</v>
      </c>
      <c r="AG139" t="s">
        <v>141</v>
      </c>
      <c r="AH139">
        <f t="shared" si="2"/>
        <v>0</v>
      </c>
      <c r="AI139" t="s">
        <v>156</v>
      </c>
      <c r="AJ139">
        <f t="shared" si="3"/>
        <v>4</v>
      </c>
      <c r="AK139">
        <v>2</v>
      </c>
      <c r="AL139">
        <v>5</v>
      </c>
      <c r="AM139">
        <v>5</v>
      </c>
      <c r="AN139">
        <v>3</v>
      </c>
      <c r="AO139">
        <v>3</v>
      </c>
      <c r="AP139">
        <v>4</v>
      </c>
      <c r="AQ139">
        <v>8</v>
      </c>
      <c r="AR139" t="s">
        <v>1276</v>
      </c>
      <c r="AS139" t="s">
        <v>1341</v>
      </c>
    </row>
    <row r="140" spans="1:45" x14ac:dyDescent="0.25">
      <c r="A140" t="s">
        <v>1251</v>
      </c>
      <c r="B140" t="s">
        <v>1252</v>
      </c>
      <c r="C140" t="s">
        <v>42</v>
      </c>
      <c r="D140" t="s">
        <v>1253</v>
      </c>
      <c r="E140">
        <v>2</v>
      </c>
      <c r="F140">
        <v>100</v>
      </c>
      <c r="G140">
        <v>176</v>
      </c>
      <c r="H140">
        <f t="shared" si="4"/>
        <v>176</v>
      </c>
      <c r="I140" t="s">
        <v>114</v>
      </c>
      <c r="J140" t="s">
        <v>1254</v>
      </c>
      <c r="K140" t="s">
        <v>1255</v>
      </c>
      <c r="L140" t="s">
        <v>111</v>
      </c>
      <c r="M140" t="s">
        <v>111</v>
      </c>
      <c r="N140" t="s">
        <v>111</v>
      </c>
      <c r="O140" t="s">
        <v>111</v>
      </c>
      <c r="P140" t="s">
        <v>351</v>
      </c>
      <c r="Q140" t="str">
        <f t="shared" si="5"/>
        <v/>
      </c>
      <c r="R140" t="s">
        <v>352</v>
      </c>
      <c r="S140" t="s">
        <v>127</v>
      </c>
      <c r="T140" t="s">
        <v>1256</v>
      </c>
      <c r="U140">
        <v>5</v>
      </c>
      <c r="V140">
        <v>5</v>
      </c>
      <c r="W140">
        <v>5</v>
      </c>
      <c r="X140">
        <v>5</v>
      </c>
      <c r="Y140">
        <v>5</v>
      </c>
      <c r="Z140">
        <v>5</v>
      </c>
      <c r="AA140">
        <v>5</v>
      </c>
      <c r="AB140">
        <v>5</v>
      </c>
      <c r="AC140">
        <v>3</v>
      </c>
      <c r="AD140">
        <f t="shared" si="0"/>
        <v>1</v>
      </c>
      <c r="AE140" t="s">
        <v>185</v>
      </c>
      <c r="AF140">
        <f t="shared" si="1"/>
        <v>0</v>
      </c>
      <c r="AG140" t="s">
        <v>175</v>
      </c>
      <c r="AH140">
        <f t="shared" si="2"/>
        <v>1</v>
      </c>
      <c r="AI140" t="s">
        <v>156</v>
      </c>
      <c r="AJ140">
        <f t="shared" si="3"/>
        <v>4</v>
      </c>
      <c r="AK140">
        <v>5</v>
      </c>
      <c r="AL140">
        <v>3</v>
      </c>
      <c r="AM140">
        <v>4</v>
      </c>
      <c r="AN140">
        <v>4</v>
      </c>
      <c r="AO140">
        <v>5</v>
      </c>
      <c r="AP140">
        <v>5</v>
      </c>
      <c r="AQ140">
        <v>10</v>
      </c>
      <c r="AR140" t="s">
        <v>1257</v>
      </c>
      <c r="AS140" t="s">
        <v>1340</v>
      </c>
    </row>
    <row r="141" spans="1:45" x14ac:dyDescent="0.25">
      <c r="A141" t="s">
        <v>1227</v>
      </c>
      <c r="B141" t="s">
        <v>1228</v>
      </c>
      <c r="C141" t="s">
        <v>42</v>
      </c>
      <c r="D141" t="s">
        <v>389</v>
      </c>
      <c r="E141">
        <v>2</v>
      </c>
      <c r="F141">
        <v>100</v>
      </c>
      <c r="G141">
        <v>81</v>
      </c>
      <c r="H141">
        <f t="shared" si="4"/>
        <v>81</v>
      </c>
      <c r="I141" t="s">
        <v>114</v>
      </c>
      <c r="J141" t="s">
        <v>1228</v>
      </c>
      <c r="K141" t="s">
        <v>1229</v>
      </c>
      <c r="L141" t="s">
        <v>111</v>
      </c>
      <c r="M141" t="s">
        <v>111</v>
      </c>
      <c r="N141" t="s">
        <v>111</v>
      </c>
      <c r="O141" t="s">
        <v>111</v>
      </c>
      <c r="P141" t="s">
        <v>392</v>
      </c>
      <c r="Q141" t="str">
        <f t="shared" si="5"/>
        <v/>
      </c>
      <c r="R141" t="s">
        <v>393</v>
      </c>
      <c r="S141" t="s">
        <v>127</v>
      </c>
      <c r="T141" t="s">
        <v>731</v>
      </c>
      <c r="U141">
        <v>5</v>
      </c>
      <c r="V141">
        <v>5</v>
      </c>
      <c r="W141">
        <v>5</v>
      </c>
      <c r="X141">
        <v>5</v>
      </c>
      <c r="Y141">
        <v>5</v>
      </c>
      <c r="Z141">
        <v>5</v>
      </c>
      <c r="AA141">
        <v>5</v>
      </c>
      <c r="AB141">
        <v>5</v>
      </c>
      <c r="AC141">
        <v>3</v>
      </c>
      <c r="AD141">
        <f t="shared" si="0"/>
        <v>1</v>
      </c>
      <c r="AE141" t="s">
        <v>140</v>
      </c>
      <c r="AF141">
        <f t="shared" si="1"/>
        <v>1</v>
      </c>
      <c r="AG141" t="s">
        <v>175</v>
      </c>
      <c r="AH141">
        <f t="shared" si="2"/>
        <v>1</v>
      </c>
      <c r="AI141" t="s">
        <v>186</v>
      </c>
      <c r="AJ141">
        <f t="shared" si="3"/>
        <v>3</v>
      </c>
      <c r="AK141">
        <v>5</v>
      </c>
      <c r="AL141">
        <v>5</v>
      </c>
      <c r="AM141">
        <v>5</v>
      </c>
      <c r="AN141">
        <v>5</v>
      </c>
      <c r="AO141">
        <v>5</v>
      </c>
      <c r="AP141">
        <v>5</v>
      </c>
      <c r="AQ141">
        <v>10</v>
      </c>
      <c r="AR141" t="s">
        <v>111</v>
      </c>
    </row>
    <row r="142" spans="1:45" x14ac:dyDescent="0.25">
      <c r="A142" t="s">
        <v>1242</v>
      </c>
      <c r="B142" t="s">
        <v>1243</v>
      </c>
      <c r="C142" t="s">
        <v>42</v>
      </c>
      <c r="D142" t="s">
        <v>1244</v>
      </c>
      <c r="E142">
        <v>2</v>
      </c>
      <c r="F142">
        <v>100</v>
      </c>
      <c r="G142">
        <v>90</v>
      </c>
      <c r="H142">
        <f t="shared" si="4"/>
        <v>90</v>
      </c>
      <c r="I142" t="s">
        <v>114</v>
      </c>
      <c r="J142" t="s">
        <v>1243</v>
      </c>
      <c r="K142" t="s">
        <v>1245</v>
      </c>
      <c r="L142" t="s">
        <v>111</v>
      </c>
      <c r="M142" t="s">
        <v>111</v>
      </c>
      <c r="N142" t="s">
        <v>111</v>
      </c>
      <c r="O142" t="s">
        <v>111</v>
      </c>
      <c r="P142" t="s">
        <v>351</v>
      </c>
      <c r="Q142" t="str">
        <f t="shared" si="5"/>
        <v/>
      </c>
      <c r="R142" t="s">
        <v>352</v>
      </c>
      <c r="S142" t="s">
        <v>127</v>
      </c>
      <c r="T142" t="s">
        <v>449</v>
      </c>
      <c r="U142">
        <v>5</v>
      </c>
      <c r="V142">
        <v>4</v>
      </c>
      <c r="W142">
        <v>4</v>
      </c>
      <c r="X142">
        <v>5</v>
      </c>
      <c r="Y142">
        <v>3</v>
      </c>
      <c r="Z142">
        <v>3</v>
      </c>
      <c r="AA142">
        <v>5</v>
      </c>
      <c r="AB142">
        <v>2</v>
      </c>
      <c r="AC142">
        <v>3.5</v>
      </c>
      <c r="AD142">
        <f t="shared" si="0"/>
        <v>0.5</v>
      </c>
      <c r="AE142" t="s">
        <v>154</v>
      </c>
      <c r="AF142">
        <f t="shared" si="1"/>
        <v>0</v>
      </c>
      <c r="AG142" t="s">
        <v>175</v>
      </c>
      <c r="AH142">
        <f t="shared" si="2"/>
        <v>1</v>
      </c>
      <c r="AI142" t="s">
        <v>327</v>
      </c>
      <c r="AJ142">
        <f t="shared" si="3"/>
        <v>1</v>
      </c>
      <c r="AK142">
        <v>2</v>
      </c>
      <c r="AL142">
        <v>2</v>
      </c>
      <c r="AM142">
        <v>2</v>
      </c>
      <c r="AN142">
        <v>1</v>
      </c>
      <c r="AO142">
        <v>2</v>
      </c>
      <c r="AP142">
        <v>3</v>
      </c>
      <c r="AQ142">
        <v>6</v>
      </c>
      <c r="AR142" t="s">
        <v>111</v>
      </c>
    </row>
    <row r="143" spans="1:45" x14ac:dyDescent="0.25">
      <c r="A143" t="s">
        <v>1055</v>
      </c>
      <c r="B143" t="s">
        <v>1056</v>
      </c>
      <c r="C143" t="s">
        <v>42</v>
      </c>
      <c r="D143" t="s">
        <v>1057</v>
      </c>
      <c r="E143">
        <v>2</v>
      </c>
      <c r="F143">
        <v>100</v>
      </c>
      <c r="G143">
        <v>783</v>
      </c>
      <c r="H143">
        <f t="shared" si="4"/>
        <v>783</v>
      </c>
      <c r="I143" t="s">
        <v>114</v>
      </c>
      <c r="J143" t="s">
        <v>1058</v>
      </c>
      <c r="K143" t="s">
        <v>1059</v>
      </c>
      <c r="L143" t="s">
        <v>111</v>
      </c>
      <c r="M143" t="s">
        <v>111</v>
      </c>
      <c r="N143" t="s">
        <v>111</v>
      </c>
      <c r="O143" t="s">
        <v>111</v>
      </c>
      <c r="P143" t="s">
        <v>1060</v>
      </c>
      <c r="Q143" t="str">
        <f t="shared" si="5"/>
        <v/>
      </c>
      <c r="R143" t="s">
        <v>204</v>
      </c>
      <c r="S143" t="s">
        <v>487</v>
      </c>
      <c r="T143" t="s">
        <v>1061</v>
      </c>
      <c r="U143">
        <v>2</v>
      </c>
      <c r="V143">
        <v>2</v>
      </c>
      <c r="W143">
        <v>0</v>
      </c>
      <c r="X143">
        <v>4</v>
      </c>
      <c r="Y143">
        <v>0</v>
      </c>
      <c r="Z143">
        <v>2</v>
      </c>
      <c r="AA143">
        <v>3</v>
      </c>
      <c r="AB143">
        <v>1</v>
      </c>
      <c r="AC143">
        <v>2.5</v>
      </c>
      <c r="AD143">
        <f t="shared" si="0"/>
        <v>0.5</v>
      </c>
      <c r="AE143" t="s">
        <v>140</v>
      </c>
      <c r="AF143">
        <f t="shared" si="1"/>
        <v>1</v>
      </c>
      <c r="AG143" t="s">
        <v>175</v>
      </c>
      <c r="AH143">
        <f t="shared" si="2"/>
        <v>1</v>
      </c>
      <c r="AI143" t="s">
        <v>186</v>
      </c>
      <c r="AJ143">
        <f t="shared" si="3"/>
        <v>3</v>
      </c>
      <c r="AK143">
        <v>2</v>
      </c>
      <c r="AL143">
        <v>2</v>
      </c>
      <c r="AM143">
        <v>4</v>
      </c>
      <c r="AN143">
        <v>1</v>
      </c>
      <c r="AO143">
        <v>4</v>
      </c>
      <c r="AP143">
        <v>3</v>
      </c>
      <c r="AQ143">
        <v>3</v>
      </c>
      <c r="AR143" t="s">
        <v>111</v>
      </c>
    </row>
    <row r="144" spans="1:45" x14ac:dyDescent="0.25">
      <c r="A144" t="s">
        <v>1087</v>
      </c>
      <c r="B144" t="s">
        <v>1088</v>
      </c>
      <c r="C144" t="s">
        <v>42</v>
      </c>
      <c r="D144" t="s">
        <v>307</v>
      </c>
      <c r="E144">
        <v>2</v>
      </c>
      <c r="F144">
        <v>100</v>
      </c>
      <c r="G144">
        <v>177</v>
      </c>
      <c r="H144">
        <f t="shared" si="4"/>
        <v>177</v>
      </c>
      <c r="I144" t="s">
        <v>114</v>
      </c>
      <c r="J144" t="s">
        <v>1089</v>
      </c>
      <c r="K144" t="s">
        <v>1090</v>
      </c>
      <c r="L144" t="s">
        <v>111</v>
      </c>
      <c r="M144" t="s">
        <v>111</v>
      </c>
      <c r="N144" t="s">
        <v>111</v>
      </c>
      <c r="O144" t="s">
        <v>111</v>
      </c>
      <c r="P144" t="s">
        <v>311</v>
      </c>
      <c r="Q144" t="str">
        <f t="shared" si="5"/>
        <v/>
      </c>
      <c r="R144" t="s">
        <v>312</v>
      </c>
      <c r="S144" t="s">
        <v>127</v>
      </c>
      <c r="T144" t="s">
        <v>1091</v>
      </c>
      <c r="U144">
        <v>5</v>
      </c>
      <c r="V144">
        <v>5</v>
      </c>
      <c r="W144">
        <v>5</v>
      </c>
      <c r="X144">
        <v>5</v>
      </c>
      <c r="Y144">
        <v>5</v>
      </c>
      <c r="Z144">
        <v>5</v>
      </c>
      <c r="AA144">
        <v>5</v>
      </c>
      <c r="AB144">
        <v>4</v>
      </c>
      <c r="AC144">
        <v>3</v>
      </c>
      <c r="AD144">
        <f t="shared" si="0"/>
        <v>1</v>
      </c>
      <c r="AE144" t="s">
        <v>154</v>
      </c>
      <c r="AF144">
        <f t="shared" si="1"/>
        <v>0</v>
      </c>
      <c r="AG144" t="s">
        <v>175</v>
      </c>
      <c r="AH144">
        <f t="shared" si="2"/>
        <v>1</v>
      </c>
      <c r="AI144" t="s">
        <v>206</v>
      </c>
      <c r="AJ144">
        <f t="shared" si="3"/>
        <v>2</v>
      </c>
      <c r="AK144">
        <v>4</v>
      </c>
      <c r="AL144">
        <v>5</v>
      </c>
      <c r="AM144">
        <v>5</v>
      </c>
      <c r="AN144">
        <v>4</v>
      </c>
      <c r="AO144">
        <v>5</v>
      </c>
      <c r="AP144">
        <v>5</v>
      </c>
      <c r="AQ144">
        <v>10</v>
      </c>
      <c r="AR144" t="s">
        <v>1092</v>
      </c>
      <c r="AS144" t="s">
        <v>1326</v>
      </c>
    </row>
    <row r="145" spans="1:45" x14ac:dyDescent="0.25">
      <c r="A145" t="s">
        <v>972</v>
      </c>
      <c r="B145" t="s">
        <v>973</v>
      </c>
      <c r="C145" t="s">
        <v>42</v>
      </c>
      <c r="D145" t="s">
        <v>398</v>
      </c>
      <c r="E145">
        <v>2</v>
      </c>
      <c r="F145">
        <v>100</v>
      </c>
      <c r="G145">
        <v>77</v>
      </c>
      <c r="H145">
        <f t="shared" si="4"/>
        <v>77</v>
      </c>
      <c r="I145" t="s">
        <v>114</v>
      </c>
      <c r="J145" t="s">
        <v>973</v>
      </c>
      <c r="K145" t="s">
        <v>974</v>
      </c>
      <c r="L145" t="s">
        <v>111</v>
      </c>
      <c r="M145" t="s">
        <v>111</v>
      </c>
      <c r="N145" t="s">
        <v>111</v>
      </c>
      <c r="O145" t="s">
        <v>111</v>
      </c>
      <c r="P145" t="s">
        <v>351</v>
      </c>
      <c r="Q145" t="str">
        <f t="shared" si="5"/>
        <v/>
      </c>
      <c r="R145" t="s">
        <v>352</v>
      </c>
      <c r="S145" t="s">
        <v>487</v>
      </c>
      <c r="T145" t="s">
        <v>401</v>
      </c>
      <c r="U145">
        <v>5</v>
      </c>
      <c r="V145">
        <v>5</v>
      </c>
      <c r="W145">
        <v>5</v>
      </c>
      <c r="X145">
        <v>5</v>
      </c>
      <c r="Y145">
        <v>3</v>
      </c>
      <c r="Z145">
        <v>3</v>
      </c>
      <c r="AA145">
        <v>5</v>
      </c>
      <c r="AB145">
        <v>3</v>
      </c>
      <c r="AC145">
        <v>5</v>
      </c>
      <c r="AD145">
        <f t="shared" si="0"/>
        <v>0</v>
      </c>
      <c r="AE145" t="s">
        <v>140</v>
      </c>
      <c r="AF145">
        <f t="shared" si="1"/>
        <v>1</v>
      </c>
      <c r="AG145" t="s">
        <v>175</v>
      </c>
      <c r="AH145">
        <f t="shared" si="2"/>
        <v>1</v>
      </c>
      <c r="AI145" t="s">
        <v>142</v>
      </c>
      <c r="AJ145">
        <f t="shared" si="3"/>
        <v>2</v>
      </c>
      <c r="AK145">
        <v>5</v>
      </c>
      <c r="AL145">
        <v>5</v>
      </c>
      <c r="AM145">
        <v>5</v>
      </c>
      <c r="AN145">
        <v>5</v>
      </c>
      <c r="AO145">
        <v>5</v>
      </c>
      <c r="AP145">
        <v>5</v>
      </c>
      <c r="AQ145">
        <v>10</v>
      </c>
      <c r="AR145" t="s">
        <v>975</v>
      </c>
    </row>
    <row r="146" spans="1:45" x14ac:dyDescent="0.25">
      <c r="A146" t="s">
        <v>1097</v>
      </c>
      <c r="B146" t="s">
        <v>1098</v>
      </c>
      <c r="C146" t="s">
        <v>42</v>
      </c>
      <c r="D146" t="s">
        <v>347</v>
      </c>
      <c r="E146">
        <v>2</v>
      </c>
      <c r="F146">
        <v>100</v>
      </c>
      <c r="G146">
        <v>78</v>
      </c>
      <c r="H146">
        <f t="shared" si="4"/>
        <v>78</v>
      </c>
      <c r="I146" t="s">
        <v>114</v>
      </c>
      <c r="J146" t="s">
        <v>1098</v>
      </c>
      <c r="K146" t="s">
        <v>1099</v>
      </c>
      <c r="L146" t="s">
        <v>111</v>
      </c>
      <c r="M146" t="s">
        <v>111</v>
      </c>
      <c r="N146" t="s">
        <v>111</v>
      </c>
      <c r="O146" t="s">
        <v>111</v>
      </c>
      <c r="P146" t="s">
        <v>351</v>
      </c>
      <c r="Q146" t="str">
        <f t="shared" si="5"/>
        <v/>
      </c>
      <c r="R146" t="s">
        <v>352</v>
      </c>
      <c r="S146" t="s">
        <v>127</v>
      </c>
      <c r="T146" t="s">
        <v>1100</v>
      </c>
      <c r="U146">
        <v>4</v>
      </c>
      <c r="V146">
        <v>5</v>
      </c>
      <c r="W146">
        <v>3</v>
      </c>
      <c r="X146">
        <v>3</v>
      </c>
      <c r="Y146">
        <v>3</v>
      </c>
      <c r="Z146">
        <v>4</v>
      </c>
      <c r="AA146">
        <v>5</v>
      </c>
      <c r="AB146">
        <v>3</v>
      </c>
      <c r="AC146">
        <v>2.5</v>
      </c>
      <c r="AD146">
        <f t="shared" si="0"/>
        <v>0.5</v>
      </c>
      <c r="AE146" t="s">
        <v>140</v>
      </c>
      <c r="AF146">
        <f t="shared" si="1"/>
        <v>1</v>
      </c>
      <c r="AG146" t="s">
        <v>141</v>
      </c>
      <c r="AH146">
        <f t="shared" si="2"/>
        <v>0</v>
      </c>
      <c r="AI146" t="s">
        <v>353</v>
      </c>
      <c r="AJ146">
        <f t="shared" si="3"/>
        <v>3</v>
      </c>
      <c r="AK146">
        <v>5</v>
      </c>
      <c r="AL146">
        <v>5</v>
      </c>
      <c r="AM146">
        <v>5</v>
      </c>
      <c r="AN146">
        <v>5</v>
      </c>
      <c r="AO146">
        <v>5</v>
      </c>
      <c r="AP146">
        <v>5</v>
      </c>
      <c r="AR146" t="s">
        <v>111</v>
      </c>
    </row>
    <row r="147" spans="1:45" x14ac:dyDescent="0.25">
      <c r="A147" t="s">
        <v>984</v>
      </c>
      <c r="B147" t="s">
        <v>985</v>
      </c>
      <c r="C147" t="s">
        <v>42</v>
      </c>
      <c r="D147" t="s">
        <v>986</v>
      </c>
      <c r="E147">
        <v>2</v>
      </c>
      <c r="F147">
        <v>100</v>
      </c>
      <c r="G147">
        <v>93</v>
      </c>
      <c r="H147">
        <f t="shared" si="4"/>
        <v>93</v>
      </c>
      <c r="I147" t="s">
        <v>114</v>
      </c>
      <c r="J147" t="s">
        <v>985</v>
      </c>
      <c r="K147" t="s">
        <v>987</v>
      </c>
      <c r="L147" t="s">
        <v>111</v>
      </c>
      <c r="M147" t="s">
        <v>111</v>
      </c>
      <c r="N147" t="s">
        <v>111</v>
      </c>
      <c r="O147" t="s">
        <v>111</v>
      </c>
      <c r="P147" t="s">
        <v>988</v>
      </c>
      <c r="Q147" t="str">
        <f t="shared" si="5"/>
        <v/>
      </c>
      <c r="R147" t="s">
        <v>989</v>
      </c>
      <c r="S147" t="s">
        <v>487</v>
      </c>
      <c r="T147" t="s">
        <v>990</v>
      </c>
      <c r="U147">
        <v>5</v>
      </c>
      <c r="V147">
        <v>5</v>
      </c>
      <c r="W147">
        <v>5</v>
      </c>
      <c r="X147">
        <v>5</v>
      </c>
      <c r="Y147">
        <v>4</v>
      </c>
      <c r="Z147">
        <v>4</v>
      </c>
      <c r="AA147">
        <v>5</v>
      </c>
      <c r="AB147">
        <v>4</v>
      </c>
      <c r="AC147">
        <v>2.5</v>
      </c>
      <c r="AD147">
        <f t="shared" si="0"/>
        <v>0.5</v>
      </c>
      <c r="AE147" t="s">
        <v>140</v>
      </c>
      <c r="AF147">
        <f t="shared" si="1"/>
        <v>1</v>
      </c>
      <c r="AG147" t="s">
        <v>175</v>
      </c>
      <c r="AH147">
        <f t="shared" si="2"/>
        <v>1</v>
      </c>
      <c r="AI147" t="s">
        <v>142</v>
      </c>
      <c r="AJ147">
        <f t="shared" si="3"/>
        <v>2</v>
      </c>
      <c r="AK147">
        <v>5</v>
      </c>
      <c r="AL147">
        <v>5</v>
      </c>
      <c r="AM147">
        <v>5</v>
      </c>
      <c r="AN147">
        <v>5</v>
      </c>
      <c r="AO147">
        <v>5</v>
      </c>
      <c r="AP147">
        <v>5</v>
      </c>
      <c r="AQ147">
        <v>10</v>
      </c>
      <c r="AR147" t="s">
        <v>111</v>
      </c>
    </row>
    <row r="148" spans="1:45" x14ac:dyDescent="0.25">
      <c r="A148" t="s">
        <v>1221</v>
      </c>
      <c r="B148" t="s">
        <v>1222</v>
      </c>
      <c r="C148" t="s">
        <v>42</v>
      </c>
      <c r="D148" t="s">
        <v>389</v>
      </c>
      <c r="E148">
        <v>2</v>
      </c>
      <c r="F148">
        <v>100</v>
      </c>
      <c r="G148">
        <v>136</v>
      </c>
      <c r="H148">
        <f t="shared" si="4"/>
        <v>136</v>
      </c>
      <c r="I148" t="s">
        <v>114</v>
      </c>
      <c r="J148" t="s">
        <v>1223</v>
      </c>
      <c r="K148" t="s">
        <v>1224</v>
      </c>
      <c r="L148" t="s">
        <v>111</v>
      </c>
      <c r="M148" t="s">
        <v>111</v>
      </c>
      <c r="N148" t="s">
        <v>111</v>
      </c>
      <c r="O148" t="s">
        <v>111</v>
      </c>
      <c r="P148" t="s">
        <v>392</v>
      </c>
      <c r="Q148" t="str">
        <f t="shared" si="5"/>
        <v/>
      </c>
      <c r="R148" t="s">
        <v>393</v>
      </c>
      <c r="S148" t="s">
        <v>127</v>
      </c>
      <c r="T148" t="s">
        <v>1225</v>
      </c>
      <c r="U148">
        <v>5</v>
      </c>
      <c r="V148">
        <v>5</v>
      </c>
      <c r="W148">
        <v>5</v>
      </c>
      <c r="X148">
        <v>5</v>
      </c>
      <c r="Y148">
        <v>5</v>
      </c>
      <c r="Z148">
        <v>5</v>
      </c>
      <c r="AA148">
        <v>5</v>
      </c>
      <c r="AB148">
        <v>5</v>
      </c>
      <c r="AC148">
        <v>4</v>
      </c>
      <c r="AD148">
        <f t="shared" si="0"/>
        <v>0</v>
      </c>
      <c r="AE148" t="s">
        <v>140</v>
      </c>
      <c r="AF148">
        <f t="shared" si="1"/>
        <v>1</v>
      </c>
      <c r="AG148" t="s">
        <v>131</v>
      </c>
      <c r="AH148">
        <f t="shared" si="2"/>
        <v>0</v>
      </c>
      <c r="AI148" t="s">
        <v>156</v>
      </c>
      <c r="AJ148">
        <f t="shared" si="3"/>
        <v>4</v>
      </c>
      <c r="AK148">
        <v>5</v>
      </c>
      <c r="AL148">
        <v>5</v>
      </c>
      <c r="AM148">
        <v>5</v>
      </c>
      <c r="AN148">
        <v>5</v>
      </c>
      <c r="AO148">
        <v>5</v>
      </c>
      <c r="AP148">
        <v>5</v>
      </c>
      <c r="AQ148">
        <v>9</v>
      </c>
      <c r="AR148" t="s">
        <v>1226</v>
      </c>
      <c r="AS148" t="s">
        <v>1333</v>
      </c>
    </row>
    <row r="149" spans="1:45" x14ac:dyDescent="0.25">
      <c r="A149" t="s">
        <v>1132</v>
      </c>
      <c r="B149" t="s">
        <v>1133</v>
      </c>
      <c r="C149" t="s">
        <v>42</v>
      </c>
      <c r="D149" t="s">
        <v>307</v>
      </c>
      <c r="E149">
        <v>2</v>
      </c>
      <c r="F149">
        <v>100</v>
      </c>
      <c r="G149">
        <v>53</v>
      </c>
      <c r="H149">
        <f t="shared" si="4"/>
        <v>53</v>
      </c>
      <c r="I149" t="s">
        <v>114</v>
      </c>
      <c r="J149" t="s">
        <v>1133</v>
      </c>
      <c r="K149" t="s">
        <v>1134</v>
      </c>
      <c r="L149" t="s">
        <v>111</v>
      </c>
      <c r="M149" t="s">
        <v>111</v>
      </c>
      <c r="N149" t="s">
        <v>111</v>
      </c>
      <c r="O149" t="s">
        <v>111</v>
      </c>
      <c r="P149" t="s">
        <v>311</v>
      </c>
      <c r="Q149" t="str">
        <f t="shared" si="5"/>
        <v/>
      </c>
      <c r="R149" t="s">
        <v>312</v>
      </c>
      <c r="S149" t="s">
        <v>127</v>
      </c>
      <c r="T149" t="s">
        <v>1135</v>
      </c>
      <c r="U149">
        <v>5</v>
      </c>
      <c r="V149">
        <v>3</v>
      </c>
      <c r="W149">
        <v>4</v>
      </c>
      <c r="X149">
        <v>4</v>
      </c>
      <c r="Y149">
        <v>2</v>
      </c>
      <c r="Z149">
        <v>2</v>
      </c>
      <c r="AA149">
        <v>5</v>
      </c>
      <c r="AB149">
        <v>2</v>
      </c>
      <c r="AC149">
        <v>2.5</v>
      </c>
      <c r="AD149">
        <f t="shared" si="0"/>
        <v>0.5</v>
      </c>
      <c r="AE149" t="s">
        <v>185</v>
      </c>
      <c r="AF149">
        <f t="shared" si="1"/>
        <v>0</v>
      </c>
      <c r="AG149" t="s">
        <v>175</v>
      </c>
      <c r="AH149">
        <f t="shared" si="2"/>
        <v>1</v>
      </c>
      <c r="AI149" t="s">
        <v>142</v>
      </c>
      <c r="AJ149">
        <f t="shared" si="3"/>
        <v>2</v>
      </c>
      <c r="AK149">
        <v>4</v>
      </c>
      <c r="AL149">
        <v>4</v>
      </c>
      <c r="AM149">
        <v>4</v>
      </c>
      <c r="AN149">
        <v>4</v>
      </c>
      <c r="AO149">
        <v>4</v>
      </c>
      <c r="AP149">
        <v>4</v>
      </c>
      <c r="AQ149">
        <v>8</v>
      </c>
      <c r="AR149" t="s">
        <v>1136</v>
      </c>
      <c r="AS149" t="s">
        <v>1339</v>
      </c>
    </row>
    <row r="150" spans="1:45" x14ac:dyDescent="0.25">
      <c r="A150" t="s">
        <v>1110</v>
      </c>
      <c r="B150" t="s">
        <v>1111</v>
      </c>
      <c r="C150" t="s">
        <v>42</v>
      </c>
      <c r="D150" t="s">
        <v>1112</v>
      </c>
      <c r="E150">
        <v>2</v>
      </c>
      <c r="F150">
        <v>100</v>
      </c>
      <c r="G150">
        <v>145</v>
      </c>
      <c r="H150">
        <f t="shared" si="4"/>
        <v>145</v>
      </c>
      <c r="I150" t="s">
        <v>114</v>
      </c>
      <c r="J150" t="s">
        <v>1111</v>
      </c>
      <c r="K150" t="s">
        <v>1113</v>
      </c>
      <c r="L150" t="s">
        <v>111</v>
      </c>
      <c r="M150" t="s">
        <v>111</v>
      </c>
      <c r="N150" t="s">
        <v>111</v>
      </c>
      <c r="O150" t="s">
        <v>111</v>
      </c>
      <c r="P150" t="s">
        <v>351</v>
      </c>
      <c r="Q150" t="str">
        <f t="shared" si="5"/>
        <v/>
      </c>
      <c r="R150" t="s">
        <v>352</v>
      </c>
      <c r="S150" t="s">
        <v>127</v>
      </c>
      <c r="T150" t="s">
        <v>1114</v>
      </c>
      <c r="U150">
        <v>3</v>
      </c>
      <c r="V150">
        <v>2</v>
      </c>
      <c r="W150">
        <v>3</v>
      </c>
      <c r="X150">
        <v>5</v>
      </c>
      <c r="Y150">
        <v>2</v>
      </c>
      <c r="Z150">
        <v>3</v>
      </c>
      <c r="AA150">
        <v>5</v>
      </c>
      <c r="AB150">
        <v>1</v>
      </c>
      <c r="AC150">
        <v>2.5</v>
      </c>
      <c r="AD150">
        <f t="shared" si="0"/>
        <v>0.5</v>
      </c>
      <c r="AE150" t="s">
        <v>140</v>
      </c>
      <c r="AF150">
        <f t="shared" si="1"/>
        <v>1</v>
      </c>
      <c r="AG150" t="s">
        <v>175</v>
      </c>
      <c r="AH150">
        <f t="shared" si="2"/>
        <v>1</v>
      </c>
      <c r="AI150" t="s">
        <v>450</v>
      </c>
      <c r="AJ150">
        <f t="shared" si="3"/>
        <v>2</v>
      </c>
      <c r="AK150">
        <v>1</v>
      </c>
      <c r="AL150">
        <v>1</v>
      </c>
      <c r="AM150">
        <v>1</v>
      </c>
      <c r="AN150">
        <v>1</v>
      </c>
      <c r="AO150">
        <v>1</v>
      </c>
      <c r="AP150">
        <v>1</v>
      </c>
      <c r="AQ150">
        <v>6</v>
      </c>
      <c r="AR150" t="s">
        <v>1115</v>
      </c>
      <c r="AS150" t="s">
        <v>1333</v>
      </c>
    </row>
    <row r="151" spans="1:45" x14ac:dyDescent="0.25">
      <c r="A151" t="s">
        <v>1198</v>
      </c>
      <c r="B151" t="s">
        <v>1199</v>
      </c>
      <c r="C151" t="s">
        <v>42</v>
      </c>
      <c r="D151" t="s">
        <v>1200</v>
      </c>
      <c r="E151">
        <v>2</v>
      </c>
      <c r="F151">
        <v>100</v>
      </c>
      <c r="G151">
        <v>120</v>
      </c>
      <c r="H151">
        <f t="shared" si="4"/>
        <v>120</v>
      </c>
      <c r="I151" t="s">
        <v>114</v>
      </c>
      <c r="J151" t="s">
        <v>1201</v>
      </c>
      <c r="K151" t="s">
        <v>1202</v>
      </c>
      <c r="L151" t="s">
        <v>111</v>
      </c>
      <c r="M151" t="s">
        <v>111</v>
      </c>
      <c r="N151" t="s">
        <v>111</v>
      </c>
      <c r="O151" t="s">
        <v>111</v>
      </c>
      <c r="P151" t="s">
        <v>1154</v>
      </c>
      <c r="Q151" t="str">
        <f t="shared" si="5"/>
        <v/>
      </c>
      <c r="R151" t="s">
        <v>1155</v>
      </c>
      <c r="S151" t="s">
        <v>127</v>
      </c>
      <c r="T151" t="s">
        <v>1203</v>
      </c>
      <c r="U151">
        <v>5</v>
      </c>
      <c r="V151">
        <v>4</v>
      </c>
      <c r="W151">
        <v>4</v>
      </c>
      <c r="X151">
        <v>5</v>
      </c>
      <c r="Y151">
        <v>5</v>
      </c>
      <c r="Z151">
        <v>5</v>
      </c>
      <c r="AA151">
        <v>5</v>
      </c>
      <c r="AB151">
        <v>4</v>
      </c>
      <c r="AC151">
        <v>4.5</v>
      </c>
      <c r="AD151">
        <f t="shared" si="0"/>
        <v>0</v>
      </c>
      <c r="AE151" t="s">
        <v>130</v>
      </c>
      <c r="AF151">
        <f t="shared" si="1"/>
        <v>0</v>
      </c>
      <c r="AG151" t="s">
        <v>131</v>
      </c>
      <c r="AH151">
        <f t="shared" si="2"/>
        <v>0</v>
      </c>
      <c r="AI151" t="s">
        <v>142</v>
      </c>
      <c r="AJ151">
        <f t="shared" si="3"/>
        <v>2</v>
      </c>
      <c r="AK151">
        <v>5</v>
      </c>
      <c r="AL151">
        <v>4</v>
      </c>
      <c r="AM151">
        <v>5</v>
      </c>
      <c r="AN151">
        <v>4</v>
      </c>
      <c r="AO151">
        <v>4</v>
      </c>
      <c r="AP151">
        <v>4</v>
      </c>
      <c r="AQ151">
        <v>9</v>
      </c>
      <c r="AR151" t="s">
        <v>1204</v>
      </c>
      <c r="AS151" t="s">
        <v>1332</v>
      </c>
    </row>
    <row r="152" spans="1:45" x14ac:dyDescent="0.25">
      <c r="A152" t="s">
        <v>1184</v>
      </c>
      <c r="B152" t="s">
        <v>1185</v>
      </c>
      <c r="C152" t="s">
        <v>42</v>
      </c>
      <c r="D152" t="s">
        <v>307</v>
      </c>
      <c r="E152">
        <v>2</v>
      </c>
      <c r="F152">
        <v>100</v>
      </c>
      <c r="G152">
        <v>77</v>
      </c>
      <c r="H152">
        <f t="shared" si="4"/>
        <v>77</v>
      </c>
      <c r="I152" t="s">
        <v>114</v>
      </c>
      <c r="J152" t="s">
        <v>1186</v>
      </c>
      <c r="K152" t="s">
        <v>1187</v>
      </c>
      <c r="L152" t="s">
        <v>111</v>
      </c>
      <c r="M152" t="s">
        <v>111</v>
      </c>
      <c r="N152" t="s">
        <v>111</v>
      </c>
      <c r="O152" t="s">
        <v>111</v>
      </c>
      <c r="P152" t="s">
        <v>311</v>
      </c>
      <c r="Q152" t="str">
        <f t="shared" si="5"/>
        <v/>
      </c>
      <c r="R152" t="s">
        <v>312</v>
      </c>
      <c r="S152" t="s">
        <v>127</v>
      </c>
      <c r="T152" t="s">
        <v>313</v>
      </c>
      <c r="U152">
        <v>5</v>
      </c>
      <c r="V152">
        <v>5</v>
      </c>
      <c r="W152">
        <v>5</v>
      </c>
      <c r="X152">
        <v>5</v>
      </c>
      <c r="Y152">
        <v>5</v>
      </c>
      <c r="Z152">
        <v>5</v>
      </c>
      <c r="AA152">
        <v>5</v>
      </c>
      <c r="AB152">
        <v>5</v>
      </c>
      <c r="AC152">
        <v>4.5</v>
      </c>
      <c r="AD152">
        <f t="shared" si="0"/>
        <v>0</v>
      </c>
      <c r="AE152" t="s">
        <v>140</v>
      </c>
      <c r="AF152">
        <f t="shared" si="1"/>
        <v>1</v>
      </c>
      <c r="AG152" t="s">
        <v>131</v>
      </c>
      <c r="AH152">
        <f t="shared" si="2"/>
        <v>0</v>
      </c>
      <c r="AI152" t="s">
        <v>167</v>
      </c>
      <c r="AJ152">
        <f t="shared" si="3"/>
        <v>3</v>
      </c>
      <c r="AK152">
        <v>5</v>
      </c>
      <c r="AL152">
        <v>5</v>
      </c>
      <c r="AM152">
        <v>5</v>
      </c>
      <c r="AN152">
        <v>5</v>
      </c>
      <c r="AO152">
        <v>5</v>
      </c>
      <c r="AP152">
        <v>5</v>
      </c>
      <c r="AQ152">
        <v>10</v>
      </c>
      <c r="AR152" t="s">
        <v>1188</v>
      </c>
      <c r="AS152" t="s">
        <v>1326</v>
      </c>
    </row>
    <row r="153" spans="1:45" x14ac:dyDescent="0.25">
      <c r="A153" t="s">
        <v>1035</v>
      </c>
      <c r="B153" t="s">
        <v>1036</v>
      </c>
      <c r="C153" t="s">
        <v>42</v>
      </c>
      <c r="D153" t="s">
        <v>398</v>
      </c>
      <c r="E153">
        <v>2</v>
      </c>
      <c r="F153">
        <v>100</v>
      </c>
      <c r="G153">
        <v>409</v>
      </c>
      <c r="H153">
        <f t="shared" si="4"/>
        <v>409</v>
      </c>
      <c r="I153" t="s">
        <v>114</v>
      </c>
      <c r="J153" t="s">
        <v>1037</v>
      </c>
      <c r="K153" t="s">
        <v>1038</v>
      </c>
      <c r="L153" t="s">
        <v>111</v>
      </c>
      <c r="M153" t="s">
        <v>111</v>
      </c>
      <c r="N153" t="s">
        <v>111</v>
      </c>
      <c r="O153" t="s">
        <v>111</v>
      </c>
      <c r="P153" t="s">
        <v>351</v>
      </c>
      <c r="Q153" t="str">
        <f t="shared" si="5"/>
        <v/>
      </c>
      <c r="R153" t="s">
        <v>352</v>
      </c>
      <c r="S153" t="s">
        <v>487</v>
      </c>
      <c r="T153" t="s">
        <v>480</v>
      </c>
      <c r="U153">
        <v>5</v>
      </c>
      <c r="V153">
        <v>4</v>
      </c>
      <c r="W153">
        <v>5</v>
      </c>
      <c r="X153">
        <v>5</v>
      </c>
      <c r="Y153">
        <v>2</v>
      </c>
      <c r="Z153">
        <v>4</v>
      </c>
      <c r="AA153">
        <v>5</v>
      </c>
      <c r="AB153">
        <v>4</v>
      </c>
      <c r="AC153">
        <v>3</v>
      </c>
      <c r="AD153">
        <f t="shared" si="0"/>
        <v>1</v>
      </c>
      <c r="AE153" t="s">
        <v>154</v>
      </c>
      <c r="AF153">
        <f t="shared" si="1"/>
        <v>0</v>
      </c>
      <c r="AG153" t="s">
        <v>175</v>
      </c>
      <c r="AH153">
        <f t="shared" si="2"/>
        <v>1</v>
      </c>
      <c r="AI153" t="s">
        <v>1019</v>
      </c>
      <c r="AJ153">
        <f t="shared" si="3"/>
        <v>2</v>
      </c>
      <c r="AK153">
        <v>4</v>
      </c>
      <c r="AL153">
        <v>4</v>
      </c>
      <c r="AM153">
        <v>5</v>
      </c>
      <c r="AN153">
        <v>4</v>
      </c>
      <c r="AO153">
        <v>5</v>
      </c>
      <c r="AP153">
        <v>5</v>
      </c>
      <c r="AQ153">
        <v>10</v>
      </c>
      <c r="AR153" t="s">
        <v>1039</v>
      </c>
      <c r="AS153" t="s">
        <v>1337</v>
      </c>
    </row>
    <row r="154" spans="1:45" x14ac:dyDescent="0.25">
      <c r="A154" t="s">
        <v>1082</v>
      </c>
      <c r="B154" t="s">
        <v>1083</v>
      </c>
      <c r="C154" t="s">
        <v>42</v>
      </c>
      <c r="D154" t="s">
        <v>389</v>
      </c>
      <c r="E154">
        <v>2</v>
      </c>
      <c r="F154">
        <v>100</v>
      </c>
      <c r="G154">
        <v>88</v>
      </c>
      <c r="H154">
        <f t="shared" si="4"/>
        <v>88</v>
      </c>
      <c r="I154" t="s">
        <v>114</v>
      </c>
      <c r="J154" t="s">
        <v>1083</v>
      </c>
      <c r="K154" t="s">
        <v>1084</v>
      </c>
      <c r="L154" t="s">
        <v>111</v>
      </c>
      <c r="M154" t="s">
        <v>111</v>
      </c>
      <c r="N154" t="s">
        <v>111</v>
      </c>
      <c r="O154" t="s">
        <v>111</v>
      </c>
      <c r="P154" t="s">
        <v>392</v>
      </c>
      <c r="Q154" t="str">
        <f t="shared" si="5"/>
        <v/>
      </c>
      <c r="R154" t="s">
        <v>393</v>
      </c>
      <c r="S154" t="s">
        <v>127</v>
      </c>
      <c r="T154" t="s">
        <v>1085</v>
      </c>
      <c r="U154">
        <v>5</v>
      </c>
      <c r="V154">
        <v>5</v>
      </c>
      <c r="W154">
        <v>5</v>
      </c>
      <c r="X154">
        <v>5</v>
      </c>
      <c r="Y154">
        <v>5</v>
      </c>
      <c r="Z154">
        <v>5</v>
      </c>
      <c r="AA154">
        <v>5</v>
      </c>
      <c r="AB154">
        <v>5</v>
      </c>
      <c r="AC154">
        <v>3</v>
      </c>
      <c r="AD154">
        <f t="shared" si="0"/>
        <v>1</v>
      </c>
      <c r="AE154" t="s">
        <v>140</v>
      </c>
      <c r="AF154">
        <f t="shared" si="1"/>
        <v>1</v>
      </c>
      <c r="AG154" t="s">
        <v>175</v>
      </c>
      <c r="AH154">
        <f t="shared" si="2"/>
        <v>1</v>
      </c>
      <c r="AI154" t="s">
        <v>186</v>
      </c>
      <c r="AJ154">
        <f t="shared" si="3"/>
        <v>3</v>
      </c>
      <c r="AK154">
        <v>5</v>
      </c>
      <c r="AL154">
        <v>5</v>
      </c>
      <c r="AM154">
        <v>4</v>
      </c>
      <c r="AN154">
        <v>4</v>
      </c>
      <c r="AO154">
        <v>4</v>
      </c>
      <c r="AP154">
        <v>5</v>
      </c>
      <c r="AQ154">
        <v>10</v>
      </c>
      <c r="AR154" t="s">
        <v>1086</v>
      </c>
      <c r="AS154" t="s">
        <v>1339</v>
      </c>
    </row>
    <row r="155" spans="1:45" x14ac:dyDescent="0.25">
      <c r="A155" t="s">
        <v>952</v>
      </c>
      <c r="B155" t="s">
        <v>953</v>
      </c>
      <c r="C155" t="s">
        <v>42</v>
      </c>
      <c r="D155" t="s">
        <v>954</v>
      </c>
      <c r="E155">
        <v>2</v>
      </c>
      <c r="F155">
        <v>100</v>
      </c>
      <c r="G155">
        <v>49</v>
      </c>
      <c r="H155">
        <f t="shared" si="4"/>
        <v>49</v>
      </c>
      <c r="I155" t="s">
        <v>114</v>
      </c>
      <c r="J155" t="s">
        <v>953</v>
      </c>
      <c r="K155" t="s">
        <v>955</v>
      </c>
      <c r="L155" t="s">
        <v>111</v>
      </c>
      <c r="M155" t="s">
        <v>111</v>
      </c>
      <c r="N155" t="s">
        <v>111</v>
      </c>
      <c r="O155" t="s">
        <v>111</v>
      </c>
      <c r="P155" t="s">
        <v>956</v>
      </c>
      <c r="Q155" t="str">
        <f t="shared" si="5"/>
        <v/>
      </c>
      <c r="R155" t="s">
        <v>957</v>
      </c>
      <c r="S155" t="s">
        <v>487</v>
      </c>
      <c r="T155" t="s">
        <v>111</v>
      </c>
      <c r="U155">
        <v>3</v>
      </c>
      <c r="V155">
        <v>4</v>
      </c>
      <c r="W155">
        <v>4</v>
      </c>
      <c r="X155">
        <v>4</v>
      </c>
      <c r="Y155">
        <v>4</v>
      </c>
      <c r="Z155">
        <v>5</v>
      </c>
      <c r="AA155">
        <v>4</v>
      </c>
      <c r="AB155">
        <v>4</v>
      </c>
      <c r="AC155">
        <v>4</v>
      </c>
      <c r="AD155">
        <f t="shared" si="0"/>
        <v>0</v>
      </c>
      <c r="AE155" t="s">
        <v>154</v>
      </c>
      <c r="AF155">
        <f t="shared" si="1"/>
        <v>0</v>
      </c>
      <c r="AG155" t="s">
        <v>141</v>
      </c>
      <c r="AH155">
        <f t="shared" si="2"/>
        <v>0</v>
      </c>
      <c r="AI155" t="s">
        <v>353</v>
      </c>
      <c r="AJ155">
        <f t="shared" si="3"/>
        <v>3</v>
      </c>
      <c r="AK155">
        <v>5</v>
      </c>
      <c r="AL155">
        <v>5</v>
      </c>
      <c r="AM155">
        <v>5</v>
      </c>
      <c r="AN155">
        <v>5</v>
      </c>
      <c r="AO155">
        <v>5</v>
      </c>
      <c r="AP155">
        <v>5</v>
      </c>
      <c r="AQ155">
        <v>10</v>
      </c>
      <c r="AR155" t="s">
        <v>111</v>
      </c>
    </row>
    <row r="156" spans="1:45" x14ac:dyDescent="0.25">
      <c r="A156" t="s">
        <v>967</v>
      </c>
      <c r="B156" t="s">
        <v>968</v>
      </c>
      <c r="C156" t="s">
        <v>42</v>
      </c>
      <c r="D156" t="s">
        <v>389</v>
      </c>
      <c r="E156">
        <v>2</v>
      </c>
      <c r="F156">
        <v>100</v>
      </c>
      <c r="G156">
        <v>57</v>
      </c>
      <c r="H156">
        <f t="shared" si="4"/>
        <v>57</v>
      </c>
      <c r="I156" t="s">
        <v>114</v>
      </c>
      <c r="J156" t="s">
        <v>969</v>
      </c>
      <c r="K156" t="s">
        <v>970</v>
      </c>
      <c r="L156" t="s">
        <v>111</v>
      </c>
      <c r="M156" t="s">
        <v>111</v>
      </c>
      <c r="N156" t="s">
        <v>111</v>
      </c>
      <c r="O156" t="s">
        <v>111</v>
      </c>
      <c r="P156" t="s">
        <v>392</v>
      </c>
      <c r="Q156" t="str">
        <f t="shared" si="5"/>
        <v/>
      </c>
      <c r="R156" t="s">
        <v>393</v>
      </c>
      <c r="S156" t="s">
        <v>487</v>
      </c>
      <c r="T156" t="s">
        <v>111</v>
      </c>
      <c r="U156">
        <v>5</v>
      </c>
      <c r="V156">
        <v>5</v>
      </c>
      <c r="W156">
        <v>4</v>
      </c>
      <c r="X156">
        <v>5</v>
      </c>
      <c r="Y156">
        <v>4</v>
      </c>
      <c r="Z156">
        <v>4</v>
      </c>
      <c r="AA156">
        <v>5</v>
      </c>
      <c r="AB156">
        <v>4</v>
      </c>
      <c r="AC156">
        <v>3</v>
      </c>
      <c r="AD156">
        <f t="shared" si="0"/>
        <v>1</v>
      </c>
      <c r="AE156" t="s">
        <v>140</v>
      </c>
      <c r="AF156">
        <f t="shared" si="1"/>
        <v>1</v>
      </c>
      <c r="AG156" t="s">
        <v>175</v>
      </c>
      <c r="AH156">
        <f t="shared" si="2"/>
        <v>1</v>
      </c>
      <c r="AI156" t="s">
        <v>186</v>
      </c>
      <c r="AJ156">
        <f t="shared" si="3"/>
        <v>3</v>
      </c>
      <c r="AK156">
        <v>5</v>
      </c>
      <c r="AL156">
        <v>5</v>
      </c>
      <c r="AM156">
        <v>5</v>
      </c>
      <c r="AN156">
        <v>5</v>
      </c>
      <c r="AO156">
        <v>5</v>
      </c>
      <c r="AP156">
        <v>5</v>
      </c>
      <c r="AQ156">
        <v>9</v>
      </c>
      <c r="AR156" t="s">
        <v>971</v>
      </c>
      <c r="AS156" t="s">
        <v>1330</v>
      </c>
    </row>
    <row r="157" spans="1:45" x14ac:dyDescent="0.25">
      <c r="A157" t="s">
        <v>953</v>
      </c>
      <c r="B157" t="s">
        <v>980</v>
      </c>
      <c r="C157" t="s">
        <v>42</v>
      </c>
      <c r="D157" t="s">
        <v>389</v>
      </c>
      <c r="E157">
        <v>2</v>
      </c>
      <c r="F157">
        <v>100</v>
      </c>
      <c r="G157">
        <v>81</v>
      </c>
      <c r="H157">
        <f t="shared" si="4"/>
        <v>81</v>
      </c>
      <c r="I157" t="s">
        <v>114</v>
      </c>
      <c r="J157" t="s">
        <v>981</v>
      </c>
      <c r="K157" t="s">
        <v>982</v>
      </c>
      <c r="L157" t="s">
        <v>111</v>
      </c>
      <c r="M157" t="s">
        <v>111</v>
      </c>
      <c r="N157" t="s">
        <v>111</v>
      </c>
      <c r="O157" t="s">
        <v>111</v>
      </c>
      <c r="P157" t="s">
        <v>392</v>
      </c>
      <c r="Q157" t="str">
        <f t="shared" si="5"/>
        <v/>
      </c>
      <c r="R157" t="s">
        <v>393</v>
      </c>
      <c r="S157" t="s">
        <v>487</v>
      </c>
      <c r="T157" t="s">
        <v>111</v>
      </c>
      <c r="U157">
        <v>4</v>
      </c>
      <c r="V157">
        <v>4</v>
      </c>
      <c r="W157">
        <v>4</v>
      </c>
      <c r="X157">
        <v>4</v>
      </c>
      <c r="Y157">
        <v>4</v>
      </c>
      <c r="Z157">
        <v>4</v>
      </c>
      <c r="AA157">
        <v>4</v>
      </c>
      <c r="AB157">
        <v>4</v>
      </c>
      <c r="AC157">
        <v>3</v>
      </c>
      <c r="AD157">
        <f t="shared" si="0"/>
        <v>1</v>
      </c>
      <c r="AE157" t="s">
        <v>140</v>
      </c>
      <c r="AF157">
        <f t="shared" si="1"/>
        <v>1</v>
      </c>
      <c r="AG157" t="s">
        <v>141</v>
      </c>
      <c r="AH157">
        <f t="shared" si="2"/>
        <v>0</v>
      </c>
      <c r="AI157" t="s">
        <v>156</v>
      </c>
      <c r="AJ157">
        <f t="shared" si="3"/>
        <v>4</v>
      </c>
      <c r="AK157">
        <v>5</v>
      </c>
      <c r="AL157">
        <v>5</v>
      </c>
      <c r="AM157">
        <v>5</v>
      </c>
      <c r="AN157">
        <v>5</v>
      </c>
      <c r="AO157">
        <v>5</v>
      </c>
      <c r="AP157">
        <v>5</v>
      </c>
      <c r="AQ157">
        <v>10</v>
      </c>
      <c r="AR157" t="s">
        <v>983</v>
      </c>
    </row>
    <row r="158" spans="1:45" x14ac:dyDescent="0.25">
      <c r="A158" t="s">
        <v>991</v>
      </c>
      <c r="B158" t="s">
        <v>992</v>
      </c>
      <c r="C158" t="s">
        <v>42</v>
      </c>
      <c r="D158" t="s">
        <v>389</v>
      </c>
      <c r="E158">
        <v>2</v>
      </c>
      <c r="F158">
        <v>100</v>
      </c>
      <c r="G158">
        <v>104</v>
      </c>
      <c r="H158">
        <f t="shared" si="4"/>
        <v>104</v>
      </c>
      <c r="I158" t="s">
        <v>114</v>
      </c>
      <c r="J158" t="s">
        <v>993</v>
      </c>
      <c r="K158" t="s">
        <v>994</v>
      </c>
      <c r="L158" t="s">
        <v>111</v>
      </c>
      <c r="M158" t="s">
        <v>111</v>
      </c>
      <c r="N158" t="s">
        <v>111</v>
      </c>
      <c r="O158" t="s">
        <v>111</v>
      </c>
      <c r="P158" t="s">
        <v>392</v>
      </c>
      <c r="Q158" t="str">
        <f t="shared" si="5"/>
        <v/>
      </c>
      <c r="R158" t="s">
        <v>393</v>
      </c>
      <c r="S158" t="s">
        <v>487</v>
      </c>
      <c r="T158" t="s">
        <v>111</v>
      </c>
      <c r="U158">
        <v>4</v>
      </c>
      <c r="V158">
        <v>5</v>
      </c>
      <c r="W158">
        <v>4</v>
      </c>
      <c r="X158">
        <v>4</v>
      </c>
      <c r="Y158">
        <v>5</v>
      </c>
      <c r="Z158">
        <v>4</v>
      </c>
      <c r="AA158">
        <v>5</v>
      </c>
      <c r="AB158">
        <v>5</v>
      </c>
      <c r="AC158">
        <v>3</v>
      </c>
      <c r="AD158">
        <f t="shared" si="0"/>
        <v>1</v>
      </c>
      <c r="AE158" t="s">
        <v>140</v>
      </c>
      <c r="AF158">
        <f t="shared" si="1"/>
        <v>1</v>
      </c>
      <c r="AG158" t="s">
        <v>175</v>
      </c>
      <c r="AH158">
        <f t="shared" si="2"/>
        <v>1</v>
      </c>
      <c r="AI158" t="s">
        <v>142</v>
      </c>
      <c r="AJ158">
        <f t="shared" si="3"/>
        <v>2</v>
      </c>
      <c r="AK158">
        <v>5</v>
      </c>
      <c r="AL158">
        <v>5</v>
      </c>
      <c r="AM158">
        <v>5</v>
      </c>
      <c r="AN158">
        <v>5</v>
      </c>
      <c r="AO158">
        <v>5</v>
      </c>
      <c r="AP158">
        <v>5</v>
      </c>
      <c r="AQ158">
        <v>10</v>
      </c>
      <c r="AR158" t="s">
        <v>995</v>
      </c>
      <c r="AS158" t="s">
        <v>1334</v>
      </c>
    </row>
    <row r="159" spans="1:45" x14ac:dyDescent="0.25">
      <c r="A159" t="s">
        <v>996</v>
      </c>
      <c r="B159" t="s">
        <v>997</v>
      </c>
      <c r="C159" t="s">
        <v>42</v>
      </c>
      <c r="D159" t="s">
        <v>606</v>
      </c>
      <c r="E159">
        <v>2</v>
      </c>
      <c r="F159">
        <v>100</v>
      </c>
      <c r="G159">
        <v>127</v>
      </c>
      <c r="H159">
        <f t="shared" si="4"/>
        <v>127</v>
      </c>
      <c r="I159" t="s">
        <v>114</v>
      </c>
      <c r="J159" t="s">
        <v>997</v>
      </c>
      <c r="K159" t="s">
        <v>998</v>
      </c>
      <c r="L159" t="s">
        <v>111</v>
      </c>
      <c r="M159" t="s">
        <v>111</v>
      </c>
      <c r="N159" t="s">
        <v>111</v>
      </c>
      <c r="O159" t="s">
        <v>111</v>
      </c>
      <c r="P159" t="s">
        <v>351</v>
      </c>
      <c r="Q159" t="str">
        <f t="shared" si="5"/>
        <v/>
      </c>
      <c r="R159" t="s">
        <v>352</v>
      </c>
      <c r="S159" t="s">
        <v>487</v>
      </c>
      <c r="T159" t="s">
        <v>111</v>
      </c>
      <c r="U159">
        <v>4</v>
      </c>
      <c r="V159">
        <v>4</v>
      </c>
      <c r="W159">
        <v>4</v>
      </c>
      <c r="X159">
        <v>4</v>
      </c>
      <c r="Y159">
        <v>2</v>
      </c>
      <c r="Z159">
        <v>3</v>
      </c>
      <c r="AA159">
        <v>5</v>
      </c>
      <c r="AB159">
        <v>3</v>
      </c>
      <c r="AC159">
        <v>3</v>
      </c>
      <c r="AD159">
        <f t="shared" si="0"/>
        <v>1</v>
      </c>
      <c r="AE159" t="s">
        <v>140</v>
      </c>
      <c r="AF159">
        <f t="shared" si="1"/>
        <v>1</v>
      </c>
      <c r="AG159" t="s">
        <v>175</v>
      </c>
      <c r="AH159">
        <f t="shared" si="2"/>
        <v>1</v>
      </c>
      <c r="AI159" t="s">
        <v>999</v>
      </c>
      <c r="AJ159">
        <f t="shared" si="3"/>
        <v>2</v>
      </c>
      <c r="AK159">
        <v>3</v>
      </c>
      <c r="AL159">
        <v>4</v>
      </c>
      <c r="AM159">
        <v>3</v>
      </c>
      <c r="AN159">
        <v>3</v>
      </c>
      <c r="AO159">
        <v>3</v>
      </c>
      <c r="AP159">
        <v>3</v>
      </c>
      <c r="AQ159">
        <v>10</v>
      </c>
      <c r="AR159" t="s">
        <v>111</v>
      </c>
    </row>
    <row r="160" spans="1:45" x14ac:dyDescent="0.25">
      <c r="A160" t="s">
        <v>996</v>
      </c>
      <c r="B160" t="s">
        <v>1007</v>
      </c>
      <c r="C160" t="s">
        <v>42</v>
      </c>
      <c r="D160" t="s">
        <v>709</v>
      </c>
      <c r="E160">
        <v>2</v>
      </c>
      <c r="F160">
        <v>100</v>
      </c>
      <c r="G160">
        <v>144</v>
      </c>
      <c r="H160">
        <f t="shared" si="4"/>
        <v>144</v>
      </c>
      <c r="I160" t="s">
        <v>114</v>
      </c>
      <c r="J160" t="s">
        <v>1007</v>
      </c>
      <c r="K160" t="s">
        <v>1010</v>
      </c>
      <c r="L160" t="s">
        <v>111</v>
      </c>
      <c r="M160" t="s">
        <v>111</v>
      </c>
      <c r="N160" t="s">
        <v>111</v>
      </c>
      <c r="O160" t="s">
        <v>111</v>
      </c>
      <c r="P160" t="s">
        <v>712</v>
      </c>
      <c r="Q160" t="str">
        <f t="shared" si="5"/>
        <v/>
      </c>
      <c r="R160" t="s">
        <v>713</v>
      </c>
      <c r="S160" t="s">
        <v>487</v>
      </c>
      <c r="T160" t="s">
        <v>111</v>
      </c>
      <c r="U160">
        <v>5</v>
      </c>
      <c r="V160">
        <v>5</v>
      </c>
      <c r="W160">
        <v>4</v>
      </c>
      <c r="X160">
        <v>5</v>
      </c>
      <c r="Y160">
        <v>3</v>
      </c>
      <c r="Z160">
        <v>2</v>
      </c>
      <c r="AA160">
        <v>5</v>
      </c>
      <c r="AB160">
        <v>3</v>
      </c>
      <c r="AC160">
        <v>3</v>
      </c>
      <c r="AD160">
        <f t="shared" si="0"/>
        <v>1</v>
      </c>
      <c r="AE160" t="s">
        <v>140</v>
      </c>
      <c r="AF160">
        <f t="shared" si="1"/>
        <v>1</v>
      </c>
      <c r="AG160" t="s">
        <v>175</v>
      </c>
      <c r="AH160">
        <f t="shared" si="2"/>
        <v>1</v>
      </c>
      <c r="AI160" t="s">
        <v>999</v>
      </c>
      <c r="AJ160">
        <f t="shared" si="3"/>
        <v>2</v>
      </c>
      <c r="AK160">
        <v>4</v>
      </c>
      <c r="AL160">
        <v>5</v>
      </c>
      <c r="AM160">
        <v>4</v>
      </c>
      <c r="AN160">
        <v>4</v>
      </c>
      <c r="AO160">
        <v>4</v>
      </c>
      <c r="AP160">
        <v>5</v>
      </c>
      <c r="AQ160">
        <v>9</v>
      </c>
      <c r="AR160" t="s">
        <v>111</v>
      </c>
    </row>
    <row r="161" spans="1:45" x14ac:dyDescent="0.25">
      <c r="A161" t="s">
        <v>991</v>
      </c>
      <c r="B161" t="s">
        <v>1011</v>
      </c>
      <c r="C161" t="s">
        <v>42</v>
      </c>
      <c r="D161" t="s">
        <v>389</v>
      </c>
      <c r="E161">
        <v>2</v>
      </c>
      <c r="F161">
        <v>100</v>
      </c>
      <c r="G161">
        <v>196</v>
      </c>
      <c r="H161">
        <f t="shared" si="4"/>
        <v>196</v>
      </c>
      <c r="I161" t="s">
        <v>114</v>
      </c>
      <c r="J161" t="s">
        <v>1011</v>
      </c>
      <c r="K161" t="s">
        <v>1012</v>
      </c>
      <c r="L161" t="s">
        <v>111</v>
      </c>
      <c r="M161" t="s">
        <v>111</v>
      </c>
      <c r="N161" t="s">
        <v>111</v>
      </c>
      <c r="O161" t="s">
        <v>111</v>
      </c>
      <c r="P161" t="s">
        <v>392</v>
      </c>
      <c r="Q161" t="str">
        <f t="shared" si="5"/>
        <v/>
      </c>
      <c r="R161" t="s">
        <v>393</v>
      </c>
      <c r="S161" t="s">
        <v>487</v>
      </c>
      <c r="T161" t="s">
        <v>111</v>
      </c>
      <c r="U161">
        <v>5</v>
      </c>
      <c r="V161">
        <v>4</v>
      </c>
      <c r="W161">
        <v>4</v>
      </c>
      <c r="X161">
        <v>4</v>
      </c>
      <c r="Y161">
        <v>5</v>
      </c>
      <c r="Z161">
        <v>5</v>
      </c>
      <c r="AA161">
        <v>4</v>
      </c>
      <c r="AB161">
        <v>1</v>
      </c>
      <c r="AC161">
        <v>3.5</v>
      </c>
      <c r="AD161">
        <f t="shared" si="0"/>
        <v>0.5</v>
      </c>
      <c r="AE161" t="s">
        <v>185</v>
      </c>
      <c r="AF161">
        <f t="shared" si="1"/>
        <v>0</v>
      </c>
      <c r="AG161" t="s">
        <v>175</v>
      </c>
      <c r="AH161">
        <f t="shared" si="2"/>
        <v>1</v>
      </c>
      <c r="AI161" t="s">
        <v>232</v>
      </c>
      <c r="AJ161">
        <f t="shared" si="3"/>
        <v>1</v>
      </c>
      <c r="AK161">
        <v>3</v>
      </c>
      <c r="AL161">
        <v>3</v>
      </c>
      <c r="AM161">
        <v>3</v>
      </c>
      <c r="AN161">
        <v>2</v>
      </c>
      <c r="AO161">
        <v>2</v>
      </c>
      <c r="AP161">
        <v>3</v>
      </c>
      <c r="AQ161">
        <v>5</v>
      </c>
      <c r="AR161" t="s">
        <v>1013</v>
      </c>
      <c r="AS161" t="s">
        <v>1335</v>
      </c>
    </row>
    <row r="162" spans="1:45" x14ac:dyDescent="0.25">
      <c r="A162" t="s">
        <v>996</v>
      </c>
      <c r="B162" t="s">
        <v>1016</v>
      </c>
      <c r="C162" t="s">
        <v>42</v>
      </c>
      <c r="D162" t="s">
        <v>1020</v>
      </c>
      <c r="E162">
        <v>2</v>
      </c>
      <c r="F162">
        <v>100</v>
      </c>
      <c r="G162">
        <v>200</v>
      </c>
      <c r="H162">
        <f t="shared" si="4"/>
        <v>200</v>
      </c>
      <c r="I162" t="s">
        <v>114</v>
      </c>
      <c r="J162" t="s">
        <v>1016</v>
      </c>
      <c r="K162" t="s">
        <v>1021</v>
      </c>
      <c r="L162" t="s">
        <v>111</v>
      </c>
      <c r="M162" t="s">
        <v>111</v>
      </c>
      <c r="N162" t="s">
        <v>111</v>
      </c>
      <c r="O162" t="s">
        <v>111</v>
      </c>
      <c r="P162" t="s">
        <v>351</v>
      </c>
      <c r="Q162" t="str">
        <f t="shared" si="5"/>
        <v/>
      </c>
      <c r="R162" t="s">
        <v>352</v>
      </c>
      <c r="S162" t="s">
        <v>487</v>
      </c>
      <c r="T162" t="s">
        <v>111</v>
      </c>
      <c r="U162">
        <v>4</v>
      </c>
      <c r="V162">
        <v>4</v>
      </c>
      <c r="W162">
        <v>4</v>
      </c>
      <c r="X162">
        <v>4</v>
      </c>
      <c r="Y162">
        <v>4</v>
      </c>
      <c r="Z162">
        <v>4</v>
      </c>
      <c r="AA162">
        <v>4</v>
      </c>
      <c r="AB162">
        <v>3</v>
      </c>
      <c r="AC162">
        <v>3</v>
      </c>
      <c r="AD162">
        <f t="shared" si="0"/>
        <v>1</v>
      </c>
      <c r="AE162" t="s">
        <v>140</v>
      </c>
      <c r="AF162">
        <f t="shared" si="1"/>
        <v>1</v>
      </c>
      <c r="AG162" t="s">
        <v>175</v>
      </c>
      <c r="AH162">
        <f t="shared" si="2"/>
        <v>1</v>
      </c>
      <c r="AI162" t="s">
        <v>156</v>
      </c>
      <c r="AJ162">
        <f t="shared" si="3"/>
        <v>4</v>
      </c>
      <c r="AK162">
        <v>4</v>
      </c>
      <c r="AL162">
        <v>4</v>
      </c>
      <c r="AM162">
        <v>4</v>
      </c>
      <c r="AN162">
        <v>4</v>
      </c>
      <c r="AO162">
        <v>4</v>
      </c>
      <c r="AP162">
        <v>4</v>
      </c>
      <c r="AQ162">
        <v>8</v>
      </c>
      <c r="AR162" t="s">
        <v>1022</v>
      </c>
      <c r="AS162" t="s">
        <v>1336</v>
      </c>
    </row>
    <row r="163" spans="1:45" x14ac:dyDescent="0.25">
      <c r="A163" t="s">
        <v>1032</v>
      </c>
      <c r="B163" t="s">
        <v>1033</v>
      </c>
      <c r="C163" t="s">
        <v>42</v>
      </c>
      <c r="D163" t="s">
        <v>389</v>
      </c>
      <c r="E163">
        <v>2</v>
      </c>
      <c r="F163">
        <v>100</v>
      </c>
      <c r="G163">
        <v>87</v>
      </c>
      <c r="H163">
        <f t="shared" si="4"/>
        <v>87</v>
      </c>
      <c r="I163" t="s">
        <v>114</v>
      </c>
      <c r="J163" t="s">
        <v>1033</v>
      </c>
      <c r="K163" t="s">
        <v>1034</v>
      </c>
      <c r="L163" t="s">
        <v>111</v>
      </c>
      <c r="M163" t="s">
        <v>111</v>
      </c>
      <c r="N163" t="s">
        <v>111</v>
      </c>
      <c r="O163" t="s">
        <v>111</v>
      </c>
      <c r="P163" t="s">
        <v>392</v>
      </c>
      <c r="Q163" t="str">
        <f t="shared" si="5"/>
        <v/>
      </c>
      <c r="R163" t="s">
        <v>393</v>
      </c>
      <c r="S163" t="s">
        <v>487</v>
      </c>
      <c r="T163" t="s">
        <v>111</v>
      </c>
      <c r="U163">
        <v>5</v>
      </c>
      <c r="V163">
        <v>5</v>
      </c>
      <c r="W163">
        <v>5</v>
      </c>
      <c r="X163">
        <v>5</v>
      </c>
      <c r="Y163">
        <v>5</v>
      </c>
      <c r="Z163">
        <v>5</v>
      </c>
      <c r="AA163">
        <v>5</v>
      </c>
      <c r="AB163">
        <v>5</v>
      </c>
      <c r="AD163">
        <f t="shared" si="0"/>
        <v>0</v>
      </c>
      <c r="AE163" t="s">
        <v>154</v>
      </c>
      <c r="AF163">
        <f t="shared" si="1"/>
        <v>0</v>
      </c>
      <c r="AG163" t="s">
        <v>175</v>
      </c>
      <c r="AH163">
        <f t="shared" si="2"/>
        <v>1</v>
      </c>
      <c r="AI163" t="s">
        <v>156</v>
      </c>
      <c r="AJ163">
        <f t="shared" si="3"/>
        <v>4</v>
      </c>
      <c r="AK163">
        <v>5</v>
      </c>
      <c r="AL163">
        <v>5</v>
      </c>
      <c r="AM163">
        <v>5</v>
      </c>
      <c r="AN163">
        <v>5</v>
      </c>
      <c r="AO163">
        <v>5</v>
      </c>
      <c r="AP163">
        <v>5</v>
      </c>
      <c r="AQ163">
        <v>10</v>
      </c>
      <c r="AR163" t="s">
        <v>111</v>
      </c>
    </row>
    <row r="164" spans="1:45" x14ac:dyDescent="0.25">
      <c r="A164" t="s">
        <v>1040</v>
      </c>
      <c r="B164" t="s">
        <v>1041</v>
      </c>
      <c r="C164" t="s">
        <v>42</v>
      </c>
      <c r="D164" t="s">
        <v>1042</v>
      </c>
      <c r="E164">
        <v>2</v>
      </c>
      <c r="F164">
        <v>100</v>
      </c>
      <c r="G164">
        <v>208</v>
      </c>
      <c r="H164">
        <f t="shared" si="4"/>
        <v>208</v>
      </c>
      <c r="I164" t="s">
        <v>114</v>
      </c>
      <c r="J164" t="s">
        <v>1041</v>
      </c>
      <c r="K164" t="s">
        <v>1043</v>
      </c>
      <c r="L164" t="s">
        <v>111</v>
      </c>
      <c r="M164" t="s">
        <v>111</v>
      </c>
      <c r="N164" t="s">
        <v>111</v>
      </c>
      <c r="O164" t="s">
        <v>111</v>
      </c>
      <c r="P164" t="s">
        <v>1044</v>
      </c>
      <c r="Q164" t="str">
        <f t="shared" si="5"/>
        <v/>
      </c>
      <c r="R164" t="s">
        <v>1045</v>
      </c>
      <c r="S164" t="s">
        <v>487</v>
      </c>
      <c r="T164" t="s">
        <v>111</v>
      </c>
      <c r="U164">
        <v>5</v>
      </c>
      <c r="V164">
        <v>3</v>
      </c>
      <c r="W164">
        <v>3</v>
      </c>
      <c r="X164">
        <v>5</v>
      </c>
      <c r="Y164">
        <v>2</v>
      </c>
      <c r="Z164">
        <v>4</v>
      </c>
      <c r="AA164">
        <v>5</v>
      </c>
      <c r="AB164">
        <v>1</v>
      </c>
      <c r="AC164">
        <v>3</v>
      </c>
      <c r="AD164">
        <f t="shared" si="0"/>
        <v>1</v>
      </c>
      <c r="AE164" t="s">
        <v>140</v>
      </c>
      <c r="AF164">
        <f t="shared" si="1"/>
        <v>1</v>
      </c>
      <c r="AG164" t="s">
        <v>175</v>
      </c>
      <c r="AH164">
        <f t="shared" si="2"/>
        <v>1</v>
      </c>
      <c r="AI164" t="s">
        <v>450</v>
      </c>
      <c r="AJ164">
        <f t="shared" si="3"/>
        <v>2</v>
      </c>
      <c r="AK164">
        <v>3</v>
      </c>
      <c r="AL164">
        <v>2</v>
      </c>
      <c r="AM164">
        <v>2</v>
      </c>
      <c r="AN164">
        <v>1</v>
      </c>
      <c r="AO164">
        <v>3</v>
      </c>
      <c r="AP164">
        <v>5</v>
      </c>
      <c r="AQ164">
        <v>9</v>
      </c>
      <c r="AR164" t="s">
        <v>1046</v>
      </c>
      <c r="AS164" t="s">
        <v>1337</v>
      </c>
    </row>
    <row r="165" spans="1:45" x14ac:dyDescent="0.25">
      <c r="A165" t="s">
        <v>1075</v>
      </c>
      <c r="B165" t="s">
        <v>1076</v>
      </c>
      <c r="C165" t="s">
        <v>42</v>
      </c>
      <c r="D165" t="s">
        <v>721</v>
      </c>
      <c r="E165">
        <v>2</v>
      </c>
      <c r="F165">
        <v>100</v>
      </c>
      <c r="G165">
        <v>1712</v>
      </c>
      <c r="H165">
        <f t="shared" si="4"/>
        <v>1712</v>
      </c>
      <c r="I165" t="s">
        <v>114</v>
      </c>
      <c r="J165" t="s">
        <v>1076</v>
      </c>
      <c r="K165" t="s">
        <v>1077</v>
      </c>
      <c r="L165" t="s">
        <v>111</v>
      </c>
      <c r="M165" t="s">
        <v>111</v>
      </c>
      <c r="N165" t="s">
        <v>111</v>
      </c>
      <c r="O165" t="s">
        <v>111</v>
      </c>
      <c r="P165" t="s">
        <v>351</v>
      </c>
      <c r="Q165" t="str">
        <f t="shared" si="5"/>
        <v/>
      </c>
      <c r="R165" t="s">
        <v>352</v>
      </c>
      <c r="S165" t="s">
        <v>487</v>
      </c>
      <c r="T165" t="s">
        <v>111</v>
      </c>
      <c r="U165">
        <v>4</v>
      </c>
      <c r="V165">
        <v>4</v>
      </c>
      <c r="W165">
        <v>3</v>
      </c>
      <c r="X165">
        <v>5</v>
      </c>
      <c r="Y165">
        <v>3</v>
      </c>
      <c r="Z165">
        <v>3</v>
      </c>
      <c r="AA165">
        <v>4</v>
      </c>
      <c r="AB165">
        <v>3</v>
      </c>
      <c r="AC165">
        <v>3</v>
      </c>
      <c r="AD165">
        <f t="shared" si="0"/>
        <v>1</v>
      </c>
      <c r="AE165" t="s">
        <v>140</v>
      </c>
      <c r="AF165">
        <f t="shared" si="1"/>
        <v>1</v>
      </c>
      <c r="AG165" t="s">
        <v>155</v>
      </c>
      <c r="AH165">
        <f t="shared" si="2"/>
        <v>0</v>
      </c>
      <c r="AI165" t="s">
        <v>142</v>
      </c>
      <c r="AJ165">
        <f t="shared" si="3"/>
        <v>2</v>
      </c>
      <c r="AK165">
        <v>4</v>
      </c>
      <c r="AL165">
        <v>4</v>
      </c>
      <c r="AM165">
        <v>4</v>
      </c>
      <c r="AN165">
        <v>4</v>
      </c>
      <c r="AO165">
        <v>4</v>
      </c>
      <c r="AP165">
        <v>4</v>
      </c>
      <c r="AQ165">
        <v>8</v>
      </c>
      <c r="AR165" t="s">
        <v>726</v>
      </c>
      <c r="AS165" t="s">
        <v>1336</v>
      </c>
    </row>
    <row r="166" spans="1:45" x14ac:dyDescent="0.25">
      <c r="A166" t="s">
        <v>1105</v>
      </c>
      <c r="B166" t="s">
        <v>1106</v>
      </c>
      <c r="C166" t="s">
        <v>42</v>
      </c>
      <c r="D166" t="s">
        <v>254</v>
      </c>
      <c r="E166">
        <v>2</v>
      </c>
      <c r="F166">
        <v>100</v>
      </c>
      <c r="G166">
        <v>215</v>
      </c>
      <c r="H166">
        <f t="shared" si="4"/>
        <v>215</v>
      </c>
      <c r="I166" t="s">
        <v>114</v>
      </c>
      <c r="J166" t="s">
        <v>1107</v>
      </c>
      <c r="K166" t="s">
        <v>1108</v>
      </c>
      <c r="L166" t="s">
        <v>111</v>
      </c>
      <c r="M166" t="s">
        <v>111</v>
      </c>
      <c r="N166" t="s">
        <v>111</v>
      </c>
      <c r="O166" t="s">
        <v>111</v>
      </c>
      <c r="P166" t="s">
        <v>256</v>
      </c>
      <c r="Q166" t="str">
        <f t="shared" si="5"/>
        <v/>
      </c>
      <c r="R166" t="s">
        <v>257</v>
      </c>
      <c r="S166" t="s">
        <v>127</v>
      </c>
      <c r="T166" t="s">
        <v>111</v>
      </c>
      <c r="U166">
        <v>5</v>
      </c>
      <c r="V166">
        <v>5</v>
      </c>
      <c r="W166">
        <v>4</v>
      </c>
      <c r="X166">
        <v>3</v>
      </c>
      <c r="Y166">
        <v>4</v>
      </c>
      <c r="Z166">
        <v>5</v>
      </c>
      <c r="AA166">
        <v>5</v>
      </c>
      <c r="AB166">
        <v>3</v>
      </c>
      <c r="AC166">
        <v>1.5</v>
      </c>
      <c r="AD166">
        <f t="shared" si="0"/>
        <v>0</v>
      </c>
      <c r="AE166" t="s">
        <v>140</v>
      </c>
      <c r="AF166">
        <f t="shared" si="1"/>
        <v>1</v>
      </c>
      <c r="AG166" t="s">
        <v>175</v>
      </c>
      <c r="AH166">
        <f t="shared" si="2"/>
        <v>1</v>
      </c>
      <c r="AI166" t="s">
        <v>186</v>
      </c>
      <c r="AJ166">
        <f t="shared" si="3"/>
        <v>3</v>
      </c>
      <c r="AK166">
        <v>1</v>
      </c>
      <c r="AL166">
        <v>3</v>
      </c>
      <c r="AM166">
        <v>5</v>
      </c>
      <c r="AN166">
        <v>3</v>
      </c>
      <c r="AO166">
        <v>4</v>
      </c>
      <c r="AP166">
        <v>5</v>
      </c>
      <c r="AQ166">
        <v>8</v>
      </c>
      <c r="AR166" t="s">
        <v>1109</v>
      </c>
      <c r="AS166" t="s">
        <v>1337</v>
      </c>
    </row>
    <row r="167" spans="1:45" x14ac:dyDescent="0.25">
      <c r="A167" t="s">
        <v>1116</v>
      </c>
      <c r="B167" t="s">
        <v>1117</v>
      </c>
      <c r="C167" t="s">
        <v>42</v>
      </c>
      <c r="D167" t="s">
        <v>366</v>
      </c>
      <c r="E167">
        <v>2</v>
      </c>
      <c r="F167">
        <v>100</v>
      </c>
      <c r="G167">
        <v>96</v>
      </c>
      <c r="H167">
        <f t="shared" si="4"/>
        <v>96</v>
      </c>
      <c r="I167" t="s">
        <v>114</v>
      </c>
      <c r="J167" t="s">
        <v>1118</v>
      </c>
      <c r="K167" t="s">
        <v>1119</v>
      </c>
      <c r="L167" t="s">
        <v>111</v>
      </c>
      <c r="M167" t="s">
        <v>111</v>
      </c>
      <c r="N167" t="s">
        <v>111</v>
      </c>
      <c r="O167" t="s">
        <v>111</v>
      </c>
      <c r="P167" t="s">
        <v>115</v>
      </c>
      <c r="Q167" t="str">
        <f t="shared" si="5"/>
        <v/>
      </c>
      <c r="R167" t="s">
        <v>116</v>
      </c>
      <c r="S167" t="s">
        <v>127</v>
      </c>
      <c r="T167" t="s">
        <v>111</v>
      </c>
      <c r="U167">
        <v>5</v>
      </c>
      <c r="V167">
        <v>5</v>
      </c>
      <c r="W167">
        <v>1</v>
      </c>
      <c r="X167">
        <v>3</v>
      </c>
      <c r="Y167">
        <v>5</v>
      </c>
      <c r="Z167">
        <v>2</v>
      </c>
      <c r="AA167">
        <v>5</v>
      </c>
      <c r="AB167">
        <v>3</v>
      </c>
      <c r="AC167">
        <v>4</v>
      </c>
      <c r="AD167">
        <f t="shared" si="0"/>
        <v>0</v>
      </c>
      <c r="AE167" t="s">
        <v>154</v>
      </c>
      <c r="AF167">
        <f t="shared" si="1"/>
        <v>0</v>
      </c>
      <c r="AG167" t="s">
        <v>155</v>
      </c>
      <c r="AH167">
        <f t="shared" si="2"/>
        <v>0</v>
      </c>
      <c r="AI167" t="s">
        <v>167</v>
      </c>
      <c r="AJ167">
        <f t="shared" si="3"/>
        <v>3</v>
      </c>
      <c r="AK167">
        <v>5</v>
      </c>
      <c r="AL167">
        <v>5</v>
      </c>
      <c r="AM167">
        <v>5</v>
      </c>
      <c r="AN167">
        <v>2</v>
      </c>
      <c r="AO167">
        <v>5</v>
      </c>
      <c r="AP167">
        <v>5</v>
      </c>
      <c r="AQ167">
        <v>10</v>
      </c>
      <c r="AR167" t="s">
        <v>1120</v>
      </c>
      <c r="AS167" t="s">
        <v>1338</v>
      </c>
    </row>
    <row r="168" spans="1:45" x14ac:dyDescent="0.25">
      <c r="A168" t="s">
        <v>1170</v>
      </c>
      <c r="B168" t="s">
        <v>1171</v>
      </c>
      <c r="C168" t="s">
        <v>42</v>
      </c>
      <c r="D168" t="s">
        <v>1172</v>
      </c>
      <c r="E168">
        <v>2</v>
      </c>
      <c r="F168">
        <v>100</v>
      </c>
      <c r="G168">
        <v>164</v>
      </c>
      <c r="H168">
        <f t="shared" si="4"/>
        <v>164</v>
      </c>
      <c r="I168" t="s">
        <v>114</v>
      </c>
      <c r="J168" t="s">
        <v>1173</v>
      </c>
      <c r="K168" t="s">
        <v>1174</v>
      </c>
      <c r="L168" t="s">
        <v>111</v>
      </c>
      <c r="M168" t="s">
        <v>111</v>
      </c>
      <c r="N168" t="s">
        <v>111</v>
      </c>
      <c r="O168" t="s">
        <v>111</v>
      </c>
      <c r="P168" t="s">
        <v>1175</v>
      </c>
      <c r="Q168" t="str">
        <f t="shared" si="5"/>
        <v/>
      </c>
      <c r="R168" t="s">
        <v>1176</v>
      </c>
      <c r="S168" t="s">
        <v>127</v>
      </c>
      <c r="T168" t="s">
        <v>111</v>
      </c>
      <c r="U168">
        <v>4</v>
      </c>
      <c r="V168">
        <v>2</v>
      </c>
      <c r="W168">
        <v>4</v>
      </c>
      <c r="X168">
        <v>5</v>
      </c>
      <c r="Y168">
        <v>3</v>
      </c>
      <c r="Z168">
        <v>2</v>
      </c>
      <c r="AA168">
        <v>5</v>
      </c>
      <c r="AB168">
        <v>1</v>
      </c>
      <c r="AC168">
        <v>2.5</v>
      </c>
      <c r="AD168">
        <f t="shared" si="0"/>
        <v>0.5</v>
      </c>
      <c r="AE168" t="s">
        <v>140</v>
      </c>
      <c r="AF168">
        <f t="shared" si="1"/>
        <v>1</v>
      </c>
      <c r="AG168" t="s">
        <v>175</v>
      </c>
      <c r="AH168">
        <f t="shared" si="2"/>
        <v>1</v>
      </c>
      <c r="AI168" t="s">
        <v>1177</v>
      </c>
      <c r="AJ168">
        <f t="shared" si="3"/>
        <v>1</v>
      </c>
      <c r="AK168">
        <v>4</v>
      </c>
      <c r="AL168">
        <v>1</v>
      </c>
      <c r="AM168">
        <v>4</v>
      </c>
      <c r="AN168">
        <v>1</v>
      </c>
      <c r="AO168">
        <v>4</v>
      </c>
      <c r="AP168">
        <v>4</v>
      </c>
      <c r="AQ168">
        <v>10</v>
      </c>
      <c r="AR168" t="s">
        <v>1178</v>
      </c>
      <c r="AS168" t="s">
        <v>1333</v>
      </c>
    </row>
    <row r="169" spans="1:45" x14ac:dyDescent="0.25">
      <c r="A169" t="s">
        <v>1215</v>
      </c>
      <c r="B169" t="s">
        <v>1216</v>
      </c>
      <c r="C169" t="s">
        <v>42</v>
      </c>
      <c r="D169" t="s">
        <v>1217</v>
      </c>
      <c r="E169">
        <v>2</v>
      </c>
      <c r="F169">
        <v>100</v>
      </c>
      <c r="G169">
        <v>127</v>
      </c>
      <c r="H169">
        <f t="shared" si="4"/>
        <v>127</v>
      </c>
      <c r="I169" t="s">
        <v>114</v>
      </c>
      <c r="J169" t="s">
        <v>1216</v>
      </c>
      <c r="K169" t="s">
        <v>1218</v>
      </c>
      <c r="L169" t="s">
        <v>111</v>
      </c>
      <c r="M169" t="s">
        <v>111</v>
      </c>
      <c r="N169" t="s">
        <v>111</v>
      </c>
      <c r="O169" t="s">
        <v>111</v>
      </c>
      <c r="P169" t="s">
        <v>1219</v>
      </c>
      <c r="Q169" t="str">
        <f t="shared" si="5"/>
        <v/>
      </c>
      <c r="R169" t="s">
        <v>1220</v>
      </c>
      <c r="S169" t="s">
        <v>127</v>
      </c>
      <c r="T169" t="s">
        <v>111</v>
      </c>
      <c r="U169">
        <v>3</v>
      </c>
      <c r="V169">
        <v>3</v>
      </c>
      <c r="W169">
        <v>2</v>
      </c>
      <c r="X169">
        <v>3</v>
      </c>
      <c r="Y169">
        <v>1</v>
      </c>
      <c r="Z169">
        <v>3</v>
      </c>
      <c r="AA169">
        <v>4</v>
      </c>
      <c r="AB169">
        <v>2</v>
      </c>
      <c r="AC169">
        <v>3</v>
      </c>
      <c r="AD169">
        <f>IF(AC169 = 3, 1, IF(AC169 = 2.5, 0.5, IF(AC169 = 3.5, 0.5, 0)))</f>
        <v>1</v>
      </c>
      <c r="AE169" t="s">
        <v>140</v>
      </c>
      <c r="AF169">
        <f>IF(AE169="PM &lt; 2.5 μm", 1, 0)</f>
        <v>1</v>
      </c>
      <c r="AG169" t="s">
        <v>175</v>
      </c>
      <c r="AH169">
        <f>IF(AG169="Particles of this size are generally absorbed in the respiratory tract and safely excreted in mucus.", 1, 0)</f>
        <v>1</v>
      </c>
      <c r="AI169" t="s">
        <v>186</v>
      </c>
      <c r="AJ169">
        <f>IF(ISNUMBER(SEARCH("Trucks", AI169)) = TRUE, 1, 0) + IF(ISNUMBER(SEARCH("Cars", AI169)) = TRUE, 1, 0) + IF(ISNUMBER(SEARCH("Fireplaces",AI169)) = TRUE, 1, 0) + IF(ISNUMBER(SEARCH("Dirt Roads", AI169)) = TRUE, 1, 0) - IF(ISNUMBER(SEARCH("Electric Vehicles",AI169)) = TRUE, 1, 0) - IF(ISNUMBER(SEARCH("Pollen",AI169)) = TRUE, 1, 0)</f>
        <v>3</v>
      </c>
      <c r="AK169">
        <v>5</v>
      </c>
      <c r="AL169">
        <v>5</v>
      </c>
      <c r="AM169">
        <v>5</v>
      </c>
      <c r="AN169">
        <v>5</v>
      </c>
      <c r="AO169">
        <v>5</v>
      </c>
      <c r="AP169">
        <v>5</v>
      </c>
      <c r="AQ169">
        <v>9</v>
      </c>
      <c r="AR169" t="s">
        <v>111</v>
      </c>
    </row>
    <row r="170" spans="1:45" x14ac:dyDescent="0.25">
      <c r="A170" t="s">
        <v>1230</v>
      </c>
      <c r="B170" t="s">
        <v>1231</v>
      </c>
      <c r="C170" t="s">
        <v>42</v>
      </c>
      <c r="D170" t="s">
        <v>1232</v>
      </c>
      <c r="E170">
        <v>2</v>
      </c>
      <c r="F170">
        <v>100</v>
      </c>
      <c r="G170">
        <v>74</v>
      </c>
      <c r="H170">
        <f>_xlfn.NUMBERVALUE(G170)</f>
        <v>74</v>
      </c>
      <c r="I170" t="s">
        <v>114</v>
      </c>
      <c r="J170" t="s">
        <v>1231</v>
      </c>
      <c r="K170" t="s">
        <v>1233</v>
      </c>
      <c r="L170" t="s">
        <v>111</v>
      </c>
      <c r="M170" t="s">
        <v>111</v>
      </c>
      <c r="N170" t="s">
        <v>111</v>
      </c>
      <c r="O170" t="s">
        <v>111</v>
      </c>
      <c r="P170" t="s">
        <v>351</v>
      </c>
      <c r="Q170" t="str">
        <f>IF(COUNTIF($Q$5:$Q$72, P170)=1, "Unique", "")</f>
        <v/>
      </c>
      <c r="R170" t="s">
        <v>352</v>
      </c>
      <c r="S170" t="s">
        <v>127</v>
      </c>
      <c r="T170" t="s">
        <v>111</v>
      </c>
      <c r="U170">
        <v>5</v>
      </c>
      <c r="V170">
        <v>4</v>
      </c>
      <c r="W170">
        <v>4</v>
      </c>
      <c r="X170">
        <v>5</v>
      </c>
      <c r="Y170">
        <v>3</v>
      </c>
      <c r="Z170">
        <v>3</v>
      </c>
      <c r="AA170">
        <v>5</v>
      </c>
      <c r="AB170">
        <v>3</v>
      </c>
      <c r="AC170">
        <v>4</v>
      </c>
      <c r="AD170">
        <f>IF(AC170 = 3, 1, IF(AC170 = 2.5, 0.5, IF(AC170 = 3.5, 0.5, 0)))</f>
        <v>0</v>
      </c>
      <c r="AE170" t="s">
        <v>140</v>
      </c>
      <c r="AF170">
        <f>IF(AE170="PM &lt; 2.5 μm", 1, 0)</f>
        <v>1</v>
      </c>
      <c r="AG170" t="s">
        <v>141</v>
      </c>
      <c r="AH170">
        <f>IF(AG170="Particles of this size are generally absorbed in the respiratory tract and safely excreted in mucus.", 1, 0)</f>
        <v>0</v>
      </c>
      <c r="AI170" t="s">
        <v>156</v>
      </c>
      <c r="AJ170">
        <f>IF(ISNUMBER(SEARCH("Trucks", AI170)) = TRUE, 1, 0) + IF(ISNUMBER(SEARCH("Cars", AI170)) = TRUE, 1, 0) + IF(ISNUMBER(SEARCH("Fireplaces",AI170)) = TRUE, 1, 0) + IF(ISNUMBER(SEARCH("Dirt Roads", AI170)) = TRUE, 1, 0) - IF(ISNUMBER(SEARCH("Electric Vehicles",AI170)) = TRUE, 1, 0) - IF(ISNUMBER(SEARCH("Pollen",AI170)) = TRUE, 1, 0)</f>
        <v>4</v>
      </c>
      <c r="AK170">
        <v>4</v>
      </c>
      <c r="AL170">
        <v>5</v>
      </c>
      <c r="AM170">
        <v>3</v>
      </c>
      <c r="AN170">
        <v>3</v>
      </c>
      <c r="AO170">
        <v>4</v>
      </c>
      <c r="AP170">
        <v>5</v>
      </c>
      <c r="AQ170">
        <v>8</v>
      </c>
      <c r="AR170" t="s">
        <v>111</v>
      </c>
    </row>
    <row r="171" spans="1:45" x14ac:dyDescent="0.25">
      <c r="A171" t="s">
        <v>1258</v>
      </c>
      <c r="B171" t="s">
        <v>1259</v>
      </c>
      <c r="C171" t="s">
        <v>42</v>
      </c>
      <c r="D171" t="s">
        <v>389</v>
      </c>
      <c r="E171">
        <v>2</v>
      </c>
      <c r="F171">
        <v>100</v>
      </c>
      <c r="G171">
        <v>59</v>
      </c>
      <c r="H171">
        <f>_xlfn.NUMBERVALUE(G171)</f>
        <v>59</v>
      </c>
      <c r="I171" t="s">
        <v>114</v>
      </c>
      <c r="J171" t="s">
        <v>1260</v>
      </c>
      <c r="K171" t="s">
        <v>1261</v>
      </c>
      <c r="L171" t="s">
        <v>111</v>
      </c>
      <c r="M171" t="s">
        <v>111</v>
      </c>
      <c r="N171" t="s">
        <v>111</v>
      </c>
      <c r="O171" t="s">
        <v>111</v>
      </c>
      <c r="P171" t="s">
        <v>392</v>
      </c>
      <c r="Q171" t="str">
        <f>IF(COUNTIF($Q$5:$Q$72, P171)=1, "Unique", "")</f>
        <v/>
      </c>
      <c r="R171" t="s">
        <v>393</v>
      </c>
      <c r="S171" t="s">
        <v>127</v>
      </c>
      <c r="T171" t="s">
        <v>111</v>
      </c>
      <c r="U171">
        <v>5</v>
      </c>
      <c r="V171">
        <v>5</v>
      </c>
      <c r="W171">
        <v>5</v>
      </c>
      <c r="X171">
        <v>5</v>
      </c>
      <c r="Y171">
        <v>5</v>
      </c>
      <c r="Z171">
        <v>5</v>
      </c>
      <c r="AA171">
        <v>5</v>
      </c>
      <c r="AB171">
        <v>5</v>
      </c>
      <c r="AC171">
        <v>5</v>
      </c>
      <c r="AD171">
        <f>IF(AC171 = 3, 1, IF(AC171 = 2.5, 0.5, IF(AC171 = 3.5, 0.5, 0)))</f>
        <v>0</v>
      </c>
      <c r="AE171" t="s">
        <v>185</v>
      </c>
      <c r="AF171">
        <f>IF(AE171="PM &lt; 2.5 μm", 1, 0)</f>
        <v>0</v>
      </c>
      <c r="AG171" t="s">
        <v>131</v>
      </c>
      <c r="AH171">
        <f>IF(AG171="Particles of this size are generally absorbed in the respiratory tract and safely excreted in mucus.", 1, 0)</f>
        <v>0</v>
      </c>
      <c r="AI171" t="s">
        <v>142</v>
      </c>
      <c r="AJ171">
        <f>IF(ISNUMBER(SEARCH("Trucks", AI171)) = TRUE, 1, 0) + IF(ISNUMBER(SEARCH("Cars", AI171)) = TRUE, 1, 0) + IF(ISNUMBER(SEARCH("Fireplaces",AI171)) = TRUE, 1, 0) + IF(ISNUMBER(SEARCH("Dirt Roads", AI171)) = TRUE, 1, 0) - IF(ISNUMBER(SEARCH("Electric Vehicles",AI171)) = TRUE, 1, 0) - IF(ISNUMBER(SEARCH("Pollen",AI171)) = TRUE, 1, 0)</f>
        <v>2</v>
      </c>
      <c r="AK171">
        <v>5</v>
      </c>
      <c r="AL171">
        <v>5</v>
      </c>
      <c r="AM171">
        <v>5</v>
      </c>
      <c r="AN171">
        <v>5</v>
      </c>
      <c r="AO171">
        <v>5</v>
      </c>
      <c r="AP171">
        <v>5</v>
      </c>
      <c r="AQ171">
        <v>10</v>
      </c>
      <c r="AR171" t="s">
        <v>111</v>
      </c>
    </row>
    <row r="172" spans="1:45" x14ac:dyDescent="0.25">
      <c r="A172" t="s">
        <v>1308</v>
      </c>
      <c r="B172" t="s">
        <v>1309</v>
      </c>
      <c r="C172" t="s">
        <v>42</v>
      </c>
      <c r="D172" t="s">
        <v>832</v>
      </c>
      <c r="E172">
        <v>2</v>
      </c>
      <c r="F172">
        <v>55</v>
      </c>
      <c r="G172">
        <v>208</v>
      </c>
      <c r="H172">
        <f>_xlfn.NUMBERVALUE(G172)</f>
        <v>208</v>
      </c>
      <c r="I172" t="s">
        <v>821</v>
      </c>
      <c r="J172" t="s">
        <v>1310</v>
      </c>
      <c r="K172" t="s">
        <v>1311</v>
      </c>
      <c r="L172" t="s">
        <v>111</v>
      </c>
      <c r="M172" t="s">
        <v>111</v>
      </c>
      <c r="N172" t="s">
        <v>111</v>
      </c>
      <c r="O172" t="s">
        <v>111</v>
      </c>
      <c r="P172" t="s">
        <v>111</v>
      </c>
      <c r="Q172" t="str">
        <f>IF(COUNTIF($Q$5:$Q$72, P172)=1, "Unique", "")</f>
        <v/>
      </c>
      <c r="R172" t="s">
        <v>111</v>
      </c>
      <c r="S172" t="s">
        <v>127</v>
      </c>
      <c r="T172" t="s">
        <v>1312</v>
      </c>
      <c r="U172">
        <v>5</v>
      </c>
      <c r="V172">
        <v>5</v>
      </c>
      <c r="W172">
        <v>5</v>
      </c>
      <c r="X172">
        <v>5</v>
      </c>
      <c r="Y172">
        <v>5</v>
      </c>
      <c r="Z172">
        <v>5</v>
      </c>
      <c r="AA172">
        <v>5</v>
      </c>
      <c r="AB172">
        <v>5</v>
      </c>
      <c r="AC172">
        <v>5</v>
      </c>
      <c r="AD172">
        <f>IF(AC172 = 3, 1, IF(AC172 = 2.5, 0.5, IF(AC172 = 3.5, 0.5, 0)))</f>
        <v>0</v>
      </c>
      <c r="AE172" t="s">
        <v>154</v>
      </c>
      <c r="AF172">
        <f>IF(AE172="PM &lt; 2.5 μm", 1, 0)</f>
        <v>0</v>
      </c>
      <c r="AG172" t="s">
        <v>111</v>
      </c>
      <c r="AI172" t="s">
        <v>111</v>
      </c>
      <c r="AK172" t="s">
        <v>111</v>
      </c>
      <c r="AL172" t="s">
        <v>111</v>
      </c>
      <c r="AM172" t="s">
        <v>111</v>
      </c>
      <c r="AN172" t="s">
        <v>111</v>
      </c>
      <c r="AO172" t="s">
        <v>111</v>
      </c>
      <c r="AP172" t="s">
        <v>111</v>
      </c>
      <c r="AQ172" t="s">
        <v>111</v>
      </c>
      <c r="AR172" t="s">
        <v>111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w E A A B Q S w M E F A A C A A g A I n o y V 5 2 I Z o +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a C U y E E 5 c B m C L n F r y C m v c / 2 B 8 J 6 a P z Q G 2 k w 3 h X A 5 g j s / U E + A F B L A w Q U A A I A C A A i e j J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n o y V 3 S K T l P n A Q A A L y g A A B M A H A B G b 3 J t d W x h c y 9 T Z W N 0 a W 9 u M S 5 t I K I Y A C i g F A A A A A A A A A A A A A A A A A A A A A A A A A A A A O 2 X Q W v b M B T H 7 4 F + h 4 d 7 S c B 1 r K e m z R g 7 J R 2 7 D D a S n k o p r q O l Y o 4 0 L D l b K P 3 u U 5 b C K O W f W w b N 3 s G Y 9 5 f t p x + 2 f 0 j B 1 N F 6 R 7 P d W b 0 / 6 Z 3 0 w k P V m g W d Z l e f 6 E t r z m Z d u z a b u 8 / V h r j M 0 8 H 6 r h w T c 0 Y f q D G x R z T z X V u b V E 7 C u p j 6 u l s Z F / s f b W O K i X c x F a G f D a + D a c O w u r f L y j a N + R 5 i F 2 0 Y T v 1 P 1 / h q E Y Z 7 G x b M R R 3 W 2 S C n m 6 l p 7 M p G 0 6 a W W Z 7 l N P F N t 3 I h l X q c 0 5 W r / c K 6 Z S o v R m W p c v r a + W h m c d N s J / m 3 K N J 8 b w d 5 I j j N J g + V W y b u + s + j K G 5 + m C 3 g v L p P 1 8 3 b y o V v v l 3 t G s 3 T Y O j v q H N 6 f M x 2 s U o z 2 d 5 H 0 f y K T 2 n g O W e Q a 5 C f g 3 w E 8 g u Q X 4 J 8 D P J 3 I F c l G k D E C i E r x K w Q t E L U C m E r x K 0 Q u E L k j M g Z v m t E z o i c E T k j c k b k j M g Z k T M i 1 4 h c I 3 I N P 3 N E r h G 5 R u Q a k W t E r l + S P w 1 6 1 s H / / b X / f I g v f M T P P l K K y v I g A s Q d i 7 I U A 4 o B x Y B i w H 9 o w H 0 r Q O r z Q F a B 4 k B x o D j w m B 2 4 d x V 4 M A n K S l A s K B Y U C 7 4 R C 2 q x o F h Q L C g W P G 4 L 7 t 8 P H 0 i C s h 8 W B 4 o D x Y F v w o H n 4 k B x o D h Q H P g f O 3 A k D h Q H i g P F g c f k w N 9 Q S w E C L Q A U A A I A C A A i e j J X n Y h m j 6 M A A A D 2 A A A A E g A A A A A A A A A A A A A A A A A A A A A A Q 2 9 u Z m l n L 1 B h Y 2 t h Z 2 U u e G 1 s U E s B A i 0 A F A A C A A g A I n o y V w / K 6 a u k A A A A 6 Q A A A B M A A A A A A A A A A A A A A A A A 7 w A A A F t D b 2 5 0 Z W 5 0 X 1 R 5 c G V z X S 5 4 b W x Q S w E C L Q A U A A I A C A A i e j J X d I p O U + c B A A A v K A A A E w A A A A A A A A A A A A A A A A D g A Q A A R m 9 y b X V s Y X M v U 2 V j d G l v b j E u b V B L B Q Y A A A A A A w A D A M I A A A A U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c I Q E A A A A A A P o g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0 V I J T I w U H J l L V N 1 c n Z l e V 9 N Y X k l M j A y M C U y Q y U y M D I w M j N f M D g l M j A y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Y W J s Z V 9 F S F 9 Q c m V f U 3 V y d m V 5 X 0 1 h e V 8 y M F 9 f M j A y M 1 8 w O F 8 y M i I g L z 4 8 R W 5 0 c n k g V H l w Z T 0 i R m l s b G V k Q 2 9 t c G x l d G V S Z X N 1 b H R U b 1 d v c m t z a G V l d C I g V m F s d W U 9 I m w x I i A v P j x F b n R y e S B U e X B l P S J G a W x s U 3 R h d H V z I i B W Y W x 1 Z T 0 i c 1 d h a X R p b m d G b 3 J F e G N l b F J l Z n J l c 2 g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t d I i A v P j x F b n R y e S B U e X B l P S J G a W x s Q 2 9 s d W 1 u V H l w Z X M i I F Z h b H V l P S J z Q m d Z R 0 J n W U d C Z 1 l H Q m d Z R 0 J n W U d C Z 1 l H Q m d Z R 0 J n W U d C Z 1 l H Q m d Z R 0 J n W U d C Z 1 l H Q m d Z P S I g L z 4 8 R W 5 0 c n k g V H l w Z T 0 i R m l s b E x h c 3 R V c G R h d G V k I i B W Y W x 1 Z T 0 i Z D I w M j M t M D k t M T F U M T k 6 M T E 6 M T U u N D A 0 O D Q y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I I F B y Z S 1 T d X J 2 Z X l f T W F 5 I D I w L C A y M D I z X z A 4 I D I y L 0 F 1 d G 9 S Z W 1 v d m V k Q 2 9 s d W 1 u c z E u e 0 N v b H V t b j E s M H 0 m c X V v d D s s J n F 1 b 3 Q 7 U 2 V j d G l v b j E v R U g g U H J l L V N 1 c n Z l e V 9 N Y X k g M j A s I D I w M j N f M D g g M j I v Q X V 0 b 1 J l b W 9 2 Z W R D b 2 x 1 b W 5 z M S 5 7 Q 2 9 s d W 1 u M i w x f S Z x d W 9 0 O y w m c X V v d D t T Z W N 0 a W 9 u M S 9 F S C B Q c m U t U 3 V y d m V 5 X 0 1 h e S A y M C w g M j A y M 1 8 w O C A y M i 9 B d X R v U m V t b 3 Z l Z E N v b H V t b n M x L n t D b 2 x 1 b W 4 z L D J 9 J n F 1 b 3 Q 7 L C Z x d W 9 0 O 1 N l Y 3 R p b 2 4 x L 0 V I I F B y Z S 1 T d X J 2 Z X l f T W F 5 I D I w L C A y M D I z X z A 4 I D I y L 0 F 1 d G 9 S Z W 1 v d m V k Q 2 9 s d W 1 u c z E u e 0 N v b H V t b j Q s M 3 0 m c X V v d D s s J n F 1 b 3 Q 7 U 2 V j d G l v b j E v R U g g U H J l L V N 1 c n Z l e V 9 N Y X k g M j A s I D I w M j N f M D g g M j I v Q X V 0 b 1 J l b W 9 2 Z W R D b 2 x 1 b W 5 z M S 5 7 Q 2 9 s d W 1 u N S w 0 f S Z x d W 9 0 O y w m c X V v d D t T Z W N 0 a W 9 u M S 9 F S C B Q c m U t U 3 V y d m V 5 X 0 1 h e S A y M C w g M j A y M 1 8 w O C A y M i 9 B d X R v U m V t b 3 Z l Z E N v b H V t b n M x L n t D b 2 x 1 b W 4 2 L D V 9 J n F 1 b 3 Q 7 L C Z x d W 9 0 O 1 N l Y 3 R p b 2 4 x L 0 V I I F B y Z S 1 T d X J 2 Z X l f T W F 5 I D I w L C A y M D I z X z A 4 I D I y L 0 F 1 d G 9 S Z W 1 v d m V k Q 2 9 s d W 1 u c z E u e 0 N v b H V t b j c s N n 0 m c X V v d D s s J n F 1 b 3 Q 7 U 2 V j d G l v b j E v R U g g U H J l L V N 1 c n Z l e V 9 N Y X k g M j A s I D I w M j N f M D g g M j I v Q X V 0 b 1 J l b W 9 2 Z W R D b 2 x 1 b W 5 z M S 5 7 Q 2 9 s d W 1 u O C w 3 f S Z x d W 9 0 O y w m c X V v d D t T Z W N 0 a W 9 u M S 9 F S C B Q c m U t U 3 V y d m V 5 X 0 1 h e S A y M C w g M j A y M 1 8 w O C A y M i 9 B d X R v U m V t b 3 Z l Z E N v b H V t b n M x L n t D b 2 x 1 b W 4 5 L D h 9 J n F 1 b 3 Q 7 L C Z x d W 9 0 O 1 N l Y 3 R p b 2 4 x L 0 V I I F B y Z S 1 T d X J 2 Z X l f T W F 5 I D I w L C A y M D I z X z A 4 I D I y L 0 F 1 d G 9 S Z W 1 v d m V k Q 2 9 s d W 1 u c z E u e 0 N v b H V t b j E w L D l 9 J n F 1 b 3 Q 7 L C Z x d W 9 0 O 1 N l Y 3 R p b 2 4 x L 0 V I I F B y Z S 1 T d X J 2 Z X l f T W F 5 I D I w L C A y M D I z X z A 4 I D I y L 0 F 1 d G 9 S Z W 1 v d m V k Q 2 9 s d W 1 u c z E u e 0 N v b H V t b j E x L D E w f S Z x d W 9 0 O y w m c X V v d D t T Z W N 0 a W 9 u M S 9 F S C B Q c m U t U 3 V y d m V 5 X 0 1 h e S A y M C w g M j A y M 1 8 w O C A y M i 9 B d X R v U m V t b 3 Z l Z E N v b H V t b n M x L n t D b 2 x 1 b W 4 x M i w x M X 0 m c X V v d D s s J n F 1 b 3 Q 7 U 2 V j d G l v b j E v R U g g U H J l L V N 1 c n Z l e V 9 N Y X k g M j A s I D I w M j N f M D g g M j I v Q X V 0 b 1 J l b W 9 2 Z W R D b 2 x 1 b W 5 z M S 5 7 Q 2 9 s d W 1 u M T M s M T J 9 J n F 1 b 3 Q 7 L C Z x d W 9 0 O 1 N l Y 3 R p b 2 4 x L 0 V I I F B y Z S 1 T d X J 2 Z X l f T W F 5 I D I w L C A y M D I z X z A 4 I D I y L 0 F 1 d G 9 S Z W 1 v d m V k Q 2 9 s d W 1 u c z E u e 0 N v b H V t b j E 0 L D E z f S Z x d W 9 0 O y w m c X V v d D t T Z W N 0 a W 9 u M S 9 F S C B Q c m U t U 3 V y d m V 5 X 0 1 h e S A y M C w g M j A y M 1 8 w O C A y M i 9 B d X R v U m V t b 3 Z l Z E N v b H V t b n M x L n t D b 2 x 1 b W 4 x N S w x N H 0 m c X V v d D s s J n F 1 b 3 Q 7 U 2 V j d G l v b j E v R U g g U H J l L V N 1 c n Z l e V 9 N Y X k g M j A s I D I w M j N f M D g g M j I v Q X V 0 b 1 J l b W 9 2 Z W R D b 2 x 1 b W 5 z M S 5 7 Q 2 9 s d W 1 u M T Y s M T V 9 J n F 1 b 3 Q 7 L C Z x d W 9 0 O 1 N l Y 3 R p b 2 4 x L 0 V I I F B y Z S 1 T d X J 2 Z X l f T W F 5 I D I w L C A y M D I z X z A 4 I D I y L 0 F 1 d G 9 S Z W 1 v d m V k Q 2 9 s d W 1 u c z E u e 0 N v b H V t b j E 3 L D E 2 f S Z x d W 9 0 O y w m c X V v d D t T Z W N 0 a W 9 u M S 9 F S C B Q c m U t U 3 V y d m V 5 X 0 1 h e S A y M C w g M j A y M 1 8 w O C A y M i 9 B d X R v U m V t b 3 Z l Z E N v b H V t b n M x L n t D b 2 x 1 b W 4 x O C w x N 3 0 m c X V v d D s s J n F 1 b 3 Q 7 U 2 V j d G l v b j E v R U g g U H J l L V N 1 c n Z l e V 9 N Y X k g M j A s I D I w M j N f M D g g M j I v Q X V 0 b 1 J l b W 9 2 Z W R D b 2 x 1 b W 5 z M S 5 7 Q 2 9 s d W 1 u M T k s M T h 9 J n F 1 b 3 Q 7 L C Z x d W 9 0 O 1 N l Y 3 R p b 2 4 x L 0 V I I F B y Z S 1 T d X J 2 Z X l f T W F 5 I D I w L C A y M D I z X z A 4 I D I y L 0 F 1 d G 9 S Z W 1 v d m V k Q 2 9 s d W 1 u c z E u e 0 N v b H V t b j I w L D E 5 f S Z x d W 9 0 O y w m c X V v d D t T Z W N 0 a W 9 u M S 9 F S C B Q c m U t U 3 V y d m V 5 X 0 1 h e S A y M C w g M j A y M 1 8 w O C A y M i 9 B d X R v U m V t b 3 Z l Z E N v b H V t b n M x L n t D b 2 x 1 b W 4 y M S w y M H 0 m c X V v d D s s J n F 1 b 3 Q 7 U 2 V j d G l v b j E v R U g g U H J l L V N 1 c n Z l e V 9 N Y X k g M j A s I D I w M j N f M D g g M j I v Q X V 0 b 1 J l b W 9 2 Z W R D b 2 x 1 b W 5 z M S 5 7 Q 2 9 s d W 1 u M j I s M j F 9 J n F 1 b 3 Q 7 L C Z x d W 9 0 O 1 N l Y 3 R p b 2 4 x L 0 V I I F B y Z S 1 T d X J 2 Z X l f T W F 5 I D I w L C A y M D I z X z A 4 I D I y L 0 F 1 d G 9 S Z W 1 v d m V k Q 2 9 s d W 1 u c z E u e 0 N v b H V t b j I z L D I y f S Z x d W 9 0 O y w m c X V v d D t T Z W N 0 a W 9 u M S 9 F S C B Q c m U t U 3 V y d m V 5 X 0 1 h e S A y M C w g M j A y M 1 8 w O C A y M i 9 B d X R v U m V t b 3 Z l Z E N v b H V t b n M x L n t D b 2 x 1 b W 4 y N C w y M 3 0 m c X V v d D s s J n F 1 b 3 Q 7 U 2 V j d G l v b j E v R U g g U H J l L V N 1 c n Z l e V 9 N Y X k g M j A s I D I w M j N f M D g g M j I v Q X V 0 b 1 J l b W 9 2 Z W R D b 2 x 1 b W 5 z M S 5 7 Q 2 9 s d W 1 u M j U s M j R 9 J n F 1 b 3 Q 7 L C Z x d W 9 0 O 1 N l Y 3 R p b 2 4 x L 0 V I I F B y Z S 1 T d X J 2 Z X l f T W F 5 I D I w L C A y M D I z X z A 4 I D I y L 0 F 1 d G 9 S Z W 1 v d m V k Q 2 9 s d W 1 u c z E u e 0 N v b H V t b j I 2 L D I 1 f S Z x d W 9 0 O y w m c X V v d D t T Z W N 0 a W 9 u M S 9 F S C B Q c m U t U 3 V y d m V 5 X 0 1 h e S A y M C w g M j A y M 1 8 w O C A y M i 9 B d X R v U m V t b 3 Z l Z E N v b H V t b n M x L n t D b 2 x 1 b W 4 y N y w y N n 0 m c X V v d D s s J n F 1 b 3 Q 7 U 2 V j d G l v b j E v R U g g U H J l L V N 1 c n Z l e V 9 N Y X k g M j A s I D I w M j N f M D g g M j I v Q X V 0 b 1 J l b W 9 2 Z W R D b 2 x 1 b W 5 z M S 5 7 Q 2 9 s d W 1 u M j g s M j d 9 J n F 1 b 3 Q 7 L C Z x d W 9 0 O 1 N l Y 3 R p b 2 4 x L 0 V I I F B y Z S 1 T d X J 2 Z X l f T W F 5 I D I w L C A y M D I z X z A 4 I D I y L 0 F 1 d G 9 S Z W 1 v d m V k Q 2 9 s d W 1 u c z E u e 0 N v b H V t b j I 5 L D I 4 f S Z x d W 9 0 O y w m c X V v d D t T Z W N 0 a W 9 u M S 9 F S C B Q c m U t U 3 V y d m V 5 X 0 1 h e S A y M C w g M j A y M 1 8 w O C A y M i 9 B d X R v U m V t b 3 Z l Z E N v b H V t b n M x L n t D b 2 x 1 b W 4 z M C w y O X 0 m c X V v d D s s J n F 1 b 3 Q 7 U 2 V j d G l v b j E v R U g g U H J l L V N 1 c n Z l e V 9 N Y X k g M j A s I D I w M j N f M D g g M j I v Q X V 0 b 1 J l b W 9 2 Z W R D b 2 x 1 b W 5 z M S 5 7 Q 2 9 s d W 1 u M z E s M z B 9 J n F 1 b 3 Q 7 L C Z x d W 9 0 O 1 N l Y 3 R p b 2 4 x L 0 V I I F B y Z S 1 T d X J 2 Z X l f T W F 5 I D I w L C A y M D I z X z A 4 I D I y L 0 F 1 d G 9 S Z W 1 v d m V k Q 2 9 s d W 1 u c z E u e 0 N v b H V t b j M y L D M x f S Z x d W 9 0 O y w m c X V v d D t T Z W N 0 a W 9 u M S 9 F S C B Q c m U t U 3 V y d m V 5 X 0 1 h e S A y M C w g M j A y M 1 8 w O C A y M i 9 B d X R v U m V t b 3 Z l Z E N v b H V t b n M x L n t D b 2 x 1 b W 4 z M y w z M n 0 m c X V v d D s s J n F 1 b 3 Q 7 U 2 V j d G l v b j E v R U g g U H J l L V N 1 c n Z l e V 9 N Y X k g M j A s I D I w M j N f M D g g M j I v Q X V 0 b 1 J l b W 9 2 Z W R D b 2 x 1 b W 5 z M S 5 7 Q 2 9 s d W 1 u M z Q s M z N 9 J n F 1 b 3 Q 7 L C Z x d W 9 0 O 1 N l Y 3 R p b 2 4 x L 0 V I I F B y Z S 1 T d X J 2 Z X l f T W F 5 I D I w L C A y M D I z X z A 4 I D I y L 0 F 1 d G 9 S Z W 1 v d m V k Q 2 9 s d W 1 u c z E u e 0 N v b H V t b j M 1 L D M 0 f S Z x d W 9 0 O y w m c X V v d D t T Z W N 0 a W 9 u M S 9 F S C B Q c m U t U 3 V y d m V 5 X 0 1 h e S A y M C w g M j A y M 1 8 w O C A y M i 9 B d X R v U m V t b 3 Z l Z E N v b H V t b n M x L n t D b 2 x 1 b W 4 z N i w z N X 0 m c X V v d D s s J n F 1 b 3 Q 7 U 2 V j d G l v b j E v R U g g U H J l L V N 1 c n Z l e V 9 N Y X k g M j A s I D I w M j N f M D g g M j I v Q X V 0 b 1 J l b W 9 2 Z W R D b 2 x 1 b W 5 z M S 5 7 Q 2 9 s d W 1 u M z c s M z Z 9 J n F 1 b 3 Q 7 L C Z x d W 9 0 O 1 N l Y 3 R p b 2 4 x L 0 V I I F B y Z S 1 T d X J 2 Z X l f T W F 5 I D I w L C A y M D I z X z A 4 I D I y L 0 F 1 d G 9 S Z W 1 v d m V k Q 2 9 s d W 1 u c z E u e 0 N v b H V t b j M 4 L D M 3 f S Z x d W 9 0 O 1 0 s J n F 1 b 3 Q 7 Q 2 9 s d W 1 u Q 2 9 1 b n Q m c X V v d D s 6 M z g s J n F 1 b 3 Q 7 S 2 V 5 Q 2 9 s d W 1 u T m F t Z X M m c X V v d D s 6 W 1 0 s J n F 1 b 3 Q 7 Q 2 9 s d W 1 u S W R l b n R p d G l l c y Z x d W 9 0 O z p b J n F 1 b 3 Q 7 U 2 V j d G l v b j E v R U g g U H J l L V N 1 c n Z l e V 9 N Y X k g M j A s I D I w M j N f M D g g M j I v Q X V 0 b 1 J l b W 9 2 Z W R D b 2 x 1 b W 5 z M S 5 7 Q 2 9 s d W 1 u M S w w f S Z x d W 9 0 O y w m c X V v d D t T Z W N 0 a W 9 u M S 9 F S C B Q c m U t U 3 V y d m V 5 X 0 1 h e S A y M C w g M j A y M 1 8 w O C A y M i 9 B d X R v U m V t b 3 Z l Z E N v b H V t b n M x L n t D b 2 x 1 b W 4 y L D F 9 J n F 1 b 3 Q 7 L C Z x d W 9 0 O 1 N l Y 3 R p b 2 4 x L 0 V I I F B y Z S 1 T d X J 2 Z X l f T W F 5 I D I w L C A y M D I z X z A 4 I D I y L 0 F 1 d G 9 S Z W 1 v d m V k Q 2 9 s d W 1 u c z E u e 0 N v b H V t b j M s M n 0 m c X V v d D s s J n F 1 b 3 Q 7 U 2 V j d G l v b j E v R U g g U H J l L V N 1 c n Z l e V 9 N Y X k g M j A s I D I w M j N f M D g g M j I v Q X V 0 b 1 J l b W 9 2 Z W R D b 2 x 1 b W 5 z M S 5 7 Q 2 9 s d W 1 u N C w z f S Z x d W 9 0 O y w m c X V v d D t T Z W N 0 a W 9 u M S 9 F S C B Q c m U t U 3 V y d m V 5 X 0 1 h e S A y M C w g M j A y M 1 8 w O C A y M i 9 B d X R v U m V t b 3 Z l Z E N v b H V t b n M x L n t D b 2 x 1 b W 4 1 L D R 9 J n F 1 b 3 Q 7 L C Z x d W 9 0 O 1 N l Y 3 R p b 2 4 x L 0 V I I F B y Z S 1 T d X J 2 Z X l f T W F 5 I D I w L C A y M D I z X z A 4 I D I y L 0 F 1 d G 9 S Z W 1 v d m V k Q 2 9 s d W 1 u c z E u e 0 N v b H V t b j Y s N X 0 m c X V v d D s s J n F 1 b 3 Q 7 U 2 V j d G l v b j E v R U g g U H J l L V N 1 c n Z l e V 9 N Y X k g M j A s I D I w M j N f M D g g M j I v Q X V 0 b 1 J l b W 9 2 Z W R D b 2 x 1 b W 5 z M S 5 7 Q 2 9 s d W 1 u N y w 2 f S Z x d W 9 0 O y w m c X V v d D t T Z W N 0 a W 9 u M S 9 F S C B Q c m U t U 3 V y d m V 5 X 0 1 h e S A y M C w g M j A y M 1 8 w O C A y M i 9 B d X R v U m V t b 3 Z l Z E N v b H V t b n M x L n t D b 2 x 1 b W 4 4 L D d 9 J n F 1 b 3 Q 7 L C Z x d W 9 0 O 1 N l Y 3 R p b 2 4 x L 0 V I I F B y Z S 1 T d X J 2 Z X l f T W F 5 I D I w L C A y M D I z X z A 4 I D I y L 0 F 1 d G 9 S Z W 1 v d m V k Q 2 9 s d W 1 u c z E u e 0 N v b H V t b j k s O H 0 m c X V v d D s s J n F 1 b 3 Q 7 U 2 V j d G l v b j E v R U g g U H J l L V N 1 c n Z l e V 9 N Y X k g M j A s I D I w M j N f M D g g M j I v Q X V 0 b 1 J l b W 9 2 Z W R D b 2 x 1 b W 5 z M S 5 7 Q 2 9 s d W 1 u M T A s O X 0 m c X V v d D s s J n F 1 b 3 Q 7 U 2 V j d G l v b j E v R U g g U H J l L V N 1 c n Z l e V 9 N Y X k g M j A s I D I w M j N f M D g g M j I v Q X V 0 b 1 J l b W 9 2 Z W R D b 2 x 1 b W 5 z M S 5 7 Q 2 9 s d W 1 u M T E s M T B 9 J n F 1 b 3 Q 7 L C Z x d W 9 0 O 1 N l Y 3 R p b 2 4 x L 0 V I I F B y Z S 1 T d X J 2 Z X l f T W F 5 I D I w L C A y M D I z X z A 4 I D I y L 0 F 1 d G 9 S Z W 1 v d m V k Q 2 9 s d W 1 u c z E u e 0 N v b H V t b j E y L D E x f S Z x d W 9 0 O y w m c X V v d D t T Z W N 0 a W 9 u M S 9 F S C B Q c m U t U 3 V y d m V 5 X 0 1 h e S A y M C w g M j A y M 1 8 w O C A y M i 9 B d X R v U m V t b 3 Z l Z E N v b H V t b n M x L n t D b 2 x 1 b W 4 x M y w x M n 0 m c X V v d D s s J n F 1 b 3 Q 7 U 2 V j d G l v b j E v R U g g U H J l L V N 1 c n Z l e V 9 N Y X k g M j A s I D I w M j N f M D g g M j I v Q X V 0 b 1 J l b W 9 2 Z W R D b 2 x 1 b W 5 z M S 5 7 Q 2 9 s d W 1 u M T Q s M T N 9 J n F 1 b 3 Q 7 L C Z x d W 9 0 O 1 N l Y 3 R p b 2 4 x L 0 V I I F B y Z S 1 T d X J 2 Z X l f T W F 5 I D I w L C A y M D I z X z A 4 I D I y L 0 F 1 d G 9 S Z W 1 v d m V k Q 2 9 s d W 1 u c z E u e 0 N v b H V t b j E 1 L D E 0 f S Z x d W 9 0 O y w m c X V v d D t T Z W N 0 a W 9 u M S 9 F S C B Q c m U t U 3 V y d m V 5 X 0 1 h e S A y M C w g M j A y M 1 8 w O C A y M i 9 B d X R v U m V t b 3 Z l Z E N v b H V t b n M x L n t D b 2 x 1 b W 4 x N i w x N X 0 m c X V v d D s s J n F 1 b 3 Q 7 U 2 V j d G l v b j E v R U g g U H J l L V N 1 c n Z l e V 9 N Y X k g M j A s I D I w M j N f M D g g M j I v Q X V 0 b 1 J l b W 9 2 Z W R D b 2 x 1 b W 5 z M S 5 7 Q 2 9 s d W 1 u M T c s M T Z 9 J n F 1 b 3 Q 7 L C Z x d W 9 0 O 1 N l Y 3 R p b 2 4 x L 0 V I I F B y Z S 1 T d X J 2 Z X l f T W F 5 I D I w L C A y M D I z X z A 4 I D I y L 0 F 1 d G 9 S Z W 1 v d m V k Q 2 9 s d W 1 u c z E u e 0 N v b H V t b j E 4 L D E 3 f S Z x d W 9 0 O y w m c X V v d D t T Z W N 0 a W 9 u M S 9 F S C B Q c m U t U 3 V y d m V 5 X 0 1 h e S A y M C w g M j A y M 1 8 w O C A y M i 9 B d X R v U m V t b 3 Z l Z E N v b H V t b n M x L n t D b 2 x 1 b W 4 x O S w x O H 0 m c X V v d D s s J n F 1 b 3 Q 7 U 2 V j d G l v b j E v R U g g U H J l L V N 1 c n Z l e V 9 N Y X k g M j A s I D I w M j N f M D g g M j I v Q X V 0 b 1 J l b W 9 2 Z W R D b 2 x 1 b W 5 z M S 5 7 Q 2 9 s d W 1 u M j A s M T l 9 J n F 1 b 3 Q 7 L C Z x d W 9 0 O 1 N l Y 3 R p b 2 4 x L 0 V I I F B y Z S 1 T d X J 2 Z X l f T W F 5 I D I w L C A y M D I z X z A 4 I D I y L 0 F 1 d G 9 S Z W 1 v d m V k Q 2 9 s d W 1 u c z E u e 0 N v b H V t b j I x L D I w f S Z x d W 9 0 O y w m c X V v d D t T Z W N 0 a W 9 u M S 9 F S C B Q c m U t U 3 V y d m V 5 X 0 1 h e S A y M C w g M j A y M 1 8 w O C A y M i 9 B d X R v U m V t b 3 Z l Z E N v b H V t b n M x L n t D b 2 x 1 b W 4 y M i w y M X 0 m c X V v d D s s J n F 1 b 3 Q 7 U 2 V j d G l v b j E v R U g g U H J l L V N 1 c n Z l e V 9 N Y X k g M j A s I D I w M j N f M D g g M j I v Q X V 0 b 1 J l b W 9 2 Z W R D b 2 x 1 b W 5 z M S 5 7 Q 2 9 s d W 1 u M j M s M j J 9 J n F 1 b 3 Q 7 L C Z x d W 9 0 O 1 N l Y 3 R p b 2 4 x L 0 V I I F B y Z S 1 T d X J 2 Z X l f T W F 5 I D I w L C A y M D I z X z A 4 I D I y L 0 F 1 d G 9 S Z W 1 v d m V k Q 2 9 s d W 1 u c z E u e 0 N v b H V t b j I 0 L D I z f S Z x d W 9 0 O y w m c X V v d D t T Z W N 0 a W 9 u M S 9 F S C B Q c m U t U 3 V y d m V 5 X 0 1 h e S A y M C w g M j A y M 1 8 w O C A y M i 9 B d X R v U m V t b 3 Z l Z E N v b H V t b n M x L n t D b 2 x 1 b W 4 y N S w y N H 0 m c X V v d D s s J n F 1 b 3 Q 7 U 2 V j d G l v b j E v R U g g U H J l L V N 1 c n Z l e V 9 N Y X k g M j A s I D I w M j N f M D g g M j I v Q X V 0 b 1 J l b W 9 2 Z W R D b 2 x 1 b W 5 z M S 5 7 Q 2 9 s d W 1 u M j Y s M j V 9 J n F 1 b 3 Q 7 L C Z x d W 9 0 O 1 N l Y 3 R p b 2 4 x L 0 V I I F B y Z S 1 T d X J 2 Z X l f T W F 5 I D I w L C A y M D I z X z A 4 I D I y L 0 F 1 d G 9 S Z W 1 v d m V k Q 2 9 s d W 1 u c z E u e 0 N v b H V t b j I 3 L D I 2 f S Z x d W 9 0 O y w m c X V v d D t T Z W N 0 a W 9 u M S 9 F S C B Q c m U t U 3 V y d m V 5 X 0 1 h e S A y M C w g M j A y M 1 8 w O C A y M i 9 B d X R v U m V t b 3 Z l Z E N v b H V t b n M x L n t D b 2 x 1 b W 4 y O C w y N 3 0 m c X V v d D s s J n F 1 b 3 Q 7 U 2 V j d G l v b j E v R U g g U H J l L V N 1 c n Z l e V 9 N Y X k g M j A s I D I w M j N f M D g g M j I v Q X V 0 b 1 J l b W 9 2 Z W R D b 2 x 1 b W 5 z M S 5 7 Q 2 9 s d W 1 u M j k s M j h 9 J n F 1 b 3 Q 7 L C Z x d W 9 0 O 1 N l Y 3 R p b 2 4 x L 0 V I I F B y Z S 1 T d X J 2 Z X l f T W F 5 I D I w L C A y M D I z X z A 4 I D I y L 0 F 1 d G 9 S Z W 1 v d m V k Q 2 9 s d W 1 u c z E u e 0 N v b H V t b j M w L D I 5 f S Z x d W 9 0 O y w m c X V v d D t T Z W N 0 a W 9 u M S 9 F S C B Q c m U t U 3 V y d m V 5 X 0 1 h e S A y M C w g M j A y M 1 8 w O C A y M i 9 B d X R v U m V t b 3 Z l Z E N v b H V t b n M x L n t D b 2 x 1 b W 4 z M S w z M H 0 m c X V v d D s s J n F 1 b 3 Q 7 U 2 V j d G l v b j E v R U g g U H J l L V N 1 c n Z l e V 9 N Y X k g M j A s I D I w M j N f M D g g M j I v Q X V 0 b 1 J l b W 9 2 Z W R D b 2 x 1 b W 5 z M S 5 7 Q 2 9 s d W 1 u M z I s M z F 9 J n F 1 b 3 Q 7 L C Z x d W 9 0 O 1 N l Y 3 R p b 2 4 x L 0 V I I F B y Z S 1 T d X J 2 Z X l f T W F 5 I D I w L C A y M D I z X z A 4 I D I y L 0 F 1 d G 9 S Z W 1 v d m V k Q 2 9 s d W 1 u c z E u e 0 N v b H V t b j M z L D M y f S Z x d W 9 0 O y w m c X V v d D t T Z W N 0 a W 9 u M S 9 F S C B Q c m U t U 3 V y d m V 5 X 0 1 h e S A y M C w g M j A y M 1 8 w O C A y M i 9 B d X R v U m V t b 3 Z l Z E N v b H V t b n M x L n t D b 2 x 1 b W 4 z N C w z M 3 0 m c X V v d D s s J n F 1 b 3 Q 7 U 2 V j d G l v b j E v R U g g U H J l L V N 1 c n Z l e V 9 N Y X k g M j A s I D I w M j N f M D g g M j I v Q X V 0 b 1 J l b W 9 2 Z W R D b 2 x 1 b W 5 z M S 5 7 Q 2 9 s d W 1 u M z U s M z R 9 J n F 1 b 3 Q 7 L C Z x d W 9 0 O 1 N l Y 3 R p b 2 4 x L 0 V I I F B y Z S 1 T d X J 2 Z X l f T W F 5 I D I w L C A y M D I z X z A 4 I D I y L 0 F 1 d G 9 S Z W 1 v d m V k Q 2 9 s d W 1 u c z E u e 0 N v b H V t b j M 2 L D M 1 f S Z x d W 9 0 O y w m c X V v d D t T Z W N 0 a W 9 u M S 9 F S C B Q c m U t U 3 V y d m V 5 X 0 1 h e S A y M C w g M j A y M 1 8 w O C A y M i 9 B d X R v U m V t b 3 Z l Z E N v b H V t b n M x L n t D b 2 x 1 b W 4 z N y w z N n 0 m c X V v d D s s J n F 1 b 3 Q 7 U 2 V j d G l v b j E v R U g g U H J l L V N 1 c n Z l e V 9 N Y X k g M j A s I D I w M j N f M D g g M j I v Q X V 0 b 1 J l b W 9 2 Z W R D b 2 x 1 b W 5 z M S 5 7 Q 2 9 s d W 1 u M z g s M z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S C U y M F B y Z S 1 T d X J 2 Z X l f T W F 5 J T I w M j A l M k M l M j A y M D I z X z A 4 J T I w M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g l M j B Q c m U t U 3 V y d m V 5 X 0 1 h e S U y M D I w J T J D J T I w M j A y M 1 8 w O C U y M D I y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g l M j B Q b 3 N 0 L V N 1 c n Z l e V 9 N Y X k l M j A y M i U y Q y U y M D I w M j N f M T E l M j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Y W J s Z V 9 F S F 9 Q b 3 N 0 X 1 N 1 c n Z l e V 9 N Y X l f M j J f X z I w M j N f M T F f M D A i I C 8 + P E V u d H J 5 I F R 5 c G U 9 I k Z p b G x l Z E N v b X B s Z X R l U m V z d W x 0 V G 9 X b 3 J r c 2 h l Z X Q i I F Z h b H V l P S J s M S I g L z 4 8 R W 5 0 c n k g V H l w Z T 0 i R m l s b F N 0 Y X R 1 c y I g V m F s d W U 9 I n N X Y W l 0 a W 5 n R m 9 y R X h j Z W x S Z W Z y Z X N o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X S I g L z 4 8 R W 5 0 c n k g V H l w Z T 0 i R m l s b E N v b H V t b l R 5 c G V z I i B W Y W x 1 Z T 0 i c 0 J n W U d C Z 1 l H Q m d Z R 0 J n W U d C Z 1 l H Q m d Z R 0 J n W U d C Z 1 l H Q m d Z R 0 J n W U d C Z 1 l H Q m d Z R 0 J n W T 0 i I C 8 + P E V u d H J 5 I F R 5 c G U 9 I k Z p b G x M Y X N 0 V X B k Y X R l Z C I g V m F s d W U 9 I m Q y M D I z L T A 5 L T E x V D E 5 O j E x O j E 1 L j c y O T g 4 N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S C B Q b 3 N 0 L V N 1 c n Z l e V 9 N Y X k g M j I s I D I w M j N f M T E g M D A v Q X V 0 b 1 J l b W 9 2 Z W R D b 2 x 1 b W 5 z M S 5 7 Q 2 9 s d W 1 u M S w w f S Z x d W 9 0 O y w m c X V v d D t T Z W N 0 a W 9 u M S 9 F S C B Q b 3 N 0 L V N 1 c n Z l e V 9 N Y X k g M j I s I D I w M j N f M T E g M D A v Q X V 0 b 1 J l b W 9 2 Z W R D b 2 x 1 b W 5 z M S 5 7 Q 2 9 s d W 1 u M i w x f S Z x d W 9 0 O y w m c X V v d D t T Z W N 0 a W 9 u M S 9 F S C B Q b 3 N 0 L V N 1 c n Z l e V 9 N Y X k g M j I s I D I w M j N f M T E g M D A v Q X V 0 b 1 J l b W 9 2 Z W R D b 2 x 1 b W 5 z M S 5 7 Q 2 9 s d W 1 u M y w y f S Z x d W 9 0 O y w m c X V v d D t T Z W N 0 a W 9 u M S 9 F S C B Q b 3 N 0 L V N 1 c n Z l e V 9 N Y X k g M j I s I D I w M j N f M T E g M D A v Q X V 0 b 1 J l b W 9 2 Z W R D b 2 x 1 b W 5 z M S 5 7 Q 2 9 s d W 1 u N C w z f S Z x d W 9 0 O y w m c X V v d D t T Z W N 0 a W 9 u M S 9 F S C B Q b 3 N 0 L V N 1 c n Z l e V 9 N Y X k g M j I s I D I w M j N f M T E g M D A v Q X V 0 b 1 J l b W 9 2 Z W R D b 2 x 1 b W 5 z M S 5 7 Q 2 9 s d W 1 u N S w 0 f S Z x d W 9 0 O y w m c X V v d D t T Z W N 0 a W 9 u M S 9 F S C B Q b 3 N 0 L V N 1 c n Z l e V 9 N Y X k g M j I s I D I w M j N f M T E g M D A v Q X V 0 b 1 J l b W 9 2 Z W R D b 2 x 1 b W 5 z M S 5 7 Q 2 9 s d W 1 u N i w 1 f S Z x d W 9 0 O y w m c X V v d D t T Z W N 0 a W 9 u M S 9 F S C B Q b 3 N 0 L V N 1 c n Z l e V 9 N Y X k g M j I s I D I w M j N f M T E g M D A v Q X V 0 b 1 J l b W 9 2 Z W R D b 2 x 1 b W 5 z M S 5 7 Q 2 9 s d W 1 u N y w 2 f S Z x d W 9 0 O y w m c X V v d D t T Z W N 0 a W 9 u M S 9 F S C B Q b 3 N 0 L V N 1 c n Z l e V 9 N Y X k g M j I s I D I w M j N f M T E g M D A v Q X V 0 b 1 J l b W 9 2 Z W R D b 2 x 1 b W 5 z M S 5 7 Q 2 9 s d W 1 u O C w 3 f S Z x d W 9 0 O y w m c X V v d D t T Z W N 0 a W 9 u M S 9 F S C B Q b 3 N 0 L V N 1 c n Z l e V 9 N Y X k g M j I s I D I w M j N f M T E g M D A v Q X V 0 b 1 J l b W 9 2 Z W R D b 2 x 1 b W 5 z M S 5 7 Q 2 9 s d W 1 u O S w 4 f S Z x d W 9 0 O y w m c X V v d D t T Z W N 0 a W 9 u M S 9 F S C B Q b 3 N 0 L V N 1 c n Z l e V 9 N Y X k g M j I s I D I w M j N f M T E g M D A v Q X V 0 b 1 J l b W 9 2 Z W R D b 2 x 1 b W 5 z M S 5 7 Q 2 9 s d W 1 u M T A s O X 0 m c X V v d D s s J n F 1 b 3 Q 7 U 2 V j d G l v b j E v R U g g U G 9 z d C 1 T d X J 2 Z X l f T W F 5 I D I y L C A y M D I z X z E x I D A w L 0 F 1 d G 9 S Z W 1 v d m V k Q 2 9 s d W 1 u c z E u e 0 N v b H V t b j E x L D E w f S Z x d W 9 0 O y w m c X V v d D t T Z W N 0 a W 9 u M S 9 F S C B Q b 3 N 0 L V N 1 c n Z l e V 9 N Y X k g M j I s I D I w M j N f M T E g M D A v Q X V 0 b 1 J l b W 9 2 Z W R D b 2 x 1 b W 5 z M S 5 7 Q 2 9 s d W 1 u M T I s M T F 9 J n F 1 b 3 Q 7 L C Z x d W 9 0 O 1 N l Y 3 R p b 2 4 x L 0 V I I F B v c 3 Q t U 3 V y d m V 5 X 0 1 h e S A y M i w g M j A y M 1 8 x M S A w M C 9 B d X R v U m V t b 3 Z l Z E N v b H V t b n M x L n t D b 2 x 1 b W 4 x M y w x M n 0 m c X V v d D s s J n F 1 b 3 Q 7 U 2 V j d G l v b j E v R U g g U G 9 z d C 1 T d X J 2 Z X l f T W F 5 I D I y L C A y M D I z X z E x I D A w L 0 F 1 d G 9 S Z W 1 v d m V k Q 2 9 s d W 1 u c z E u e 0 N v b H V t b j E 0 L D E z f S Z x d W 9 0 O y w m c X V v d D t T Z W N 0 a W 9 u M S 9 F S C B Q b 3 N 0 L V N 1 c n Z l e V 9 N Y X k g M j I s I D I w M j N f M T E g M D A v Q X V 0 b 1 J l b W 9 2 Z W R D b 2 x 1 b W 5 z M S 5 7 Q 2 9 s d W 1 u M T U s M T R 9 J n F 1 b 3 Q 7 L C Z x d W 9 0 O 1 N l Y 3 R p b 2 4 x L 0 V I I F B v c 3 Q t U 3 V y d m V 5 X 0 1 h e S A y M i w g M j A y M 1 8 x M S A w M C 9 B d X R v U m V t b 3 Z l Z E N v b H V t b n M x L n t D b 2 x 1 b W 4 x N i w x N X 0 m c X V v d D s s J n F 1 b 3 Q 7 U 2 V j d G l v b j E v R U g g U G 9 z d C 1 T d X J 2 Z X l f T W F 5 I D I y L C A y M D I z X z E x I D A w L 0 F 1 d G 9 S Z W 1 v d m V k Q 2 9 s d W 1 u c z E u e 0 N v b H V t b j E 3 L D E 2 f S Z x d W 9 0 O y w m c X V v d D t T Z W N 0 a W 9 u M S 9 F S C B Q b 3 N 0 L V N 1 c n Z l e V 9 N Y X k g M j I s I D I w M j N f M T E g M D A v Q X V 0 b 1 J l b W 9 2 Z W R D b 2 x 1 b W 5 z M S 5 7 Q 2 9 s d W 1 u M T g s M T d 9 J n F 1 b 3 Q 7 L C Z x d W 9 0 O 1 N l Y 3 R p b 2 4 x L 0 V I I F B v c 3 Q t U 3 V y d m V 5 X 0 1 h e S A y M i w g M j A y M 1 8 x M S A w M C 9 B d X R v U m V t b 3 Z l Z E N v b H V t b n M x L n t D b 2 x 1 b W 4 x O S w x O H 0 m c X V v d D s s J n F 1 b 3 Q 7 U 2 V j d G l v b j E v R U g g U G 9 z d C 1 T d X J 2 Z X l f T W F 5 I D I y L C A y M D I z X z E x I D A w L 0 F 1 d G 9 S Z W 1 v d m V k Q 2 9 s d W 1 u c z E u e 0 N v b H V t b j I w L D E 5 f S Z x d W 9 0 O y w m c X V v d D t T Z W N 0 a W 9 u M S 9 F S C B Q b 3 N 0 L V N 1 c n Z l e V 9 N Y X k g M j I s I D I w M j N f M T E g M D A v Q X V 0 b 1 J l b W 9 2 Z W R D b 2 x 1 b W 5 z M S 5 7 Q 2 9 s d W 1 u M j E s M j B 9 J n F 1 b 3 Q 7 L C Z x d W 9 0 O 1 N l Y 3 R p b 2 4 x L 0 V I I F B v c 3 Q t U 3 V y d m V 5 X 0 1 h e S A y M i w g M j A y M 1 8 x M S A w M C 9 B d X R v U m V t b 3 Z l Z E N v b H V t b n M x L n t D b 2 x 1 b W 4 y M i w y M X 0 m c X V v d D s s J n F 1 b 3 Q 7 U 2 V j d G l v b j E v R U g g U G 9 z d C 1 T d X J 2 Z X l f T W F 5 I D I y L C A y M D I z X z E x I D A w L 0 F 1 d G 9 S Z W 1 v d m V k Q 2 9 s d W 1 u c z E u e 0 N v b H V t b j I z L D I y f S Z x d W 9 0 O y w m c X V v d D t T Z W N 0 a W 9 u M S 9 F S C B Q b 3 N 0 L V N 1 c n Z l e V 9 N Y X k g M j I s I D I w M j N f M T E g M D A v Q X V 0 b 1 J l b W 9 2 Z W R D b 2 x 1 b W 5 z M S 5 7 Q 2 9 s d W 1 u M j Q s M j N 9 J n F 1 b 3 Q 7 L C Z x d W 9 0 O 1 N l Y 3 R p b 2 4 x L 0 V I I F B v c 3 Q t U 3 V y d m V 5 X 0 1 h e S A y M i w g M j A y M 1 8 x M S A w M C 9 B d X R v U m V t b 3 Z l Z E N v b H V t b n M x L n t D b 2 x 1 b W 4 y N S w y N H 0 m c X V v d D s s J n F 1 b 3 Q 7 U 2 V j d G l v b j E v R U g g U G 9 z d C 1 T d X J 2 Z X l f T W F 5 I D I y L C A y M D I z X z E x I D A w L 0 F 1 d G 9 S Z W 1 v d m V k Q 2 9 s d W 1 u c z E u e 0 N v b H V t b j I 2 L D I 1 f S Z x d W 9 0 O y w m c X V v d D t T Z W N 0 a W 9 u M S 9 F S C B Q b 3 N 0 L V N 1 c n Z l e V 9 N Y X k g M j I s I D I w M j N f M T E g M D A v Q X V 0 b 1 J l b W 9 2 Z W R D b 2 x 1 b W 5 z M S 5 7 Q 2 9 s d W 1 u M j c s M j Z 9 J n F 1 b 3 Q 7 L C Z x d W 9 0 O 1 N l Y 3 R p b 2 4 x L 0 V I I F B v c 3 Q t U 3 V y d m V 5 X 0 1 h e S A y M i w g M j A y M 1 8 x M S A w M C 9 B d X R v U m V t b 3 Z l Z E N v b H V t b n M x L n t D b 2 x 1 b W 4 y O C w y N 3 0 m c X V v d D s s J n F 1 b 3 Q 7 U 2 V j d G l v b j E v R U g g U G 9 z d C 1 T d X J 2 Z X l f T W F 5 I D I y L C A y M D I z X z E x I D A w L 0 F 1 d G 9 S Z W 1 v d m V k Q 2 9 s d W 1 u c z E u e 0 N v b H V t b j I 5 L D I 4 f S Z x d W 9 0 O y w m c X V v d D t T Z W N 0 a W 9 u M S 9 F S C B Q b 3 N 0 L V N 1 c n Z l e V 9 N Y X k g M j I s I D I w M j N f M T E g M D A v Q X V 0 b 1 J l b W 9 2 Z W R D b 2 x 1 b W 5 z M S 5 7 Q 2 9 s d W 1 u M z A s M j l 9 J n F 1 b 3 Q 7 L C Z x d W 9 0 O 1 N l Y 3 R p b 2 4 x L 0 V I I F B v c 3 Q t U 3 V y d m V 5 X 0 1 h e S A y M i w g M j A y M 1 8 x M S A w M C 9 B d X R v U m V t b 3 Z l Z E N v b H V t b n M x L n t D b 2 x 1 b W 4 z M S w z M H 0 m c X V v d D s s J n F 1 b 3 Q 7 U 2 V j d G l v b j E v R U g g U G 9 z d C 1 T d X J 2 Z X l f T W F 5 I D I y L C A y M D I z X z E x I D A w L 0 F 1 d G 9 S Z W 1 v d m V k Q 2 9 s d W 1 u c z E u e 0 N v b H V t b j M y L D M x f S Z x d W 9 0 O y w m c X V v d D t T Z W N 0 a W 9 u M S 9 F S C B Q b 3 N 0 L V N 1 c n Z l e V 9 N Y X k g M j I s I D I w M j N f M T E g M D A v Q X V 0 b 1 J l b W 9 2 Z W R D b 2 x 1 b W 5 z M S 5 7 Q 2 9 s d W 1 u M z M s M z J 9 J n F 1 b 3 Q 7 L C Z x d W 9 0 O 1 N l Y 3 R p b 2 4 x L 0 V I I F B v c 3 Q t U 3 V y d m V 5 X 0 1 h e S A y M i w g M j A y M 1 8 x M S A w M C 9 B d X R v U m V t b 3 Z l Z E N v b H V t b n M x L n t D b 2 x 1 b W 4 z N C w z M 3 0 m c X V v d D s s J n F 1 b 3 Q 7 U 2 V j d G l v b j E v R U g g U G 9 z d C 1 T d X J 2 Z X l f T W F 5 I D I y L C A y M D I z X z E x I D A w L 0 F 1 d G 9 S Z W 1 v d m V k Q 2 9 s d W 1 u c z E u e 0 N v b H V t b j M 1 L D M 0 f S Z x d W 9 0 O y w m c X V v d D t T Z W N 0 a W 9 u M S 9 F S C B Q b 3 N 0 L V N 1 c n Z l e V 9 N Y X k g M j I s I D I w M j N f M T E g M D A v Q X V 0 b 1 J l b W 9 2 Z W R D b 2 x 1 b W 5 z M S 5 7 Q 2 9 s d W 1 u M z Y s M z V 9 J n F 1 b 3 Q 7 L C Z x d W 9 0 O 1 N l Y 3 R p b 2 4 x L 0 V I I F B v c 3 Q t U 3 V y d m V 5 X 0 1 h e S A y M i w g M j A y M 1 8 x M S A w M C 9 B d X R v U m V t b 3 Z l Z E N v b H V t b n M x L n t D b 2 x 1 b W 4 z N y w z N n 0 m c X V v d D s s J n F 1 b 3 Q 7 U 2 V j d G l v b j E v R U g g U G 9 z d C 1 T d X J 2 Z X l f T W F 5 I D I y L C A y M D I z X z E x I D A w L 0 F 1 d G 9 S Z W 1 v d m V k Q 2 9 s d W 1 u c z E u e 0 N v b H V t b j M 4 L D M 3 f S Z x d W 9 0 O 1 0 s J n F 1 b 3 Q 7 Q 2 9 s d W 1 u Q 2 9 1 b n Q m c X V v d D s 6 M z g s J n F 1 b 3 Q 7 S 2 V 5 Q 2 9 s d W 1 u T m F t Z X M m c X V v d D s 6 W 1 0 s J n F 1 b 3 Q 7 Q 2 9 s d W 1 u S W R l b n R p d G l l c y Z x d W 9 0 O z p b J n F 1 b 3 Q 7 U 2 V j d G l v b j E v R U g g U G 9 z d C 1 T d X J 2 Z X l f T W F 5 I D I y L C A y M D I z X z E x I D A w L 0 F 1 d G 9 S Z W 1 v d m V k Q 2 9 s d W 1 u c z E u e 0 N v b H V t b j E s M H 0 m c X V v d D s s J n F 1 b 3 Q 7 U 2 V j d G l v b j E v R U g g U G 9 z d C 1 T d X J 2 Z X l f T W F 5 I D I y L C A y M D I z X z E x I D A w L 0 F 1 d G 9 S Z W 1 v d m V k Q 2 9 s d W 1 u c z E u e 0 N v b H V t b j I s M X 0 m c X V v d D s s J n F 1 b 3 Q 7 U 2 V j d G l v b j E v R U g g U G 9 z d C 1 T d X J 2 Z X l f T W F 5 I D I y L C A y M D I z X z E x I D A w L 0 F 1 d G 9 S Z W 1 v d m V k Q 2 9 s d W 1 u c z E u e 0 N v b H V t b j M s M n 0 m c X V v d D s s J n F 1 b 3 Q 7 U 2 V j d G l v b j E v R U g g U G 9 z d C 1 T d X J 2 Z X l f T W F 5 I D I y L C A y M D I z X z E x I D A w L 0 F 1 d G 9 S Z W 1 v d m V k Q 2 9 s d W 1 u c z E u e 0 N v b H V t b j Q s M 3 0 m c X V v d D s s J n F 1 b 3 Q 7 U 2 V j d G l v b j E v R U g g U G 9 z d C 1 T d X J 2 Z X l f T W F 5 I D I y L C A y M D I z X z E x I D A w L 0 F 1 d G 9 S Z W 1 v d m V k Q 2 9 s d W 1 u c z E u e 0 N v b H V t b j U s N H 0 m c X V v d D s s J n F 1 b 3 Q 7 U 2 V j d G l v b j E v R U g g U G 9 z d C 1 T d X J 2 Z X l f T W F 5 I D I y L C A y M D I z X z E x I D A w L 0 F 1 d G 9 S Z W 1 v d m V k Q 2 9 s d W 1 u c z E u e 0 N v b H V t b j Y s N X 0 m c X V v d D s s J n F 1 b 3 Q 7 U 2 V j d G l v b j E v R U g g U G 9 z d C 1 T d X J 2 Z X l f T W F 5 I D I y L C A y M D I z X z E x I D A w L 0 F 1 d G 9 S Z W 1 v d m V k Q 2 9 s d W 1 u c z E u e 0 N v b H V t b j c s N n 0 m c X V v d D s s J n F 1 b 3 Q 7 U 2 V j d G l v b j E v R U g g U G 9 z d C 1 T d X J 2 Z X l f T W F 5 I D I y L C A y M D I z X z E x I D A w L 0 F 1 d G 9 S Z W 1 v d m V k Q 2 9 s d W 1 u c z E u e 0 N v b H V t b j g s N 3 0 m c X V v d D s s J n F 1 b 3 Q 7 U 2 V j d G l v b j E v R U g g U G 9 z d C 1 T d X J 2 Z X l f T W F 5 I D I y L C A y M D I z X z E x I D A w L 0 F 1 d G 9 S Z W 1 v d m V k Q 2 9 s d W 1 u c z E u e 0 N v b H V t b j k s O H 0 m c X V v d D s s J n F 1 b 3 Q 7 U 2 V j d G l v b j E v R U g g U G 9 z d C 1 T d X J 2 Z X l f T W F 5 I D I y L C A y M D I z X z E x I D A w L 0 F 1 d G 9 S Z W 1 v d m V k Q 2 9 s d W 1 u c z E u e 0 N v b H V t b j E w L D l 9 J n F 1 b 3 Q 7 L C Z x d W 9 0 O 1 N l Y 3 R p b 2 4 x L 0 V I I F B v c 3 Q t U 3 V y d m V 5 X 0 1 h e S A y M i w g M j A y M 1 8 x M S A w M C 9 B d X R v U m V t b 3 Z l Z E N v b H V t b n M x L n t D b 2 x 1 b W 4 x M S w x M H 0 m c X V v d D s s J n F 1 b 3 Q 7 U 2 V j d G l v b j E v R U g g U G 9 z d C 1 T d X J 2 Z X l f T W F 5 I D I y L C A y M D I z X z E x I D A w L 0 F 1 d G 9 S Z W 1 v d m V k Q 2 9 s d W 1 u c z E u e 0 N v b H V t b j E y L D E x f S Z x d W 9 0 O y w m c X V v d D t T Z W N 0 a W 9 u M S 9 F S C B Q b 3 N 0 L V N 1 c n Z l e V 9 N Y X k g M j I s I D I w M j N f M T E g M D A v Q X V 0 b 1 J l b W 9 2 Z W R D b 2 x 1 b W 5 z M S 5 7 Q 2 9 s d W 1 u M T M s M T J 9 J n F 1 b 3 Q 7 L C Z x d W 9 0 O 1 N l Y 3 R p b 2 4 x L 0 V I I F B v c 3 Q t U 3 V y d m V 5 X 0 1 h e S A y M i w g M j A y M 1 8 x M S A w M C 9 B d X R v U m V t b 3 Z l Z E N v b H V t b n M x L n t D b 2 x 1 b W 4 x N C w x M 3 0 m c X V v d D s s J n F 1 b 3 Q 7 U 2 V j d G l v b j E v R U g g U G 9 z d C 1 T d X J 2 Z X l f T W F 5 I D I y L C A y M D I z X z E x I D A w L 0 F 1 d G 9 S Z W 1 v d m V k Q 2 9 s d W 1 u c z E u e 0 N v b H V t b j E 1 L D E 0 f S Z x d W 9 0 O y w m c X V v d D t T Z W N 0 a W 9 u M S 9 F S C B Q b 3 N 0 L V N 1 c n Z l e V 9 N Y X k g M j I s I D I w M j N f M T E g M D A v Q X V 0 b 1 J l b W 9 2 Z W R D b 2 x 1 b W 5 z M S 5 7 Q 2 9 s d W 1 u M T Y s M T V 9 J n F 1 b 3 Q 7 L C Z x d W 9 0 O 1 N l Y 3 R p b 2 4 x L 0 V I I F B v c 3 Q t U 3 V y d m V 5 X 0 1 h e S A y M i w g M j A y M 1 8 x M S A w M C 9 B d X R v U m V t b 3 Z l Z E N v b H V t b n M x L n t D b 2 x 1 b W 4 x N y w x N n 0 m c X V v d D s s J n F 1 b 3 Q 7 U 2 V j d G l v b j E v R U g g U G 9 z d C 1 T d X J 2 Z X l f T W F 5 I D I y L C A y M D I z X z E x I D A w L 0 F 1 d G 9 S Z W 1 v d m V k Q 2 9 s d W 1 u c z E u e 0 N v b H V t b j E 4 L D E 3 f S Z x d W 9 0 O y w m c X V v d D t T Z W N 0 a W 9 u M S 9 F S C B Q b 3 N 0 L V N 1 c n Z l e V 9 N Y X k g M j I s I D I w M j N f M T E g M D A v Q X V 0 b 1 J l b W 9 2 Z W R D b 2 x 1 b W 5 z M S 5 7 Q 2 9 s d W 1 u M T k s M T h 9 J n F 1 b 3 Q 7 L C Z x d W 9 0 O 1 N l Y 3 R p b 2 4 x L 0 V I I F B v c 3 Q t U 3 V y d m V 5 X 0 1 h e S A y M i w g M j A y M 1 8 x M S A w M C 9 B d X R v U m V t b 3 Z l Z E N v b H V t b n M x L n t D b 2 x 1 b W 4 y M C w x O X 0 m c X V v d D s s J n F 1 b 3 Q 7 U 2 V j d G l v b j E v R U g g U G 9 z d C 1 T d X J 2 Z X l f T W F 5 I D I y L C A y M D I z X z E x I D A w L 0 F 1 d G 9 S Z W 1 v d m V k Q 2 9 s d W 1 u c z E u e 0 N v b H V t b j I x L D I w f S Z x d W 9 0 O y w m c X V v d D t T Z W N 0 a W 9 u M S 9 F S C B Q b 3 N 0 L V N 1 c n Z l e V 9 N Y X k g M j I s I D I w M j N f M T E g M D A v Q X V 0 b 1 J l b W 9 2 Z W R D b 2 x 1 b W 5 z M S 5 7 Q 2 9 s d W 1 u M j I s M j F 9 J n F 1 b 3 Q 7 L C Z x d W 9 0 O 1 N l Y 3 R p b 2 4 x L 0 V I I F B v c 3 Q t U 3 V y d m V 5 X 0 1 h e S A y M i w g M j A y M 1 8 x M S A w M C 9 B d X R v U m V t b 3 Z l Z E N v b H V t b n M x L n t D b 2 x 1 b W 4 y M y w y M n 0 m c X V v d D s s J n F 1 b 3 Q 7 U 2 V j d G l v b j E v R U g g U G 9 z d C 1 T d X J 2 Z X l f T W F 5 I D I y L C A y M D I z X z E x I D A w L 0 F 1 d G 9 S Z W 1 v d m V k Q 2 9 s d W 1 u c z E u e 0 N v b H V t b j I 0 L D I z f S Z x d W 9 0 O y w m c X V v d D t T Z W N 0 a W 9 u M S 9 F S C B Q b 3 N 0 L V N 1 c n Z l e V 9 N Y X k g M j I s I D I w M j N f M T E g M D A v Q X V 0 b 1 J l b W 9 2 Z W R D b 2 x 1 b W 5 z M S 5 7 Q 2 9 s d W 1 u M j U s M j R 9 J n F 1 b 3 Q 7 L C Z x d W 9 0 O 1 N l Y 3 R p b 2 4 x L 0 V I I F B v c 3 Q t U 3 V y d m V 5 X 0 1 h e S A y M i w g M j A y M 1 8 x M S A w M C 9 B d X R v U m V t b 3 Z l Z E N v b H V t b n M x L n t D b 2 x 1 b W 4 y N i w y N X 0 m c X V v d D s s J n F 1 b 3 Q 7 U 2 V j d G l v b j E v R U g g U G 9 z d C 1 T d X J 2 Z X l f T W F 5 I D I y L C A y M D I z X z E x I D A w L 0 F 1 d G 9 S Z W 1 v d m V k Q 2 9 s d W 1 u c z E u e 0 N v b H V t b j I 3 L D I 2 f S Z x d W 9 0 O y w m c X V v d D t T Z W N 0 a W 9 u M S 9 F S C B Q b 3 N 0 L V N 1 c n Z l e V 9 N Y X k g M j I s I D I w M j N f M T E g M D A v Q X V 0 b 1 J l b W 9 2 Z W R D b 2 x 1 b W 5 z M S 5 7 Q 2 9 s d W 1 u M j g s M j d 9 J n F 1 b 3 Q 7 L C Z x d W 9 0 O 1 N l Y 3 R p b 2 4 x L 0 V I I F B v c 3 Q t U 3 V y d m V 5 X 0 1 h e S A y M i w g M j A y M 1 8 x M S A w M C 9 B d X R v U m V t b 3 Z l Z E N v b H V t b n M x L n t D b 2 x 1 b W 4 y O S w y O H 0 m c X V v d D s s J n F 1 b 3 Q 7 U 2 V j d G l v b j E v R U g g U G 9 z d C 1 T d X J 2 Z X l f T W F 5 I D I y L C A y M D I z X z E x I D A w L 0 F 1 d G 9 S Z W 1 v d m V k Q 2 9 s d W 1 u c z E u e 0 N v b H V t b j M w L D I 5 f S Z x d W 9 0 O y w m c X V v d D t T Z W N 0 a W 9 u M S 9 F S C B Q b 3 N 0 L V N 1 c n Z l e V 9 N Y X k g M j I s I D I w M j N f M T E g M D A v Q X V 0 b 1 J l b W 9 2 Z W R D b 2 x 1 b W 5 z M S 5 7 Q 2 9 s d W 1 u M z E s M z B 9 J n F 1 b 3 Q 7 L C Z x d W 9 0 O 1 N l Y 3 R p b 2 4 x L 0 V I I F B v c 3 Q t U 3 V y d m V 5 X 0 1 h e S A y M i w g M j A y M 1 8 x M S A w M C 9 B d X R v U m V t b 3 Z l Z E N v b H V t b n M x L n t D b 2 x 1 b W 4 z M i w z M X 0 m c X V v d D s s J n F 1 b 3 Q 7 U 2 V j d G l v b j E v R U g g U G 9 z d C 1 T d X J 2 Z X l f T W F 5 I D I y L C A y M D I z X z E x I D A w L 0 F 1 d G 9 S Z W 1 v d m V k Q 2 9 s d W 1 u c z E u e 0 N v b H V t b j M z L D M y f S Z x d W 9 0 O y w m c X V v d D t T Z W N 0 a W 9 u M S 9 F S C B Q b 3 N 0 L V N 1 c n Z l e V 9 N Y X k g M j I s I D I w M j N f M T E g M D A v Q X V 0 b 1 J l b W 9 2 Z W R D b 2 x 1 b W 5 z M S 5 7 Q 2 9 s d W 1 u M z Q s M z N 9 J n F 1 b 3 Q 7 L C Z x d W 9 0 O 1 N l Y 3 R p b 2 4 x L 0 V I I F B v c 3 Q t U 3 V y d m V 5 X 0 1 h e S A y M i w g M j A y M 1 8 x M S A w M C 9 B d X R v U m V t b 3 Z l Z E N v b H V t b n M x L n t D b 2 x 1 b W 4 z N S w z N H 0 m c X V v d D s s J n F 1 b 3 Q 7 U 2 V j d G l v b j E v R U g g U G 9 z d C 1 T d X J 2 Z X l f T W F 5 I D I y L C A y M D I z X z E x I D A w L 0 F 1 d G 9 S Z W 1 v d m V k Q 2 9 s d W 1 u c z E u e 0 N v b H V t b j M 2 L D M 1 f S Z x d W 9 0 O y w m c X V v d D t T Z W N 0 a W 9 u M S 9 F S C B Q b 3 N 0 L V N 1 c n Z l e V 9 N Y X k g M j I s I D I w M j N f M T E g M D A v Q X V 0 b 1 J l b W 9 2 Z W R D b 2 x 1 b W 5 z M S 5 7 Q 2 9 s d W 1 u M z c s M z Z 9 J n F 1 b 3 Q 7 L C Z x d W 9 0 O 1 N l Y 3 R p b 2 4 x L 0 V I I F B v c 3 Q t U 3 V y d m V 5 X 0 1 h e S A y M i w g M j A y M 1 8 x M S A w M C 9 B d X R v U m V t b 3 Z l Z E N v b H V t b n M x L n t D b 2 x 1 b W 4 z O C w z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I J T I w U G 9 z d C 1 T d X J 2 Z X l f T W F 5 J T I w M j I l M k M l M j A y M D I z X z E x J T I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g l M j B Q b 3 N 0 L V N 1 c n Z l e V 9 N Y X k l M j A y M i U y Q y U y M D I w M j N f M T E l M j A w M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I J T I w U H J l L V N 1 c n Z l e V 9 N Y X k l M j A y M C U y Q y U y M D I w M j N f M D g l M j A y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G a W x s V G F y Z 2 V 0 I i B W Y W x 1 Z T 0 i c 1 R h Y m x l X 0 V I X 1 B y Z V 9 T d X J 2 Z X l f T W F 5 X z I w X 1 8 y M D I z X z A 4 X z I y N C I g L z 4 8 R W 5 0 c n k g V H l w Z T 0 i R m l s b G V k Q 2 9 t c G x l d G V S Z X N 1 b H R U b 1 d v c m t z a G V l d C I g V m F s d W U 9 I m w x I i A v P j x F b n R y e S B U e X B l P S J G a W x s Q 2 9 s d W 1 u V H l w Z X M i I F Z h b H V l P S J z Q m d Z R 0 J n W U d C Z 1 l H Q m d Z R 0 J n W U d C Z 1 l H Q m d Z R 0 J n W U d C Z 1 l H Q m d Z R 0 J n W U d C Z 1 l H Q m d Z P S I g L z 4 8 R W 5 0 c n k g V H l w Z T 0 i R m l s b E x h c 3 R V c G R h d G V k I i B W Y W x 1 Z T 0 i Z D I w M j M t M D k t M T F U M T k 6 M T E 6 M T U u O D Q 3 N D I 3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t d I i A v P j x F b n R y e S B U e X B l P S J B Z G R l Z F R v R G F 0 Y U 1 v Z G V s I i B W Y W x 1 Z T 0 i b D A i I C 8 + P E V u d H J 5 I F R 5 c G U 9 I k x v Y W R l Z F R v Q W 5 h b H l z a X N T Z X J 2 a W N l c y I g V m F s d W U 9 I m w w I i A v P j x F b n R y e S B U e X B l P S J G a W x s U 3 R h d H V z I i B W Y W x 1 Z T 0 i c 1 d h a X R p b m d G b 3 J F e G N l b F J l Z n J l c 2 g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z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U g g U H J l L V N 1 c n Z l e V 9 N Y X k g M j A s I D I w M j N f M D g g M j I v Q X V 0 b 1 J l b W 9 2 Z W R D b 2 x 1 b W 5 z M S 5 7 Q 2 9 s d W 1 u M S w w f S Z x d W 9 0 O y w m c X V v d D t T Z W N 0 a W 9 u M S 9 F S C B Q c m U t U 3 V y d m V 5 X 0 1 h e S A y M C w g M j A y M 1 8 w O C A y M i 9 B d X R v U m V t b 3 Z l Z E N v b H V t b n M x L n t D b 2 x 1 b W 4 y L D F 9 J n F 1 b 3 Q 7 L C Z x d W 9 0 O 1 N l Y 3 R p b 2 4 x L 0 V I I F B y Z S 1 T d X J 2 Z X l f T W F 5 I D I w L C A y M D I z X z A 4 I D I y L 0 F 1 d G 9 S Z W 1 v d m V k Q 2 9 s d W 1 u c z E u e 0 N v b H V t b j M s M n 0 m c X V v d D s s J n F 1 b 3 Q 7 U 2 V j d G l v b j E v R U g g U H J l L V N 1 c n Z l e V 9 N Y X k g M j A s I D I w M j N f M D g g M j I v Q X V 0 b 1 J l b W 9 2 Z W R D b 2 x 1 b W 5 z M S 5 7 Q 2 9 s d W 1 u N C w z f S Z x d W 9 0 O y w m c X V v d D t T Z W N 0 a W 9 u M S 9 F S C B Q c m U t U 3 V y d m V 5 X 0 1 h e S A y M C w g M j A y M 1 8 w O C A y M i 9 B d X R v U m V t b 3 Z l Z E N v b H V t b n M x L n t D b 2 x 1 b W 4 1 L D R 9 J n F 1 b 3 Q 7 L C Z x d W 9 0 O 1 N l Y 3 R p b 2 4 x L 0 V I I F B y Z S 1 T d X J 2 Z X l f T W F 5 I D I w L C A y M D I z X z A 4 I D I y L 0 F 1 d G 9 S Z W 1 v d m V k Q 2 9 s d W 1 u c z E u e 0 N v b H V t b j Y s N X 0 m c X V v d D s s J n F 1 b 3 Q 7 U 2 V j d G l v b j E v R U g g U H J l L V N 1 c n Z l e V 9 N Y X k g M j A s I D I w M j N f M D g g M j I v Q X V 0 b 1 J l b W 9 2 Z W R D b 2 x 1 b W 5 z M S 5 7 Q 2 9 s d W 1 u N y w 2 f S Z x d W 9 0 O y w m c X V v d D t T Z W N 0 a W 9 u M S 9 F S C B Q c m U t U 3 V y d m V 5 X 0 1 h e S A y M C w g M j A y M 1 8 w O C A y M i 9 B d X R v U m V t b 3 Z l Z E N v b H V t b n M x L n t D b 2 x 1 b W 4 4 L D d 9 J n F 1 b 3 Q 7 L C Z x d W 9 0 O 1 N l Y 3 R p b 2 4 x L 0 V I I F B y Z S 1 T d X J 2 Z X l f T W F 5 I D I w L C A y M D I z X z A 4 I D I y L 0 F 1 d G 9 S Z W 1 v d m V k Q 2 9 s d W 1 u c z E u e 0 N v b H V t b j k s O H 0 m c X V v d D s s J n F 1 b 3 Q 7 U 2 V j d G l v b j E v R U g g U H J l L V N 1 c n Z l e V 9 N Y X k g M j A s I D I w M j N f M D g g M j I v Q X V 0 b 1 J l b W 9 2 Z W R D b 2 x 1 b W 5 z M S 5 7 Q 2 9 s d W 1 u M T A s O X 0 m c X V v d D s s J n F 1 b 3 Q 7 U 2 V j d G l v b j E v R U g g U H J l L V N 1 c n Z l e V 9 N Y X k g M j A s I D I w M j N f M D g g M j I v Q X V 0 b 1 J l b W 9 2 Z W R D b 2 x 1 b W 5 z M S 5 7 Q 2 9 s d W 1 u M T E s M T B 9 J n F 1 b 3 Q 7 L C Z x d W 9 0 O 1 N l Y 3 R p b 2 4 x L 0 V I I F B y Z S 1 T d X J 2 Z X l f T W F 5 I D I w L C A y M D I z X z A 4 I D I y L 0 F 1 d G 9 S Z W 1 v d m V k Q 2 9 s d W 1 u c z E u e 0 N v b H V t b j E y L D E x f S Z x d W 9 0 O y w m c X V v d D t T Z W N 0 a W 9 u M S 9 F S C B Q c m U t U 3 V y d m V 5 X 0 1 h e S A y M C w g M j A y M 1 8 w O C A y M i 9 B d X R v U m V t b 3 Z l Z E N v b H V t b n M x L n t D b 2 x 1 b W 4 x M y w x M n 0 m c X V v d D s s J n F 1 b 3 Q 7 U 2 V j d G l v b j E v R U g g U H J l L V N 1 c n Z l e V 9 N Y X k g M j A s I D I w M j N f M D g g M j I v Q X V 0 b 1 J l b W 9 2 Z W R D b 2 x 1 b W 5 z M S 5 7 Q 2 9 s d W 1 u M T Q s M T N 9 J n F 1 b 3 Q 7 L C Z x d W 9 0 O 1 N l Y 3 R p b 2 4 x L 0 V I I F B y Z S 1 T d X J 2 Z X l f T W F 5 I D I w L C A y M D I z X z A 4 I D I y L 0 F 1 d G 9 S Z W 1 v d m V k Q 2 9 s d W 1 u c z E u e 0 N v b H V t b j E 1 L D E 0 f S Z x d W 9 0 O y w m c X V v d D t T Z W N 0 a W 9 u M S 9 F S C B Q c m U t U 3 V y d m V 5 X 0 1 h e S A y M C w g M j A y M 1 8 w O C A y M i 9 B d X R v U m V t b 3 Z l Z E N v b H V t b n M x L n t D b 2 x 1 b W 4 x N i w x N X 0 m c X V v d D s s J n F 1 b 3 Q 7 U 2 V j d G l v b j E v R U g g U H J l L V N 1 c n Z l e V 9 N Y X k g M j A s I D I w M j N f M D g g M j I v Q X V 0 b 1 J l b W 9 2 Z W R D b 2 x 1 b W 5 z M S 5 7 Q 2 9 s d W 1 u M T c s M T Z 9 J n F 1 b 3 Q 7 L C Z x d W 9 0 O 1 N l Y 3 R p b 2 4 x L 0 V I I F B y Z S 1 T d X J 2 Z X l f T W F 5 I D I w L C A y M D I z X z A 4 I D I y L 0 F 1 d G 9 S Z W 1 v d m V k Q 2 9 s d W 1 u c z E u e 0 N v b H V t b j E 4 L D E 3 f S Z x d W 9 0 O y w m c X V v d D t T Z W N 0 a W 9 u M S 9 F S C B Q c m U t U 3 V y d m V 5 X 0 1 h e S A y M C w g M j A y M 1 8 w O C A y M i 9 B d X R v U m V t b 3 Z l Z E N v b H V t b n M x L n t D b 2 x 1 b W 4 x O S w x O H 0 m c X V v d D s s J n F 1 b 3 Q 7 U 2 V j d G l v b j E v R U g g U H J l L V N 1 c n Z l e V 9 N Y X k g M j A s I D I w M j N f M D g g M j I v Q X V 0 b 1 J l b W 9 2 Z W R D b 2 x 1 b W 5 z M S 5 7 Q 2 9 s d W 1 u M j A s M T l 9 J n F 1 b 3 Q 7 L C Z x d W 9 0 O 1 N l Y 3 R p b 2 4 x L 0 V I I F B y Z S 1 T d X J 2 Z X l f T W F 5 I D I w L C A y M D I z X z A 4 I D I y L 0 F 1 d G 9 S Z W 1 v d m V k Q 2 9 s d W 1 u c z E u e 0 N v b H V t b j I x L D I w f S Z x d W 9 0 O y w m c X V v d D t T Z W N 0 a W 9 u M S 9 F S C B Q c m U t U 3 V y d m V 5 X 0 1 h e S A y M C w g M j A y M 1 8 w O C A y M i 9 B d X R v U m V t b 3 Z l Z E N v b H V t b n M x L n t D b 2 x 1 b W 4 y M i w y M X 0 m c X V v d D s s J n F 1 b 3 Q 7 U 2 V j d G l v b j E v R U g g U H J l L V N 1 c n Z l e V 9 N Y X k g M j A s I D I w M j N f M D g g M j I v Q X V 0 b 1 J l b W 9 2 Z W R D b 2 x 1 b W 5 z M S 5 7 Q 2 9 s d W 1 u M j M s M j J 9 J n F 1 b 3 Q 7 L C Z x d W 9 0 O 1 N l Y 3 R p b 2 4 x L 0 V I I F B y Z S 1 T d X J 2 Z X l f T W F 5 I D I w L C A y M D I z X z A 4 I D I y L 0 F 1 d G 9 S Z W 1 v d m V k Q 2 9 s d W 1 u c z E u e 0 N v b H V t b j I 0 L D I z f S Z x d W 9 0 O y w m c X V v d D t T Z W N 0 a W 9 u M S 9 F S C B Q c m U t U 3 V y d m V 5 X 0 1 h e S A y M C w g M j A y M 1 8 w O C A y M i 9 B d X R v U m V t b 3 Z l Z E N v b H V t b n M x L n t D b 2 x 1 b W 4 y N S w y N H 0 m c X V v d D s s J n F 1 b 3 Q 7 U 2 V j d G l v b j E v R U g g U H J l L V N 1 c n Z l e V 9 N Y X k g M j A s I D I w M j N f M D g g M j I v Q X V 0 b 1 J l b W 9 2 Z W R D b 2 x 1 b W 5 z M S 5 7 Q 2 9 s d W 1 u M j Y s M j V 9 J n F 1 b 3 Q 7 L C Z x d W 9 0 O 1 N l Y 3 R p b 2 4 x L 0 V I I F B y Z S 1 T d X J 2 Z X l f T W F 5 I D I w L C A y M D I z X z A 4 I D I y L 0 F 1 d G 9 S Z W 1 v d m V k Q 2 9 s d W 1 u c z E u e 0 N v b H V t b j I 3 L D I 2 f S Z x d W 9 0 O y w m c X V v d D t T Z W N 0 a W 9 u M S 9 F S C B Q c m U t U 3 V y d m V 5 X 0 1 h e S A y M C w g M j A y M 1 8 w O C A y M i 9 B d X R v U m V t b 3 Z l Z E N v b H V t b n M x L n t D b 2 x 1 b W 4 y O C w y N 3 0 m c X V v d D s s J n F 1 b 3 Q 7 U 2 V j d G l v b j E v R U g g U H J l L V N 1 c n Z l e V 9 N Y X k g M j A s I D I w M j N f M D g g M j I v Q X V 0 b 1 J l b W 9 2 Z W R D b 2 x 1 b W 5 z M S 5 7 Q 2 9 s d W 1 u M j k s M j h 9 J n F 1 b 3 Q 7 L C Z x d W 9 0 O 1 N l Y 3 R p b 2 4 x L 0 V I I F B y Z S 1 T d X J 2 Z X l f T W F 5 I D I w L C A y M D I z X z A 4 I D I y L 0 F 1 d G 9 S Z W 1 v d m V k Q 2 9 s d W 1 u c z E u e 0 N v b H V t b j M w L D I 5 f S Z x d W 9 0 O y w m c X V v d D t T Z W N 0 a W 9 u M S 9 F S C B Q c m U t U 3 V y d m V 5 X 0 1 h e S A y M C w g M j A y M 1 8 w O C A y M i 9 B d X R v U m V t b 3 Z l Z E N v b H V t b n M x L n t D b 2 x 1 b W 4 z M S w z M H 0 m c X V v d D s s J n F 1 b 3 Q 7 U 2 V j d G l v b j E v R U g g U H J l L V N 1 c n Z l e V 9 N Y X k g M j A s I D I w M j N f M D g g M j I v Q X V 0 b 1 J l b W 9 2 Z W R D b 2 x 1 b W 5 z M S 5 7 Q 2 9 s d W 1 u M z I s M z F 9 J n F 1 b 3 Q 7 L C Z x d W 9 0 O 1 N l Y 3 R p b 2 4 x L 0 V I I F B y Z S 1 T d X J 2 Z X l f T W F 5 I D I w L C A y M D I z X z A 4 I D I y L 0 F 1 d G 9 S Z W 1 v d m V k Q 2 9 s d W 1 u c z E u e 0 N v b H V t b j M z L D M y f S Z x d W 9 0 O y w m c X V v d D t T Z W N 0 a W 9 u M S 9 F S C B Q c m U t U 3 V y d m V 5 X 0 1 h e S A y M C w g M j A y M 1 8 w O C A y M i 9 B d X R v U m V t b 3 Z l Z E N v b H V t b n M x L n t D b 2 x 1 b W 4 z N C w z M 3 0 m c X V v d D s s J n F 1 b 3 Q 7 U 2 V j d G l v b j E v R U g g U H J l L V N 1 c n Z l e V 9 N Y X k g M j A s I D I w M j N f M D g g M j I v Q X V 0 b 1 J l b W 9 2 Z W R D b 2 x 1 b W 5 z M S 5 7 Q 2 9 s d W 1 u M z U s M z R 9 J n F 1 b 3 Q 7 L C Z x d W 9 0 O 1 N l Y 3 R p b 2 4 x L 0 V I I F B y Z S 1 T d X J 2 Z X l f T W F 5 I D I w L C A y M D I z X z A 4 I D I y L 0 F 1 d G 9 S Z W 1 v d m V k Q 2 9 s d W 1 u c z E u e 0 N v b H V t b j M 2 L D M 1 f S Z x d W 9 0 O y w m c X V v d D t T Z W N 0 a W 9 u M S 9 F S C B Q c m U t U 3 V y d m V 5 X 0 1 h e S A y M C w g M j A y M 1 8 w O C A y M i 9 B d X R v U m V t b 3 Z l Z E N v b H V t b n M x L n t D b 2 x 1 b W 4 z N y w z N n 0 m c X V v d D s s J n F 1 b 3 Q 7 U 2 V j d G l v b j E v R U g g U H J l L V N 1 c n Z l e V 9 N Y X k g M j A s I D I w M j N f M D g g M j I v Q X V 0 b 1 J l b W 9 2 Z W R D b 2 x 1 b W 5 z M S 5 7 Q 2 9 s d W 1 u M z g s M z d 9 J n F 1 b 3 Q 7 X S w m c X V v d D t D b 2 x 1 b W 5 D b 3 V u d C Z x d W 9 0 O z o z O C w m c X V v d D t L Z X l D b 2 x 1 b W 5 O Y W 1 l c y Z x d W 9 0 O z p b X S w m c X V v d D t D b 2 x 1 b W 5 J Z G V u d G l 0 a W V z J n F 1 b 3 Q 7 O l s m c X V v d D t T Z W N 0 a W 9 u M S 9 F S C B Q c m U t U 3 V y d m V 5 X 0 1 h e S A y M C w g M j A y M 1 8 w O C A y M i 9 B d X R v U m V t b 3 Z l Z E N v b H V t b n M x L n t D b 2 x 1 b W 4 x L D B 9 J n F 1 b 3 Q 7 L C Z x d W 9 0 O 1 N l Y 3 R p b 2 4 x L 0 V I I F B y Z S 1 T d X J 2 Z X l f T W F 5 I D I w L C A y M D I z X z A 4 I D I y L 0 F 1 d G 9 S Z W 1 v d m V k Q 2 9 s d W 1 u c z E u e 0 N v b H V t b j I s M X 0 m c X V v d D s s J n F 1 b 3 Q 7 U 2 V j d G l v b j E v R U g g U H J l L V N 1 c n Z l e V 9 N Y X k g M j A s I D I w M j N f M D g g M j I v Q X V 0 b 1 J l b W 9 2 Z W R D b 2 x 1 b W 5 z M S 5 7 Q 2 9 s d W 1 u M y w y f S Z x d W 9 0 O y w m c X V v d D t T Z W N 0 a W 9 u M S 9 F S C B Q c m U t U 3 V y d m V 5 X 0 1 h e S A y M C w g M j A y M 1 8 w O C A y M i 9 B d X R v U m V t b 3 Z l Z E N v b H V t b n M x L n t D b 2 x 1 b W 4 0 L D N 9 J n F 1 b 3 Q 7 L C Z x d W 9 0 O 1 N l Y 3 R p b 2 4 x L 0 V I I F B y Z S 1 T d X J 2 Z X l f T W F 5 I D I w L C A y M D I z X z A 4 I D I y L 0 F 1 d G 9 S Z W 1 v d m V k Q 2 9 s d W 1 u c z E u e 0 N v b H V t b j U s N H 0 m c X V v d D s s J n F 1 b 3 Q 7 U 2 V j d G l v b j E v R U g g U H J l L V N 1 c n Z l e V 9 N Y X k g M j A s I D I w M j N f M D g g M j I v Q X V 0 b 1 J l b W 9 2 Z W R D b 2 x 1 b W 5 z M S 5 7 Q 2 9 s d W 1 u N i w 1 f S Z x d W 9 0 O y w m c X V v d D t T Z W N 0 a W 9 u M S 9 F S C B Q c m U t U 3 V y d m V 5 X 0 1 h e S A y M C w g M j A y M 1 8 w O C A y M i 9 B d X R v U m V t b 3 Z l Z E N v b H V t b n M x L n t D b 2 x 1 b W 4 3 L D Z 9 J n F 1 b 3 Q 7 L C Z x d W 9 0 O 1 N l Y 3 R p b 2 4 x L 0 V I I F B y Z S 1 T d X J 2 Z X l f T W F 5 I D I w L C A y M D I z X z A 4 I D I y L 0 F 1 d G 9 S Z W 1 v d m V k Q 2 9 s d W 1 u c z E u e 0 N v b H V t b j g s N 3 0 m c X V v d D s s J n F 1 b 3 Q 7 U 2 V j d G l v b j E v R U g g U H J l L V N 1 c n Z l e V 9 N Y X k g M j A s I D I w M j N f M D g g M j I v Q X V 0 b 1 J l b W 9 2 Z W R D b 2 x 1 b W 5 z M S 5 7 Q 2 9 s d W 1 u O S w 4 f S Z x d W 9 0 O y w m c X V v d D t T Z W N 0 a W 9 u M S 9 F S C B Q c m U t U 3 V y d m V 5 X 0 1 h e S A y M C w g M j A y M 1 8 w O C A y M i 9 B d X R v U m V t b 3 Z l Z E N v b H V t b n M x L n t D b 2 x 1 b W 4 x M C w 5 f S Z x d W 9 0 O y w m c X V v d D t T Z W N 0 a W 9 u M S 9 F S C B Q c m U t U 3 V y d m V 5 X 0 1 h e S A y M C w g M j A y M 1 8 w O C A y M i 9 B d X R v U m V t b 3 Z l Z E N v b H V t b n M x L n t D b 2 x 1 b W 4 x M S w x M H 0 m c X V v d D s s J n F 1 b 3 Q 7 U 2 V j d G l v b j E v R U g g U H J l L V N 1 c n Z l e V 9 N Y X k g M j A s I D I w M j N f M D g g M j I v Q X V 0 b 1 J l b W 9 2 Z W R D b 2 x 1 b W 5 z M S 5 7 Q 2 9 s d W 1 u M T I s M T F 9 J n F 1 b 3 Q 7 L C Z x d W 9 0 O 1 N l Y 3 R p b 2 4 x L 0 V I I F B y Z S 1 T d X J 2 Z X l f T W F 5 I D I w L C A y M D I z X z A 4 I D I y L 0 F 1 d G 9 S Z W 1 v d m V k Q 2 9 s d W 1 u c z E u e 0 N v b H V t b j E z L D E y f S Z x d W 9 0 O y w m c X V v d D t T Z W N 0 a W 9 u M S 9 F S C B Q c m U t U 3 V y d m V 5 X 0 1 h e S A y M C w g M j A y M 1 8 w O C A y M i 9 B d X R v U m V t b 3 Z l Z E N v b H V t b n M x L n t D b 2 x 1 b W 4 x N C w x M 3 0 m c X V v d D s s J n F 1 b 3 Q 7 U 2 V j d G l v b j E v R U g g U H J l L V N 1 c n Z l e V 9 N Y X k g M j A s I D I w M j N f M D g g M j I v Q X V 0 b 1 J l b W 9 2 Z W R D b 2 x 1 b W 5 z M S 5 7 Q 2 9 s d W 1 u M T U s M T R 9 J n F 1 b 3 Q 7 L C Z x d W 9 0 O 1 N l Y 3 R p b 2 4 x L 0 V I I F B y Z S 1 T d X J 2 Z X l f T W F 5 I D I w L C A y M D I z X z A 4 I D I y L 0 F 1 d G 9 S Z W 1 v d m V k Q 2 9 s d W 1 u c z E u e 0 N v b H V t b j E 2 L D E 1 f S Z x d W 9 0 O y w m c X V v d D t T Z W N 0 a W 9 u M S 9 F S C B Q c m U t U 3 V y d m V 5 X 0 1 h e S A y M C w g M j A y M 1 8 w O C A y M i 9 B d X R v U m V t b 3 Z l Z E N v b H V t b n M x L n t D b 2 x 1 b W 4 x N y w x N n 0 m c X V v d D s s J n F 1 b 3 Q 7 U 2 V j d G l v b j E v R U g g U H J l L V N 1 c n Z l e V 9 N Y X k g M j A s I D I w M j N f M D g g M j I v Q X V 0 b 1 J l b W 9 2 Z W R D b 2 x 1 b W 5 z M S 5 7 Q 2 9 s d W 1 u M T g s M T d 9 J n F 1 b 3 Q 7 L C Z x d W 9 0 O 1 N l Y 3 R p b 2 4 x L 0 V I I F B y Z S 1 T d X J 2 Z X l f T W F 5 I D I w L C A y M D I z X z A 4 I D I y L 0 F 1 d G 9 S Z W 1 v d m V k Q 2 9 s d W 1 u c z E u e 0 N v b H V t b j E 5 L D E 4 f S Z x d W 9 0 O y w m c X V v d D t T Z W N 0 a W 9 u M S 9 F S C B Q c m U t U 3 V y d m V 5 X 0 1 h e S A y M C w g M j A y M 1 8 w O C A y M i 9 B d X R v U m V t b 3 Z l Z E N v b H V t b n M x L n t D b 2 x 1 b W 4 y M C w x O X 0 m c X V v d D s s J n F 1 b 3 Q 7 U 2 V j d G l v b j E v R U g g U H J l L V N 1 c n Z l e V 9 N Y X k g M j A s I D I w M j N f M D g g M j I v Q X V 0 b 1 J l b W 9 2 Z W R D b 2 x 1 b W 5 z M S 5 7 Q 2 9 s d W 1 u M j E s M j B 9 J n F 1 b 3 Q 7 L C Z x d W 9 0 O 1 N l Y 3 R p b 2 4 x L 0 V I I F B y Z S 1 T d X J 2 Z X l f T W F 5 I D I w L C A y M D I z X z A 4 I D I y L 0 F 1 d G 9 S Z W 1 v d m V k Q 2 9 s d W 1 u c z E u e 0 N v b H V t b j I y L D I x f S Z x d W 9 0 O y w m c X V v d D t T Z W N 0 a W 9 u M S 9 F S C B Q c m U t U 3 V y d m V 5 X 0 1 h e S A y M C w g M j A y M 1 8 w O C A y M i 9 B d X R v U m V t b 3 Z l Z E N v b H V t b n M x L n t D b 2 x 1 b W 4 y M y w y M n 0 m c X V v d D s s J n F 1 b 3 Q 7 U 2 V j d G l v b j E v R U g g U H J l L V N 1 c n Z l e V 9 N Y X k g M j A s I D I w M j N f M D g g M j I v Q X V 0 b 1 J l b W 9 2 Z W R D b 2 x 1 b W 5 z M S 5 7 Q 2 9 s d W 1 u M j Q s M j N 9 J n F 1 b 3 Q 7 L C Z x d W 9 0 O 1 N l Y 3 R p b 2 4 x L 0 V I I F B y Z S 1 T d X J 2 Z X l f T W F 5 I D I w L C A y M D I z X z A 4 I D I y L 0 F 1 d G 9 S Z W 1 v d m V k Q 2 9 s d W 1 u c z E u e 0 N v b H V t b j I 1 L D I 0 f S Z x d W 9 0 O y w m c X V v d D t T Z W N 0 a W 9 u M S 9 F S C B Q c m U t U 3 V y d m V 5 X 0 1 h e S A y M C w g M j A y M 1 8 w O C A y M i 9 B d X R v U m V t b 3 Z l Z E N v b H V t b n M x L n t D b 2 x 1 b W 4 y N i w y N X 0 m c X V v d D s s J n F 1 b 3 Q 7 U 2 V j d G l v b j E v R U g g U H J l L V N 1 c n Z l e V 9 N Y X k g M j A s I D I w M j N f M D g g M j I v Q X V 0 b 1 J l b W 9 2 Z W R D b 2 x 1 b W 5 z M S 5 7 Q 2 9 s d W 1 u M j c s M j Z 9 J n F 1 b 3 Q 7 L C Z x d W 9 0 O 1 N l Y 3 R p b 2 4 x L 0 V I I F B y Z S 1 T d X J 2 Z X l f T W F 5 I D I w L C A y M D I z X z A 4 I D I y L 0 F 1 d G 9 S Z W 1 v d m V k Q 2 9 s d W 1 u c z E u e 0 N v b H V t b j I 4 L D I 3 f S Z x d W 9 0 O y w m c X V v d D t T Z W N 0 a W 9 u M S 9 F S C B Q c m U t U 3 V y d m V 5 X 0 1 h e S A y M C w g M j A y M 1 8 w O C A y M i 9 B d X R v U m V t b 3 Z l Z E N v b H V t b n M x L n t D b 2 x 1 b W 4 y O S w y O H 0 m c X V v d D s s J n F 1 b 3 Q 7 U 2 V j d G l v b j E v R U g g U H J l L V N 1 c n Z l e V 9 N Y X k g M j A s I D I w M j N f M D g g M j I v Q X V 0 b 1 J l b W 9 2 Z W R D b 2 x 1 b W 5 z M S 5 7 Q 2 9 s d W 1 u M z A s M j l 9 J n F 1 b 3 Q 7 L C Z x d W 9 0 O 1 N l Y 3 R p b 2 4 x L 0 V I I F B y Z S 1 T d X J 2 Z X l f T W F 5 I D I w L C A y M D I z X z A 4 I D I y L 0 F 1 d G 9 S Z W 1 v d m V k Q 2 9 s d W 1 u c z E u e 0 N v b H V t b j M x L D M w f S Z x d W 9 0 O y w m c X V v d D t T Z W N 0 a W 9 u M S 9 F S C B Q c m U t U 3 V y d m V 5 X 0 1 h e S A y M C w g M j A y M 1 8 w O C A y M i 9 B d X R v U m V t b 3 Z l Z E N v b H V t b n M x L n t D b 2 x 1 b W 4 z M i w z M X 0 m c X V v d D s s J n F 1 b 3 Q 7 U 2 V j d G l v b j E v R U g g U H J l L V N 1 c n Z l e V 9 N Y X k g M j A s I D I w M j N f M D g g M j I v Q X V 0 b 1 J l b W 9 2 Z W R D b 2 x 1 b W 5 z M S 5 7 Q 2 9 s d W 1 u M z M s M z J 9 J n F 1 b 3 Q 7 L C Z x d W 9 0 O 1 N l Y 3 R p b 2 4 x L 0 V I I F B y Z S 1 T d X J 2 Z X l f T W F 5 I D I w L C A y M D I z X z A 4 I D I y L 0 F 1 d G 9 S Z W 1 v d m V k Q 2 9 s d W 1 u c z E u e 0 N v b H V t b j M 0 L D M z f S Z x d W 9 0 O y w m c X V v d D t T Z W N 0 a W 9 u M S 9 F S C B Q c m U t U 3 V y d m V 5 X 0 1 h e S A y M C w g M j A y M 1 8 w O C A y M i 9 B d X R v U m V t b 3 Z l Z E N v b H V t b n M x L n t D b 2 x 1 b W 4 z N S w z N H 0 m c X V v d D s s J n F 1 b 3 Q 7 U 2 V j d G l v b j E v R U g g U H J l L V N 1 c n Z l e V 9 N Y X k g M j A s I D I w M j N f M D g g M j I v Q X V 0 b 1 J l b W 9 2 Z W R D b 2 x 1 b W 5 z M S 5 7 Q 2 9 s d W 1 u M z Y s M z V 9 J n F 1 b 3 Q 7 L C Z x d W 9 0 O 1 N l Y 3 R p b 2 4 x L 0 V I I F B y Z S 1 T d X J 2 Z X l f T W F 5 I D I w L C A y M D I z X z A 4 I D I y L 0 F 1 d G 9 S Z W 1 v d m V k Q 2 9 s d W 1 u c z E u e 0 N v b H V t b j M 3 L D M 2 f S Z x d W 9 0 O y w m c X V v d D t T Z W N 0 a W 9 u M S 9 F S C B Q c m U t U 3 V y d m V 5 X 0 1 h e S A y M C w g M j A y M 1 8 w O C A y M i 9 B d X R v U m V t b 3 Z l Z E N v b H V t b n M x L n t D b 2 x 1 b W 4 z O C w z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I J T I w U H J l L V N 1 c n Z l e V 9 N Y X k l M j A y M C U y Q y U y M D I w M j N f M D g l M j A y M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S C U y M F B y Z S 1 T d X J 2 Z X l f T W F 5 J T I w M j A l M k M l M j A y M D I z X z A 4 J T I w M j I l M j A o M i k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S C U y M F B v c 3 Q t U 3 V y d m V 5 X 0 1 h e S U y M D I y J T J D J T I w M j A y M 1 8 x M S U y M D A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k Z p b G x U Y X J n Z X Q i I F Z h b H V l P S J z V G F i b G V f R U h f U G 9 z d F 9 T d X J 2 Z X l f T W F 5 X z I y X 1 8 y M D I z X z E x X z A w N S I g L z 4 8 R W 5 0 c n k g V H l w Z T 0 i R m l s b G V k Q 2 9 t c G x l d G V S Z X N 1 b H R U b 1 d v c m t z a G V l d C I g V m F s d W U 9 I m w x I i A v P j x F b n R y e S B U e X B l P S J G a W x s Q 2 9 s d W 1 u V H l w Z X M i I F Z h b H V l P S J z Q m d Z R 0 J n W U d C Z 1 l H Q m d Z R 0 J n W U d C Z 1 l H Q m d Z R 0 J n W U d C Z 1 l H Q m d Z R 0 J n W U d C Z 1 l H Q m d Z P S I g L z 4 8 R W 5 0 c n k g V H l w Z T 0 i R m l s b E x h c 3 R V c G R h d G V k I i B W Y W x 1 Z T 0 i Z D I w M j M t M D k t M T F U M T k 6 M T E 6 M T U u O T U 0 O D M 5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t d I i A v P j x F b n R y e S B U e X B l P S J B Z G R l Z F R v R G F 0 Y U 1 v Z G V s I i B W Y W x 1 Z T 0 i b D A i I C 8 + P E V u d H J 5 I F R 5 c G U 9 I k x v Y W R l Z F R v Q W 5 h b H l z a X N T Z X J 2 a W N l c y I g V m F s d W U 9 I m w w I i A v P j x F b n R y e S B U e X B l P S J G a W x s U 3 R h d H V z I i B W Y W x 1 Z T 0 i c 1 d h a X R p b m d G b 3 J F e G N l b F J l Z n J l c 2 g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z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U g g U G 9 z d C 1 T d X J 2 Z X l f T W F 5 I D I y L C A y M D I z X z E x I D A w L 0 F 1 d G 9 S Z W 1 v d m V k Q 2 9 s d W 1 u c z E u e 0 N v b H V t b j E s M H 0 m c X V v d D s s J n F 1 b 3 Q 7 U 2 V j d G l v b j E v R U g g U G 9 z d C 1 T d X J 2 Z X l f T W F 5 I D I y L C A y M D I z X z E x I D A w L 0 F 1 d G 9 S Z W 1 v d m V k Q 2 9 s d W 1 u c z E u e 0 N v b H V t b j I s M X 0 m c X V v d D s s J n F 1 b 3 Q 7 U 2 V j d G l v b j E v R U g g U G 9 z d C 1 T d X J 2 Z X l f T W F 5 I D I y L C A y M D I z X z E x I D A w L 0 F 1 d G 9 S Z W 1 v d m V k Q 2 9 s d W 1 u c z E u e 0 N v b H V t b j M s M n 0 m c X V v d D s s J n F 1 b 3 Q 7 U 2 V j d G l v b j E v R U g g U G 9 z d C 1 T d X J 2 Z X l f T W F 5 I D I y L C A y M D I z X z E x I D A w L 0 F 1 d G 9 S Z W 1 v d m V k Q 2 9 s d W 1 u c z E u e 0 N v b H V t b j Q s M 3 0 m c X V v d D s s J n F 1 b 3 Q 7 U 2 V j d G l v b j E v R U g g U G 9 z d C 1 T d X J 2 Z X l f T W F 5 I D I y L C A y M D I z X z E x I D A w L 0 F 1 d G 9 S Z W 1 v d m V k Q 2 9 s d W 1 u c z E u e 0 N v b H V t b j U s N H 0 m c X V v d D s s J n F 1 b 3 Q 7 U 2 V j d G l v b j E v R U g g U G 9 z d C 1 T d X J 2 Z X l f T W F 5 I D I y L C A y M D I z X z E x I D A w L 0 F 1 d G 9 S Z W 1 v d m V k Q 2 9 s d W 1 u c z E u e 0 N v b H V t b j Y s N X 0 m c X V v d D s s J n F 1 b 3 Q 7 U 2 V j d G l v b j E v R U g g U G 9 z d C 1 T d X J 2 Z X l f T W F 5 I D I y L C A y M D I z X z E x I D A w L 0 F 1 d G 9 S Z W 1 v d m V k Q 2 9 s d W 1 u c z E u e 0 N v b H V t b j c s N n 0 m c X V v d D s s J n F 1 b 3 Q 7 U 2 V j d G l v b j E v R U g g U G 9 z d C 1 T d X J 2 Z X l f T W F 5 I D I y L C A y M D I z X z E x I D A w L 0 F 1 d G 9 S Z W 1 v d m V k Q 2 9 s d W 1 u c z E u e 0 N v b H V t b j g s N 3 0 m c X V v d D s s J n F 1 b 3 Q 7 U 2 V j d G l v b j E v R U g g U G 9 z d C 1 T d X J 2 Z X l f T W F 5 I D I y L C A y M D I z X z E x I D A w L 0 F 1 d G 9 S Z W 1 v d m V k Q 2 9 s d W 1 u c z E u e 0 N v b H V t b j k s O H 0 m c X V v d D s s J n F 1 b 3 Q 7 U 2 V j d G l v b j E v R U g g U G 9 z d C 1 T d X J 2 Z X l f T W F 5 I D I y L C A y M D I z X z E x I D A w L 0 F 1 d G 9 S Z W 1 v d m V k Q 2 9 s d W 1 u c z E u e 0 N v b H V t b j E w L D l 9 J n F 1 b 3 Q 7 L C Z x d W 9 0 O 1 N l Y 3 R p b 2 4 x L 0 V I I F B v c 3 Q t U 3 V y d m V 5 X 0 1 h e S A y M i w g M j A y M 1 8 x M S A w M C 9 B d X R v U m V t b 3 Z l Z E N v b H V t b n M x L n t D b 2 x 1 b W 4 x M S w x M H 0 m c X V v d D s s J n F 1 b 3 Q 7 U 2 V j d G l v b j E v R U g g U G 9 z d C 1 T d X J 2 Z X l f T W F 5 I D I y L C A y M D I z X z E x I D A w L 0 F 1 d G 9 S Z W 1 v d m V k Q 2 9 s d W 1 u c z E u e 0 N v b H V t b j E y L D E x f S Z x d W 9 0 O y w m c X V v d D t T Z W N 0 a W 9 u M S 9 F S C B Q b 3 N 0 L V N 1 c n Z l e V 9 N Y X k g M j I s I D I w M j N f M T E g M D A v Q X V 0 b 1 J l b W 9 2 Z W R D b 2 x 1 b W 5 z M S 5 7 Q 2 9 s d W 1 u M T M s M T J 9 J n F 1 b 3 Q 7 L C Z x d W 9 0 O 1 N l Y 3 R p b 2 4 x L 0 V I I F B v c 3 Q t U 3 V y d m V 5 X 0 1 h e S A y M i w g M j A y M 1 8 x M S A w M C 9 B d X R v U m V t b 3 Z l Z E N v b H V t b n M x L n t D b 2 x 1 b W 4 x N C w x M 3 0 m c X V v d D s s J n F 1 b 3 Q 7 U 2 V j d G l v b j E v R U g g U G 9 z d C 1 T d X J 2 Z X l f T W F 5 I D I y L C A y M D I z X z E x I D A w L 0 F 1 d G 9 S Z W 1 v d m V k Q 2 9 s d W 1 u c z E u e 0 N v b H V t b j E 1 L D E 0 f S Z x d W 9 0 O y w m c X V v d D t T Z W N 0 a W 9 u M S 9 F S C B Q b 3 N 0 L V N 1 c n Z l e V 9 N Y X k g M j I s I D I w M j N f M T E g M D A v Q X V 0 b 1 J l b W 9 2 Z W R D b 2 x 1 b W 5 z M S 5 7 Q 2 9 s d W 1 u M T Y s M T V 9 J n F 1 b 3 Q 7 L C Z x d W 9 0 O 1 N l Y 3 R p b 2 4 x L 0 V I I F B v c 3 Q t U 3 V y d m V 5 X 0 1 h e S A y M i w g M j A y M 1 8 x M S A w M C 9 B d X R v U m V t b 3 Z l Z E N v b H V t b n M x L n t D b 2 x 1 b W 4 x N y w x N n 0 m c X V v d D s s J n F 1 b 3 Q 7 U 2 V j d G l v b j E v R U g g U G 9 z d C 1 T d X J 2 Z X l f T W F 5 I D I y L C A y M D I z X z E x I D A w L 0 F 1 d G 9 S Z W 1 v d m V k Q 2 9 s d W 1 u c z E u e 0 N v b H V t b j E 4 L D E 3 f S Z x d W 9 0 O y w m c X V v d D t T Z W N 0 a W 9 u M S 9 F S C B Q b 3 N 0 L V N 1 c n Z l e V 9 N Y X k g M j I s I D I w M j N f M T E g M D A v Q X V 0 b 1 J l b W 9 2 Z W R D b 2 x 1 b W 5 z M S 5 7 Q 2 9 s d W 1 u M T k s M T h 9 J n F 1 b 3 Q 7 L C Z x d W 9 0 O 1 N l Y 3 R p b 2 4 x L 0 V I I F B v c 3 Q t U 3 V y d m V 5 X 0 1 h e S A y M i w g M j A y M 1 8 x M S A w M C 9 B d X R v U m V t b 3 Z l Z E N v b H V t b n M x L n t D b 2 x 1 b W 4 y M C w x O X 0 m c X V v d D s s J n F 1 b 3 Q 7 U 2 V j d G l v b j E v R U g g U G 9 z d C 1 T d X J 2 Z X l f T W F 5 I D I y L C A y M D I z X z E x I D A w L 0 F 1 d G 9 S Z W 1 v d m V k Q 2 9 s d W 1 u c z E u e 0 N v b H V t b j I x L D I w f S Z x d W 9 0 O y w m c X V v d D t T Z W N 0 a W 9 u M S 9 F S C B Q b 3 N 0 L V N 1 c n Z l e V 9 N Y X k g M j I s I D I w M j N f M T E g M D A v Q X V 0 b 1 J l b W 9 2 Z W R D b 2 x 1 b W 5 z M S 5 7 Q 2 9 s d W 1 u M j I s M j F 9 J n F 1 b 3 Q 7 L C Z x d W 9 0 O 1 N l Y 3 R p b 2 4 x L 0 V I I F B v c 3 Q t U 3 V y d m V 5 X 0 1 h e S A y M i w g M j A y M 1 8 x M S A w M C 9 B d X R v U m V t b 3 Z l Z E N v b H V t b n M x L n t D b 2 x 1 b W 4 y M y w y M n 0 m c X V v d D s s J n F 1 b 3 Q 7 U 2 V j d G l v b j E v R U g g U G 9 z d C 1 T d X J 2 Z X l f T W F 5 I D I y L C A y M D I z X z E x I D A w L 0 F 1 d G 9 S Z W 1 v d m V k Q 2 9 s d W 1 u c z E u e 0 N v b H V t b j I 0 L D I z f S Z x d W 9 0 O y w m c X V v d D t T Z W N 0 a W 9 u M S 9 F S C B Q b 3 N 0 L V N 1 c n Z l e V 9 N Y X k g M j I s I D I w M j N f M T E g M D A v Q X V 0 b 1 J l b W 9 2 Z W R D b 2 x 1 b W 5 z M S 5 7 Q 2 9 s d W 1 u M j U s M j R 9 J n F 1 b 3 Q 7 L C Z x d W 9 0 O 1 N l Y 3 R p b 2 4 x L 0 V I I F B v c 3 Q t U 3 V y d m V 5 X 0 1 h e S A y M i w g M j A y M 1 8 x M S A w M C 9 B d X R v U m V t b 3 Z l Z E N v b H V t b n M x L n t D b 2 x 1 b W 4 y N i w y N X 0 m c X V v d D s s J n F 1 b 3 Q 7 U 2 V j d G l v b j E v R U g g U G 9 z d C 1 T d X J 2 Z X l f T W F 5 I D I y L C A y M D I z X z E x I D A w L 0 F 1 d G 9 S Z W 1 v d m V k Q 2 9 s d W 1 u c z E u e 0 N v b H V t b j I 3 L D I 2 f S Z x d W 9 0 O y w m c X V v d D t T Z W N 0 a W 9 u M S 9 F S C B Q b 3 N 0 L V N 1 c n Z l e V 9 N Y X k g M j I s I D I w M j N f M T E g M D A v Q X V 0 b 1 J l b W 9 2 Z W R D b 2 x 1 b W 5 z M S 5 7 Q 2 9 s d W 1 u M j g s M j d 9 J n F 1 b 3 Q 7 L C Z x d W 9 0 O 1 N l Y 3 R p b 2 4 x L 0 V I I F B v c 3 Q t U 3 V y d m V 5 X 0 1 h e S A y M i w g M j A y M 1 8 x M S A w M C 9 B d X R v U m V t b 3 Z l Z E N v b H V t b n M x L n t D b 2 x 1 b W 4 y O S w y O H 0 m c X V v d D s s J n F 1 b 3 Q 7 U 2 V j d G l v b j E v R U g g U G 9 z d C 1 T d X J 2 Z X l f T W F 5 I D I y L C A y M D I z X z E x I D A w L 0 F 1 d G 9 S Z W 1 v d m V k Q 2 9 s d W 1 u c z E u e 0 N v b H V t b j M w L D I 5 f S Z x d W 9 0 O y w m c X V v d D t T Z W N 0 a W 9 u M S 9 F S C B Q b 3 N 0 L V N 1 c n Z l e V 9 N Y X k g M j I s I D I w M j N f M T E g M D A v Q X V 0 b 1 J l b W 9 2 Z W R D b 2 x 1 b W 5 z M S 5 7 Q 2 9 s d W 1 u M z E s M z B 9 J n F 1 b 3 Q 7 L C Z x d W 9 0 O 1 N l Y 3 R p b 2 4 x L 0 V I I F B v c 3 Q t U 3 V y d m V 5 X 0 1 h e S A y M i w g M j A y M 1 8 x M S A w M C 9 B d X R v U m V t b 3 Z l Z E N v b H V t b n M x L n t D b 2 x 1 b W 4 z M i w z M X 0 m c X V v d D s s J n F 1 b 3 Q 7 U 2 V j d G l v b j E v R U g g U G 9 z d C 1 T d X J 2 Z X l f T W F 5 I D I y L C A y M D I z X z E x I D A w L 0 F 1 d G 9 S Z W 1 v d m V k Q 2 9 s d W 1 u c z E u e 0 N v b H V t b j M z L D M y f S Z x d W 9 0 O y w m c X V v d D t T Z W N 0 a W 9 u M S 9 F S C B Q b 3 N 0 L V N 1 c n Z l e V 9 N Y X k g M j I s I D I w M j N f M T E g M D A v Q X V 0 b 1 J l b W 9 2 Z W R D b 2 x 1 b W 5 z M S 5 7 Q 2 9 s d W 1 u M z Q s M z N 9 J n F 1 b 3 Q 7 L C Z x d W 9 0 O 1 N l Y 3 R p b 2 4 x L 0 V I I F B v c 3 Q t U 3 V y d m V 5 X 0 1 h e S A y M i w g M j A y M 1 8 x M S A w M C 9 B d X R v U m V t b 3 Z l Z E N v b H V t b n M x L n t D b 2 x 1 b W 4 z N S w z N H 0 m c X V v d D s s J n F 1 b 3 Q 7 U 2 V j d G l v b j E v R U g g U G 9 z d C 1 T d X J 2 Z X l f T W F 5 I D I y L C A y M D I z X z E x I D A w L 0 F 1 d G 9 S Z W 1 v d m V k Q 2 9 s d W 1 u c z E u e 0 N v b H V t b j M 2 L D M 1 f S Z x d W 9 0 O y w m c X V v d D t T Z W N 0 a W 9 u M S 9 F S C B Q b 3 N 0 L V N 1 c n Z l e V 9 N Y X k g M j I s I D I w M j N f M T E g M D A v Q X V 0 b 1 J l b W 9 2 Z W R D b 2 x 1 b W 5 z M S 5 7 Q 2 9 s d W 1 u M z c s M z Z 9 J n F 1 b 3 Q 7 L C Z x d W 9 0 O 1 N l Y 3 R p b 2 4 x L 0 V I I F B v c 3 Q t U 3 V y d m V 5 X 0 1 h e S A y M i w g M j A y M 1 8 x M S A w M C 9 B d X R v U m V t b 3 Z l Z E N v b H V t b n M x L n t D b 2 x 1 b W 4 z O C w z N 3 0 m c X V v d D t d L C Z x d W 9 0 O 0 N v b H V t b k N v d W 5 0 J n F 1 b 3 Q 7 O j M 4 L C Z x d W 9 0 O 0 t l e U N v b H V t b k 5 h b W V z J n F 1 b 3 Q 7 O l t d L C Z x d W 9 0 O 0 N v b H V t b k l k Z W 5 0 a X R p Z X M m c X V v d D s 6 W y Z x d W 9 0 O 1 N l Y 3 R p b 2 4 x L 0 V I I F B v c 3 Q t U 3 V y d m V 5 X 0 1 h e S A y M i w g M j A y M 1 8 x M S A w M C 9 B d X R v U m V t b 3 Z l Z E N v b H V t b n M x L n t D b 2 x 1 b W 4 x L D B 9 J n F 1 b 3 Q 7 L C Z x d W 9 0 O 1 N l Y 3 R p b 2 4 x L 0 V I I F B v c 3 Q t U 3 V y d m V 5 X 0 1 h e S A y M i w g M j A y M 1 8 x M S A w M C 9 B d X R v U m V t b 3 Z l Z E N v b H V t b n M x L n t D b 2 x 1 b W 4 y L D F 9 J n F 1 b 3 Q 7 L C Z x d W 9 0 O 1 N l Y 3 R p b 2 4 x L 0 V I I F B v c 3 Q t U 3 V y d m V 5 X 0 1 h e S A y M i w g M j A y M 1 8 x M S A w M C 9 B d X R v U m V t b 3 Z l Z E N v b H V t b n M x L n t D b 2 x 1 b W 4 z L D J 9 J n F 1 b 3 Q 7 L C Z x d W 9 0 O 1 N l Y 3 R p b 2 4 x L 0 V I I F B v c 3 Q t U 3 V y d m V 5 X 0 1 h e S A y M i w g M j A y M 1 8 x M S A w M C 9 B d X R v U m V t b 3 Z l Z E N v b H V t b n M x L n t D b 2 x 1 b W 4 0 L D N 9 J n F 1 b 3 Q 7 L C Z x d W 9 0 O 1 N l Y 3 R p b 2 4 x L 0 V I I F B v c 3 Q t U 3 V y d m V 5 X 0 1 h e S A y M i w g M j A y M 1 8 x M S A w M C 9 B d X R v U m V t b 3 Z l Z E N v b H V t b n M x L n t D b 2 x 1 b W 4 1 L D R 9 J n F 1 b 3 Q 7 L C Z x d W 9 0 O 1 N l Y 3 R p b 2 4 x L 0 V I I F B v c 3 Q t U 3 V y d m V 5 X 0 1 h e S A y M i w g M j A y M 1 8 x M S A w M C 9 B d X R v U m V t b 3 Z l Z E N v b H V t b n M x L n t D b 2 x 1 b W 4 2 L D V 9 J n F 1 b 3 Q 7 L C Z x d W 9 0 O 1 N l Y 3 R p b 2 4 x L 0 V I I F B v c 3 Q t U 3 V y d m V 5 X 0 1 h e S A y M i w g M j A y M 1 8 x M S A w M C 9 B d X R v U m V t b 3 Z l Z E N v b H V t b n M x L n t D b 2 x 1 b W 4 3 L D Z 9 J n F 1 b 3 Q 7 L C Z x d W 9 0 O 1 N l Y 3 R p b 2 4 x L 0 V I I F B v c 3 Q t U 3 V y d m V 5 X 0 1 h e S A y M i w g M j A y M 1 8 x M S A w M C 9 B d X R v U m V t b 3 Z l Z E N v b H V t b n M x L n t D b 2 x 1 b W 4 4 L D d 9 J n F 1 b 3 Q 7 L C Z x d W 9 0 O 1 N l Y 3 R p b 2 4 x L 0 V I I F B v c 3 Q t U 3 V y d m V 5 X 0 1 h e S A y M i w g M j A y M 1 8 x M S A w M C 9 B d X R v U m V t b 3 Z l Z E N v b H V t b n M x L n t D b 2 x 1 b W 4 5 L D h 9 J n F 1 b 3 Q 7 L C Z x d W 9 0 O 1 N l Y 3 R p b 2 4 x L 0 V I I F B v c 3 Q t U 3 V y d m V 5 X 0 1 h e S A y M i w g M j A y M 1 8 x M S A w M C 9 B d X R v U m V t b 3 Z l Z E N v b H V t b n M x L n t D b 2 x 1 b W 4 x M C w 5 f S Z x d W 9 0 O y w m c X V v d D t T Z W N 0 a W 9 u M S 9 F S C B Q b 3 N 0 L V N 1 c n Z l e V 9 N Y X k g M j I s I D I w M j N f M T E g M D A v Q X V 0 b 1 J l b W 9 2 Z W R D b 2 x 1 b W 5 z M S 5 7 Q 2 9 s d W 1 u M T E s M T B 9 J n F 1 b 3 Q 7 L C Z x d W 9 0 O 1 N l Y 3 R p b 2 4 x L 0 V I I F B v c 3 Q t U 3 V y d m V 5 X 0 1 h e S A y M i w g M j A y M 1 8 x M S A w M C 9 B d X R v U m V t b 3 Z l Z E N v b H V t b n M x L n t D b 2 x 1 b W 4 x M i w x M X 0 m c X V v d D s s J n F 1 b 3 Q 7 U 2 V j d G l v b j E v R U g g U G 9 z d C 1 T d X J 2 Z X l f T W F 5 I D I y L C A y M D I z X z E x I D A w L 0 F 1 d G 9 S Z W 1 v d m V k Q 2 9 s d W 1 u c z E u e 0 N v b H V t b j E z L D E y f S Z x d W 9 0 O y w m c X V v d D t T Z W N 0 a W 9 u M S 9 F S C B Q b 3 N 0 L V N 1 c n Z l e V 9 N Y X k g M j I s I D I w M j N f M T E g M D A v Q X V 0 b 1 J l b W 9 2 Z W R D b 2 x 1 b W 5 z M S 5 7 Q 2 9 s d W 1 u M T Q s M T N 9 J n F 1 b 3 Q 7 L C Z x d W 9 0 O 1 N l Y 3 R p b 2 4 x L 0 V I I F B v c 3 Q t U 3 V y d m V 5 X 0 1 h e S A y M i w g M j A y M 1 8 x M S A w M C 9 B d X R v U m V t b 3 Z l Z E N v b H V t b n M x L n t D b 2 x 1 b W 4 x N S w x N H 0 m c X V v d D s s J n F 1 b 3 Q 7 U 2 V j d G l v b j E v R U g g U G 9 z d C 1 T d X J 2 Z X l f T W F 5 I D I y L C A y M D I z X z E x I D A w L 0 F 1 d G 9 S Z W 1 v d m V k Q 2 9 s d W 1 u c z E u e 0 N v b H V t b j E 2 L D E 1 f S Z x d W 9 0 O y w m c X V v d D t T Z W N 0 a W 9 u M S 9 F S C B Q b 3 N 0 L V N 1 c n Z l e V 9 N Y X k g M j I s I D I w M j N f M T E g M D A v Q X V 0 b 1 J l b W 9 2 Z W R D b 2 x 1 b W 5 z M S 5 7 Q 2 9 s d W 1 u M T c s M T Z 9 J n F 1 b 3 Q 7 L C Z x d W 9 0 O 1 N l Y 3 R p b 2 4 x L 0 V I I F B v c 3 Q t U 3 V y d m V 5 X 0 1 h e S A y M i w g M j A y M 1 8 x M S A w M C 9 B d X R v U m V t b 3 Z l Z E N v b H V t b n M x L n t D b 2 x 1 b W 4 x O C w x N 3 0 m c X V v d D s s J n F 1 b 3 Q 7 U 2 V j d G l v b j E v R U g g U G 9 z d C 1 T d X J 2 Z X l f T W F 5 I D I y L C A y M D I z X z E x I D A w L 0 F 1 d G 9 S Z W 1 v d m V k Q 2 9 s d W 1 u c z E u e 0 N v b H V t b j E 5 L D E 4 f S Z x d W 9 0 O y w m c X V v d D t T Z W N 0 a W 9 u M S 9 F S C B Q b 3 N 0 L V N 1 c n Z l e V 9 N Y X k g M j I s I D I w M j N f M T E g M D A v Q X V 0 b 1 J l b W 9 2 Z W R D b 2 x 1 b W 5 z M S 5 7 Q 2 9 s d W 1 u M j A s M T l 9 J n F 1 b 3 Q 7 L C Z x d W 9 0 O 1 N l Y 3 R p b 2 4 x L 0 V I I F B v c 3 Q t U 3 V y d m V 5 X 0 1 h e S A y M i w g M j A y M 1 8 x M S A w M C 9 B d X R v U m V t b 3 Z l Z E N v b H V t b n M x L n t D b 2 x 1 b W 4 y M S w y M H 0 m c X V v d D s s J n F 1 b 3 Q 7 U 2 V j d G l v b j E v R U g g U G 9 z d C 1 T d X J 2 Z X l f T W F 5 I D I y L C A y M D I z X z E x I D A w L 0 F 1 d G 9 S Z W 1 v d m V k Q 2 9 s d W 1 u c z E u e 0 N v b H V t b j I y L D I x f S Z x d W 9 0 O y w m c X V v d D t T Z W N 0 a W 9 u M S 9 F S C B Q b 3 N 0 L V N 1 c n Z l e V 9 N Y X k g M j I s I D I w M j N f M T E g M D A v Q X V 0 b 1 J l b W 9 2 Z W R D b 2 x 1 b W 5 z M S 5 7 Q 2 9 s d W 1 u M j M s M j J 9 J n F 1 b 3 Q 7 L C Z x d W 9 0 O 1 N l Y 3 R p b 2 4 x L 0 V I I F B v c 3 Q t U 3 V y d m V 5 X 0 1 h e S A y M i w g M j A y M 1 8 x M S A w M C 9 B d X R v U m V t b 3 Z l Z E N v b H V t b n M x L n t D b 2 x 1 b W 4 y N C w y M 3 0 m c X V v d D s s J n F 1 b 3 Q 7 U 2 V j d G l v b j E v R U g g U G 9 z d C 1 T d X J 2 Z X l f T W F 5 I D I y L C A y M D I z X z E x I D A w L 0 F 1 d G 9 S Z W 1 v d m V k Q 2 9 s d W 1 u c z E u e 0 N v b H V t b j I 1 L D I 0 f S Z x d W 9 0 O y w m c X V v d D t T Z W N 0 a W 9 u M S 9 F S C B Q b 3 N 0 L V N 1 c n Z l e V 9 N Y X k g M j I s I D I w M j N f M T E g M D A v Q X V 0 b 1 J l b W 9 2 Z W R D b 2 x 1 b W 5 z M S 5 7 Q 2 9 s d W 1 u M j Y s M j V 9 J n F 1 b 3 Q 7 L C Z x d W 9 0 O 1 N l Y 3 R p b 2 4 x L 0 V I I F B v c 3 Q t U 3 V y d m V 5 X 0 1 h e S A y M i w g M j A y M 1 8 x M S A w M C 9 B d X R v U m V t b 3 Z l Z E N v b H V t b n M x L n t D b 2 x 1 b W 4 y N y w y N n 0 m c X V v d D s s J n F 1 b 3 Q 7 U 2 V j d G l v b j E v R U g g U G 9 z d C 1 T d X J 2 Z X l f T W F 5 I D I y L C A y M D I z X z E x I D A w L 0 F 1 d G 9 S Z W 1 v d m V k Q 2 9 s d W 1 u c z E u e 0 N v b H V t b j I 4 L D I 3 f S Z x d W 9 0 O y w m c X V v d D t T Z W N 0 a W 9 u M S 9 F S C B Q b 3 N 0 L V N 1 c n Z l e V 9 N Y X k g M j I s I D I w M j N f M T E g M D A v Q X V 0 b 1 J l b W 9 2 Z W R D b 2 x 1 b W 5 z M S 5 7 Q 2 9 s d W 1 u M j k s M j h 9 J n F 1 b 3 Q 7 L C Z x d W 9 0 O 1 N l Y 3 R p b 2 4 x L 0 V I I F B v c 3 Q t U 3 V y d m V 5 X 0 1 h e S A y M i w g M j A y M 1 8 x M S A w M C 9 B d X R v U m V t b 3 Z l Z E N v b H V t b n M x L n t D b 2 x 1 b W 4 z M C w y O X 0 m c X V v d D s s J n F 1 b 3 Q 7 U 2 V j d G l v b j E v R U g g U G 9 z d C 1 T d X J 2 Z X l f T W F 5 I D I y L C A y M D I z X z E x I D A w L 0 F 1 d G 9 S Z W 1 v d m V k Q 2 9 s d W 1 u c z E u e 0 N v b H V t b j M x L D M w f S Z x d W 9 0 O y w m c X V v d D t T Z W N 0 a W 9 u M S 9 F S C B Q b 3 N 0 L V N 1 c n Z l e V 9 N Y X k g M j I s I D I w M j N f M T E g M D A v Q X V 0 b 1 J l b W 9 2 Z W R D b 2 x 1 b W 5 z M S 5 7 Q 2 9 s d W 1 u M z I s M z F 9 J n F 1 b 3 Q 7 L C Z x d W 9 0 O 1 N l Y 3 R p b 2 4 x L 0 V I I F B v c 3 Q t U 3 V y d m V 5 X 0 1 h e S A y M i w g M j A y M 1 8 x M S A w M C 9 B d X R v U m V t b 3 Z l Z E N v b H V t b n M x L n t D b 2 x 1 b W 4 z M y w z M n 0 m c X V v d D s s J n F 1 b 3 Q 7 U 2 V j d G l v b j E v R U g g U G 9 z d C 1 T d X J 2 Z X l f T W F 5 I D I y L C A y M D I z X z E x I D A w L 0 F 1 d G 9 S Z W 1 v d m V k Q 2 9 s d W 1 u c z E u e 0 N v b H V t b j M 0 L D M z f S Z x d W 9 0 O y w m c X V v d D t T Z W N 0 a W 9 u M S 9 F S C B Q b 3 N 0 L V N 1 c n Z l e V 9 N Y X k g M j I s I D I w M j N f M T E g M D A v Q X V 0 b 1 J l b W 9 2 Z W R D b 2 x 1 b W 5 z M S 5 7 Q 2 9 s d W 1 u M z U s M z R 9 J n F 1 b 3 Q 7 L C Z x d W 9 0 O 1 N l Y 3 R p b 2 4 x L 0 V I I F B v c 3 Q t U 3 V y d m V 5 X 0 1 h e S A y M i w g M j A y M 1 8 x M S A w M C 9 B d X R v U m V t b 3 Z l Z E N v b H V t b n M x L n t D b 2 x 1 b W 4 z N i w z N X 0 m c X V v d D s s J n F 1 b 3 Q 7 U 2 V j d G l v b j E v R U g g U G 9 z d C 1 T d X J 2 Z X l f T W F 5 I D I y L C A y M D I z X z E x I D A w L 0 F 1 d G 9 S Z W 1 v d m V k Q 2 9 s d W 1 u c z E u e 0 N v b H V t b j M 3 L D M 2 f S Z x d W 9 0 O y w m c X V v d D t T Z W N 0 a W 9 u M S 9 F S C B Q b 3 N 0 L V N 1 c n Z l e V 9 N Y X k g M j I s I D I w M j N f M T E g M D A v Q X V 0 b 1 J l b W 9 2 Z W R D b 2 x 1 b W 5 z M S 5 7 Q 2 9 s d W 1 u M z g s M z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S C U y M F B v c 3 Q t U 3 V y d m V 5 X 0 1 h e S U y M D I y J T J D J T I w M j A y M 1 8 x M S U y M D A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I J T I w U G 9 z d C 1 T d X J 2 Z X l f T W F 5 J T I w M j I l M k M l M j A y M D I z X z E x J T I w M D A l M j A o M i k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S C U y M F B v c 3 Q t U 3 V y d m V 5 X 0 1 h e S U y M D I y J T J D J T I w M j A y M 1 8 x M S U y M D A w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G F i b G V f R U h f U G 9 z d F 9 T d X J 2 Z X l f T W F 5 X z I y X 1 8 y M D I z X z E x X z A w N T Y i I C 8 + P E V u d H J 5 I F R 5 c G U 9 I k Z p b G x l Z E N v b X B s Z X R l U m V z d W x 0 V G 9 X b 3 J r c 2 h l Z X Q i I F Z h b H V l P S J s M S I g L z 4 8 R W 5 0 c n k g V H l w Z T 0 i R m l s b E x h c 3 R V c G R h d G V k I i B W Y W x 1 Z T 0 i Z D I w M j M t M D k t M T F U M T k 6 M T E 6 M T Y u M D U x M D c 0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t d I i A v P j x F b n R y e S B U e X B l P S J G a W x s Q 2 9 s d W 1 u V H l w Z X M i I F Z h b H V l P S J z Q m d Z R 0 J n W U d C Z 1 l H Q m d Z R 0 J n W U d C Z 1 l H Q m d Z R 0 J n W U d C Z 1 l H Q m d Z R 0 J n W U d C Z 1 l H Q m d Z P S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R m l s b F N 0 Y X R 1 c y I g V m F s d W U 9 I n N X Y W l 0 a W 5 n R m 9 y R X h j Z W x S Z W Z y Z X N o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M z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I I F B v c 3 Q t U 3 V y d m V 5 X 0 1 h e S A y M i w g M j A y M 1 8 x M S A w M C 9 B d X R v U m V t b 3 Z l Z E N v b H V t b n M x L n t D b 2 x 1 b W 4 x L D B 9 J n F 1 b 3 Q 7 L C Z x d W 9 0 O 1 N l Y 3 R p b 2 4 x L 0 V I I F B v c 3 Q t U 3 V y d m V 5 X 0 1 h e S A y M i w g M j A y M 1 8 x M S A w M C 9 B d X R v U m V t b 3 Z l Z E N v b H V t b n M x L n t D b 2 x 1 b W 4 y L D F 9 J n F 1 b 3 Q 7 L C Z x d W 9 0 O 1 N l Y 3 R p b 2 4 x L 0 V I I F B v c 3 Q t U 3 V y d m V 5 X 0 1 h e S A y M i w g M j A y M 1 8 x M S A w M C 9 B d X R v U m V t b 3 Z l Z E N v b H V t b n M x L n t D b 2 x 1 b W 4 z L D J 9 J n F 1 b 3 Q 7 L C Z x d W 9 0 O 1 N l Y 3 R p b 2 4 x L 0 V I I F B v c 3 Q t U 3 V y d m V 5 X 0 1 h e S A y M i w g M j A y M 1 8 x M S A w M C 9 B d X R v U m V t b 3 Z l Z E N v b H V t b n M x L n t D b 2 x 1 b W 4 0 L D N 9 J n F 1 b 3 Q 7 L C Z x d W 9 0 O 1 N l Y 3 R p b 2 4 x L 0 V I I F B v c 3 Q t U 3 V y d m V 5 X 0 1 h e S A y M i w g M j A y M 1 8 x M S A w M C 9 B d X R v U m V t b 3 Z l Z E N v b H V t b n M x L n t D b 2 x 1 b W 4 1 L D R 9 J n F 1 b 3 Q 7 L C Z x d W 9 0 O 1 N l Y 3 R p b 2 4 x L 0 V I I F B v c 3 Q t U 3 V y d m V 5 X 0 1 h e S A y M i w g M j A y M 1 8 x M S A w M C 9 B d X R v U m V t b 3 Z l Z E N v b H V t b n M x L n t D b 2 x 1 b W 4 2 L D V 9 J n F 1 b 3 Q 7 L C Z x d W 9 0 O 1 N l Y 3 R p b 2 4 x L 0 V I I F B v c 3 Q t U 3 V y d m V 5 X 0 1 h e S A y M i w g M j A y M 1 8 x M S A w M C 9 B d X R v U m V t b 3 Z l Z E N v b H V t b n M x L n t D b 2 x 1 b W 4 3 L D Z 9 J n F 1 b 3 Q 7 L C Z x d W 9 0 O 1 N l Y 3 R p b 2 4 x L 0 V I I F B v c 3 Q t U 3 V y d m V 5 X 0 1 h e S A y M i w g M j A y M 1 8 x M S A w M C 9 B d X R v U m V t b 3 Z l Z E N v b H V t b n M x L n t D b 2 x 1 b W 4 4 L D d 9 J n F 1 b 3 Q 7 L C Z x d W 9 0 O 1 N l Y 3 R p b 2 4 x L 0 V I I F B v c 3 Q t U 3 V y d m V 5 X 0 1 h e S A y M i w g M j A y M 1 8 x M S A w M C 9 B d X R v U m V t b 3 Z l Z E N v b H V t b n M x L n t D b 2 x 1 b W 4 5 L D h 9 J n F 1 b 3 Q 7 L C Z x d W 9 0 O 1 N l Y 3 R p b 2 4 x L 0 V I I F B v c 3 Q t U 3 V y d m V 5 X 0 1 h e S A y M i w g M j A y M 1 8 x M S A w M C 9 B d X R v U m V t b 3 Z l Z E N v b H V t b n M x L n t D b 2 x 1 b W 4 x M C w 5 f S Z x d W 9 0 O y w m c X V v d D t T Z W N 0 a W 9 u M S 9 F S C B Q b 3 N 0 L V N 1 c n Z l e V 9 N Y X k g M j I s I D I w M j N f M T E g M D A v Q X V 0 b 1 J l b W 9 2 Z W R D b 2 x 1 b W 5 z M S 5 7 Q 2 9 s d W 1 u M T E s M T B 9 J n F 1 b 3 Q 7 L C Z x d W 9 0 O 1 N l Y 3 R p b 2 4 x L 0 V I I F B v c 3 Q t U 3 V y d m V 5 X 0 1 h e S A y M i w g M j A y M 1 8 x M S A w M C 9 B d X R v U m V t b 3 Z l Z E N v b H V t b n M x L n t D b 2 x 1 b W 4 x M i w x M X 0 m c X V v d D s s J n F 1 b 3 Q 7 U 2 V j d G l v b j E v R U g g U G 9 z d C 1 T d X J 2 Z X l f T W F 5 I D I y L C A y M D I z X z E x I D A w L 0 F 1 d G 9 S Z W 1 v d m V k Q 2 9 s d W 1 u c z E u e 0 N v b H V t b j E z L D E y f S Z x d W 9 0 O y w m c X V v d D t T Z W N 0 a W 9 u M S 9 F S C B Q b 3 N 0 L V N 1 c n Z l e V 9 N Y X k g M j I s I D I w M j N f M T E g M D A v Q X V 0 b 1 J l b W 9 2 Z W R D b 2 x 1 b W 5 z M S 5 7 Q 2 9 s d W 1 u M T Q s M T N 9 J n F 1 b 3 Q 7 L C Z x d W 9 0 O 1 N l Y 3 R p b 2 4 x L 0 V I I F B v c 3 Q t U 3 V y d m V 5 X 0 1 h e S A y M i w g M j A y M 1 8 x M S A w M C 9 B d X R v U m V t b 3 Z l Z E N v b H V t b n M x L n t D b 2 x 1 b W 4 x N S w x N H 0 m c X V v d D s s J n F 1 b 3 Q 7 U 2 V j d G l v b j E v R U g g U G 9 z d C 1 T d X J 2 Z X l f T W F 5 I D I y L C A y M D I z X z E x I D A w L 0 F 1 d G 9 S Z W 1 v d m V k Q 2 9 s d W 1 u c z E u e 0 N v b H V t b j E 2 L D E 1 f S Z x d W 9 0 O y w m c X V v d D t T Z W N 0 a W 9 u M S 9 F S C B Q b 3 N 0 L V N 1 c n Z l e V 9 N Y X k g M j I s I D I w M j N f M T E g M D A v Q X V 0 b 1 J l b W 9 2 Z W R D b 2 x 1 b W 5 z M S 5 7 Q 2 9 s d W 1 u M T c s M T Z 9 J n F 1 b 3 Q 7 L C Z x d W 9 0 O 1 N l Y 3 R p b 2 4 x L 0 V I I F B v c 3 Q t U 3 V y d m V 5 X 0 1 h e S A y M i w g M j A y M 1 8 x M S A w M C 9 B d X R v U m V t b 3 Z l Z E N v b H V t b n M x L n t D b 2 x 1 b W 4 x O C w x N 3 0 m c X V v d D s s J n F 1 b 3 Q 7 U 2 V j d G l v b j E v R U g g U G 9 z d C 1 T d X J 2 Z X l f T W F 5 I D I y L C A y M D I z X z E x I D A w L 0 F 1 d G 9 S Z W 1 v d m V k Q 2 9 s d W 1 u c z E u e 0 N v b H V t b j E 5 L D E 4 f S Z x d W 9 0 O y w m c X V v d D t T Z W N 0 a W 9 u M S 9 F S C B Q b 3 N 0 L V N 1 c n Z l e V 9 N Y X k g M j I s I D I w M j N f M T E g M D A v Q X V 0 b 1 J l b W 9 2 Z W R D b 2 x 1 b W 5 z M S 5 7 Q 2 9 s d W 1 u M j A s M T l 9 J n F 1 b 3 Q 7 L C Z x d W 9 0 O 1 N l Y 3 R p b 2 4 x L 0 V I I F B v c 3 Q t U 3 V y d m V 5 X 0 1 h e S A y M i w g M j A y M 1 8 x M S A w M C 9 B d X R v U m V t b 3 Z l Z E N v b H V t b n M x L n t D b 2 x 1 b W 4 y M S w y M H 0 m c X V v d D s s J n F 1 b 3 Q 7 U 2 V j d G l v b j E v R U g g U G 9 z d C 1 T d X J 2 Z X l f T W F 5 I D I y L C A y M D I z X z E x I D A w L 0 F 1 d G 9 S Z W 1 v d m V k Q 2 9 s d W 1 u c z E u e 0 N v b H V t b j I y L D I x f S Z x d W 9 0 O y w m c X V v d D t T Z W N 0 a W 9 u M S 9 F S C B Q b 3 N 0 L V N 1 c n Z l e V 9 N Y X k g M j I s I D I w M j N f M T E g M D A v Q X V 0 b 1 J l b W 9 2 Z W R D b 2 x 1 b W 5 z M S 5 7 Q 2 9 s d W 1 u M j M s M j J 9 J n F 1 b 3 Q 7 L C Z x d W 9 0 O 1 N l Y 3 R p b 2 4 x L 0 V I I F B v c 3 Q t U 3 V y d m V 5 X 0 1 h e S A y M i w g M j A y M 1 8 x M S A w M C 9 B d X R v U m V t b 3 Z l Z E N v b H V t b n M x L n t D b 2 x 1 b W 4 y N C w y M 3 0 m c X V v d D s s J n F 1 b 3 Q 7 U 2 V j d G l v b j E v R U g g U G 9 z d C 1 T d X J 2 Z X l f T W F 5 I D I y L C A y M D I z X z E x I D A w L 0 F 1 d G 9 S Z W 1 v d m V k Q 2 9 s d W 1 u c z E u e 0 N v b H V t b j I 1 L D I 0 f S Z x d W 9 0 O y w m c X V v d D t T Z W N 0 a W 9 u M S 9 F S C B Q b 3 N 0 L V N 1 c n Z l e V 9 N Y X k g M j I s I D I w M j N f M T E g M D A v Q X V 0 b 1 J l b W 9 2 Z W R D b 2 x 1 b W 5 z M S 5 7 Q 2 9 s d W 1 u M j Y s M j V 9 J n F 1 b 3 Q 7 L C Z x d W 9 0 O 1 N l Y 3 R p b 2 4 x L 0 V I I F B v c 3 Q t U 3 V y d m V 5 X 0 1 h e S A y M i w g M j A y M 1 8 x M S A w M C 9 B d X R v U m V t b 3 Z l Z E N v b H V t b n M x L n t D b 2 x 1 b W 4 y N y w y N n 0 m c X V v d D s s J n F 1 b 3 Q 7 U 2 V j d G l v b j E v R U g g U G 9 z d C 1 T d X J 2 Z X l f T W F 5 I D I y L C A y M D I z X z E x I D A w L 0 F 1 d G 9 S Z W 1 v d m V k Q 2 9 s d W 1 u c z E u e 0 N v b H V t b j I 4 L D I 3 f S Z x d W 9 0 O y w m c X V v d D t T Z W N 0 a W 9 u M S 9 F S C B Q b 3 N 0 L V N 1 c n Z l e V 9 N Y X k g M j I s I D I w M j N f M T E g M D A v Q X V 0 b 1 J l b W 9 2 Z W R D b 2 x 1 b W 5 z M S 5 7 Q 2 9 s d W 1 u M j k s M j h 9 J n F 1 b 3 Q 7 L C Z x d W 9 0 O 1 N l Y 3 R p b 2 4 x L 0 V I I F B v c 3 Q t U 3 V y d m V 5 X 0 1 h e S A y M i w g M j A y M 1 8 x M S A w M C 9 B d X R v U m V t b 3 Z l Z E N v b H V t b n M x L n t D b 2 x 1 b W 4 z M C w y O X 0 m c X V v d D s s J n F 1 b 3 Q 7 U 2 V j d G l v b j E v R U g g U G 9 z d C 1 T d X J 2 Z X l f T W F 5 I D I y L C A y M D I z X z E x I D A w L 0 F 1 d G 9 S Z W 1 v d m V k Q 2 9 s d W 1 u c z E u e 0 N v b H V t b j M x L D M w f S Z x d W 9 0 O y w m c X V v d D t T Z W N 0 a W 9 u M S 9 F S C B Q b 3 N 0 L V N 1 c n Z l e V 9 N Y X k g M j I s I D I w M j N f M T E g M D A v Q X V 0 b 1 J l b W 9 2 Z W R D b 2 x 1 b W 5 z M S 5 7 Q 2 9 s d W 1 u M z I s M z F 9 J n F 1 b 3 Q 7 L C Z x d W 9 0 O 1 N l Y 3 R p b 2 4 x L 0 V I I F B v c 3 Q t U 3 V y d m V 5 X 0 1 h e S A y M i w g M j A y M 1 8 x M S A w M C 9 B d X R v U m V t b 3 Z l Z E N v b H V t b n M x L n t D b 2 x 1 b W 4 z M y w z M n 0 m c X V v d D s s J n F 1 b 3 Q 7 U 2 V j d G l v b j E v R U g g U G 9 z d C 1 T d X J 2 Z X l f T W F 5 I D I y L C A y M D I z X z E x I D A w L 0 F 1 d G 9 S Z W 1 v d m V k Q 2 9 s d W 1 u c z E u e 0 N v b H V t b j M 0 L D M z f S Z x d W 9 0 O y w m c X V v d D t T Z W N 0 a W 9 u M S 9 F S C B Q b 3 N 0 L V N 1 c n Z l e V 9 N Y X k g M j I s I D I w M j N f M T E g M D A v Q X V 0 b 1 J l b W 9 2 Z W R D b 2 x 1 b W 5 z M S 5 7 Q 2 9 s d W 1 u M z U s M z R 9 J n F 1 b 3 Q 7 L C Z x d W 9 0 O 1 N l Y 3 R p b 2 4 x L 0 V I I F B v c 3 Q t U 3 V y d m V 5 X 0 1 h e S A y M i w g M j A y M 1 8 x M S A w M C 9 B d X R v U m V t b 3 Z l Z E N v b H V t b n M x L n t D b 2 x 1 b W 4 z N i w z N X 0 m c X V v d D s s J n F 1 b 3 Q 7 U 2 V j d G l v b j E v R U g g U G 9 z d C 1 T d X J 2 Z X l f T W F 5 I D I y L C A y M D I z X z E x I D A w L 0 F 1 d G 9 S Z W 1 v d m V k Q 2 9 s d W 1 u c z E u e 0 N v b H V t b j M 3 L D M 2 f S Z x d W 9 0 O y w m c X V v d D t T Z W N 0 a W 9 u M S 9 F S C B Q b 3 N 0 L V N 1 c n Z l e V 9 N Y X k g M j I s I D I w M j N f M T E g M D A v Q X V 0 b 1 J l b W 9 2 Z W R D b 2 x 1 b W 5 z M S 5 7 Q 2 9 s d W 1 u M z g s M z d 9 J n F 1 b 3 Q 7 X S w m c X V v d D t D b 2 x 1 b W 5 D b 3 V u d C Z x d W 9 0 O z o z O C w m c X V v d D t L Z X l D b 2 x 1 b W 5 O Y W 1 l c y Z x d W 9 0 O z p b X S w m c X V v d D t D b 2 x 1 b W 5 J Z G V u d G l 0 a W V z J n F 1 b 3 Q 7 O l s m c X V v d D t T Z W N 0 a W 9 u M S 9 F S C B Q b 3 N 0 L V N 1 c n Z l e V 9 N Y X k g M j I s I D I w M j N f M T E g M D A v Q X V 0 b 1 J l b W 9 2 Z W R D b 2 x 1 b W 5 z M S 5 7 Q 2 9 s d W 1 u M S w w f S Z x d W 9 0 O y w m c X V v d D t T Z W N 0 a W 9 u M S 9 F S C B Q b 3 N 0 L V N 1 c n Z l e V 9 N Y X k g M j I s I D I w M j N f M T E g M D A v Q X V 0 b 1 J l b W 9 2 Z W R D b 2 x 1 b W 5 z M S 5 7 Q 2 9 s d W 1 u M i w x f S Z x d W 9 0 O y w m c X V v d D t T Z W N 0 a W 9 u M S 9 F S C B Q b 3 N 0 L V N 1 c n Z l e V 9 N Y X k g M j I s I D I w M j N f M T E g M D A v Q X V 0 b 1 J l b W 9 2 Z W R D b 2 x 1 b W 5 z M S 5 7 Q 2 9 s d W 1 u M y w y f S Z x d W 9 0 O y w m c X V v d D t T Z W N 0 a W 9 u M S 9 F S C B Q b 3 N 0 L V N 1 c n Z l e V 9 N Y X k g M j I s I D I w M j N f M T E g M D A v Q X V 0 b 1 J l b W 9 2 Z W R D b 2 x 1 b W 5 z M S 5 7 Q 2 9 s d W 1 u N C w z f S Z x d W 9 0 O y w m c X V v d D t T Z W N 0 a W 9 u M S 9 F S C B Q b 3 N 0 L V N 1 c n Z l e V 9 N Y X k g M j I s I D I w M j N f M T E g M D A v Q X V 0 b 1 J l b W 9 2 Z W R D b 2 x 1 b W 5 z M S 5 7 Q 2 9 s d W 1 u N S w 0 f S Z x d W 9 0 O y w m c X V v d D t T Z W N 0 a W 9 u M S 9 F S C B Q b 3 N 0 L V N 1 c n Z l e V 9 N Y X k g M j I s I D I w M j N f M T E g M D A v Q X V 0 b 1 J l b W 9 2 Z W R D b 2 x 1 b W 5 z M S 5 7 Q 2 9 s d W 1 u N i w 1 f S Z x d W 9 0 O y w m c X V v d D t T Z W N 0 a W 9 u M S 9 F S C B Q b 3 N 0 L V N 1 c n Z l e V 9 N Y X k g M j I s I D I w M j N f M T E g M D A v Q X V 0 b 1 J l b W 9 2 Z W R D b 2 x 1 b W 5 z M S 5 7 Q 2 9 s d W 1 u N y w 2 f S Z x d W 9 0 O y w m c X V v d D t T Z W N 0 a W 9 u M S 9 F S C B Q b 3 N 0 L V N 1 c n Z l e V 9 N Y X k g M j I s I D I w M j N f M T E g M D A v Q X V 0 b 1 J l b W 9 2 Z W R D b 2 x 1 b W 5 z M S 5 7 Q 2 9 s d W 1 u O C w 3 f S Z x d W 9 0 O y w m c X V v d D t T Z W N 0 a W 9 u M S 9 F S C B Q b 3 N 0 L V N 1 c n Z l e V 9 N Y X k g M j I s I D I w M j N f M T E g M D A v Q X V 0 b 1 J l b W 9 2 Z W R D b 2 x 1 b W 5 z M S 5 7 Q 2 9 s d W 1 u O S w 4 f S Z x d W 9 0 O y w m c X V v d D t T Z W N 0 a W 9 u M S 9 F S C B Q b 3 N 0 L V N 1 c n Z l e V 9 N Y X k g M j I s I D I w M j N f M T E g M D A v Q X V 0 b 1 J l b W 9 2 Z W R D b 2 x 1 b W 5 z M S 5 7 Q 2 9 s d W 1 u M T A s O X 0 m c X V v d D s s J n F 1 b 3 Q 7 U 2 V j d G l v b j E v R U g g U G 9 z d C 1 T d X J 2 Z X l f T W F 5 I D I y L C A y M D I z X z E x I D A w L 0 F 1 d G 9 S Z W 1 v d m V k Q 2 9 s d W 1 u c z E u e 0 N v b H V t b j E x L D E w f S Z x d W 9 0 O y w m c X V v d D t T Z W N 0 a W 9 u M S 9 F S C B Q b 3 N 0 L V N 1 c n Z l e V 9 N Y X k g M j I s I D I w M j N f M T E g M D A v Q X V 0 b 1 J l b W 9 2 Z W R D b 2 x 1 b W 5 z M S 5 7 Q 2 9 s d W 1 u M T I s M T F 9 J n F 1 b 3 Q 7 L C Z x d W 9 0 O 1 N l Y 3 R p b 2 4 x L 0 V I I F B v c 3 Q t U 3 V y d m V 5 X 0 1 h e S A y M i w g M j A y M 1 8 x M S A w M C 9 B d X R v U m V t b 3 Z l Z E N v b H V t b n M x L n t D b 2 x 1 b W 4 x M y w x M n 0 m c X V v d D s s J n F 1 b 3 Q 7 U 2 V j d G l v b j E v R U g g U G 9 z d C 1 T d X J 2 Z X l f T W F 5 I D I y L C A y M D I z X z E x I D A w L 0 F 1 d G 9 S Z W 1 v d m V k Q 2 9 s d W 1 u c z E u e 0 N v b H V t b j E 0 L D E z f S Z x d W 9 0 O y w m c X V v d D t T Z W N 0 a W 9 u M S 9 F S C B Q b 3 N 0 L V N 1 c n Z l e V 9 N Y X k g M j I s I D I w M j N f M T E g M D A v Q X V 0 b 1 J l b W 9 2 Z W R D b 2 x 1 b W 5 z M S 5 7 Q 2 9 s d W 1 u M T U s M T R 9 J n F 1 b 3 Q 7 L C Z x d W 9 0 O 1 N l Y 3 R p b 2 4 x L 0 V I I F B v c 3 Q t U 3 V y d m V 5 X 0 1 h e S A y M i w g M j A y M 1 8 x M S A w M C 9 B d X R v U m V t b 3 Z l Z E N v b H V t b n M x L n t D b 2 x 1 b W 4 x N i w x N X 0 m c X V v d D s s J n F 1 b 3 Q 7 U 2 V j d G l v b j E v R U g g U G 9 z d C 1 T d X J 2 Z X l f T W F 5 I D I y L C A y M D I z X z E x I D A w L 0 F 1 d G 9 S Z W 1 v d m V k Q 2 9 s d W 1 u c z E u e 0 N v b H V t b j E 3 L D E 2 f S Z x d W 9 0 O y w m c X V v d D t T Z W N 0 a W 9 u M S 9 F S C B Q b 3 N 0 L V N 1 c n Z l e V 9 N Y X k g M j I s I D I w M j N f M T E g M D A v Q X V 0 b 1 J l b W 9 2 Z W R D b 2 x 1 b W 5 z M S 5 7 Q 2 9 s d W 1 u M T g s M T d 9 J n F 1 b 3 Q 7 L C Z x d W 9 0 O 1 N l Y 3 R p b 2 4 x L 0 V I I F B v c 3 Q t U 3 V y d m V 5 X 0 1 h e S A y M i w g M j A y M 1 8 x M S A w M C 9 B d X R v U m V t b 3 Z l Z E N v b H V t b n M x L n t D b 2 x 1 b W 4 x O S w x O H 0 m c X V v d D s s J n F 1 b 3 Q 7 U 2 V j d G l v b j E v R U g g U G 9 z d C 1 T d X J 2 Z X l f T W F 5 I D I y L C A y M D I z X z E x I D A w L 0 F 1 d G 9 S Z W 1 v d m V k Q 2 9 s d W 1 u c z E u e 0 N v b H V t b j I w L D E 5 f S Z x d W 9 0 O y w m c X V v d D t T Z W N 0 a W 9 u M S 9 F S C B Q b 3 N 0 L V N 1 c n Z l e V 9 N Y X k g M j I s I D I w M j N f M T E g M D A v Q X V 0 b 1 J l b W 9 2 Z W R D b 2 x 1 b W 5 z M S 5 7 Q 2 9 s d W 1 u M j E s M j B 9 J n F 1 b 3 Q 7 L C Z x d W 9 0 O 1 N l Y 3 R p b 2 4 x L 0 V I I F B v c 3 Q t U 3 V y d m V 5 X 0 1 h e S A y M i w g M j A y M 1 8 x M S A w M C 9 B d X R v U m V t b 3 Z l Z E N v b H V t b n M x L n t D b 2 x 1 b W 4 y M i w y M X 0 m c X V v d D s s J n F 1 b 3 Q 7 U 2 V j d G l v b j E v R U g g U G 9 z d C 1 T d X J 2 Z X l f T W F 5 I D I y L C A y M D I z X z E x I D A w L 0 F 1 d G 9 S Z W 1 v d m V k Q 2 9 s d W 1 u c z E u e 0 N v b H V t b j I z L D I y f S Z x d W 9 0 O y w m c X V v d D t T Z W N 0 a W 9 u M S 9 F S C B Q b 3 N 0 L V N 1 c n Z l e V 9 N Y X k g M j I s I D I w M j N f M T E g M D A v Q X V 0 b 1 J l b W 9 2 Z W R D b 2 x 1 b W 5 z M S 5 7 Q 2 9 s d W 1 u M j Q s M j N 9 J n F 1 b 3 Q 7 L C Z x d W 9 0 O 1 N l Y 3 R p b 2 4 x L 0 V I I F B v c 3 Q t U 3 V y d m V 5 X 0 1 h e S A y M i w g M j A y M 1 8 x M S A w M C 9 B d X R v U m V t b 3 Z l Z E N v b H V t b n M x L n t D b 2 x 1 b W 4 y N S w y N H 0 m c X V v d D s s J n F 1 b 3 Q 7 U 2 V j d G l v b j E v R U g g U G 9 z d C 1 T d X J 2 Z X l f T W F 5 I D I y L C A y M D I z X z E x I D A w L 0 F 1 d G 9 S Z W 1 v d m V k Q 2 9 s d W 1 u c z E u e 0 N v b H V t b j I 2 L D I 1 f S Z x d W 9 0 O y w m c X V v d D t T Z W N 0 a W 9 u M S 9 F S C B Q b 3 N 0 L V N 1 c n Z l e V 9 N Y X k g M j I s I D I w M j N f M T E g M D A v Q X V 0 b 1 J l b W 9 2 Z W R D b 2 x 1 b W 5 z M S 5 7 Q 2 9 s d W 1 u M j c s M j Z 9 J n F 1 b 3 Q 7 L C Z x d W 9 0 O 1 N l Y 3 R p b 2 4 x L 0 V I I F B v c 3 Q t U 3 V y d m V 5 X 0 1 h e S A y M i w g M j A y M 1 8 x M S A w M C 9 B d X R v U m V t b 3 Z l Z E N v b H V t b n M x L n t D b 2 x 1 b W 4 y O C w y N 3 0 m c X V v d D s s J n F 1 b 3 Q 7 U 2 V j d G l v b j E v R U g g U G 9 z d C 1 T d X J 2 Z X l f T W F 5 I D I y L C A y M D I z X z E x I D A w L 0 F 1 d G 9 S Z W 1 v d m V k Q 2 9 s d W 1 u c z E u e 0 N v b H V t b j I 5 L D I 4 f S Z x d W 9 0 O y w m c X V v d D t T Z W N 0 a W 9 u M S 9 F S C B Q b 3 N 0 L V N 1 c n Z l e V 9 N Y X k g M j I s I D I w M j N f M T E g M D A v Q X V 0 b 1 J l b W 9 2 Z W R D b 2 x 1 b W 5 z M S 5 7 Q 2 9 s d W 1 u M z A s M j l 9 J n F 1 b 3 Q 7 L C Z x d W 9 0 O 1 N l Y 3 R p b 2 4 x L 0 V I I F B v c 3 Q t U 3 V y d m V 5 X 0 1 h e S A y M i w g M j A y M 1 8 x M S A w M C 9 B d X R v U m V t b 3 Z l Z E N v b H V t b n M x L n t D b 2 x 1 b W 4 z M S w z M H 0 m c X V v d D s s J n F 1 b 3 Q 7 U 2 V j d G l v b j E v R U g g U G 9 z d C 1 T d X J 2 Z X l f T W F 5 I D I y L C A y M D I z X z E x I D A w L 0 F 1 d G 9 S Z W 1 v d m V k Q 2 9 s d W 1 u c z E u e 0 N v b H V t b j M y L D M x f S Z x d W 9 0 O y w m c X V v d D t T Z W N 0 a W 9 u M S 9 F S C B Q b 3 N 0 L V N 1 c n Z l e V 9 N Y X k g M j I s I D I w M j N f M T E g M D A v Q X V 0 b 1 J l b W 9 2 Z W R D b 2 x 1 b W 5 z M S 5 7 Q 2 9 s d W 1 u M z M s M z J 9 J n F 1 b 3 Q 7 L C Z x d W 9 0 O 1 N l Y 3 R p b 2 4 x L 0 V I I F B v c 3 Q t U 3 V y d m V 5 X 0 1 h e S A y M i w g M j A y M 1 8 x M S A w M C 9 B d X R v U m V t b 3 Z l Z E N v b H V t b n M x L n t D b 2 x 1 b W 4 z N C w z M 3 0 m c X V v d D s s J n F 1 b 3 Q 7 U 2 V j d G l v b j E v R U g g U G 9 z d C 1 T d X J 2 Z X l f T W F 5 I D I y L C A y M D I z X z E x I D A w L 0 F 1 d G 9 S Z W 1 v d m V k Q 2 9 s d W 1 u c z E u e 0 N v b H V t b j M 1 L D M 0 f S Z x d W 9 0 O y w m c X V v d D t T Z W N 0 a W 9 u M S 9 F S C B Q b 3 N 0 L V N 1 c n Z l e V 9 N Y X k g M j I s I D I w M j N f M T E g M D A v Q X V 0 b 1 J l b W 9 2 Z W R D b 2 x 1 b W 5 z M S 5 7 Q 2 9 s d W 1 u M z Y s M z V 9 J n F 1 b 3 Q 7 L C Z x d W 9 0 O 1 N l Y 3 R p b 2 4 x L 0 V I I F B v c 3 Q t U 3 V y d m V 5 X 0 1 h e S A y M i w g M j A y M 1 8 x M S A w M C 9 B d X R v U m V t b 3 Z l Z E N v b H V t b n M x L n t D b 2 x 1 b W 4 z N y w z N n 0 m c X V v d D s s J n F 1 b 3 Q 7 U 2 V j d G l v b j E v R U g g U G 9 z d C 1 T d X J 2 Z X l f T W F 5 I D I y L C A y M D I z X z E x I D A w L 0 F 1 d G 9 S Z W 1 v d m V k Q 2 9 s d W 1 u c z E u e 0 N v b H V t b j M 4 L D M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U g l M j B Q b 3 N 0 L V N 1 c n Z l e V 9 N Y X k l M j A y M i U y Q y U y M D I w M j N f M T E l M j A w M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S C U y M F B v c 3 Q t U 3 V y d m V 5 X 0 1 h e S U y M D I y J T J D J T I w M j A y M 1 8 x M S U y M D A w J T I w K D M p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g l M j B Q c m U t U 3 V y d m V 5 X 0 1 h e S U y M D I w J T J D J T I w M j A y M 1 8 w O C U y M D I y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Z W R D b 2 1 w b G V 0 Z V J l c 3 V s d F R v V 2 9 y a 3 N o Z W V 0 I i B W Y W x 1 Z T 0 i b D E i I C 8 + P E V u d H J 5 I F R 5 c G U 9 I k Z p b G x D b 3 V u d C I g V m F s d W U 9 I m w w I i A v P j x F b n R y e S B U e X B l P S J G a W x s U 3 R h d H V z I i B W Y W x 1 Z T 0 i c 1 d h a X R p b m d G b 3 J F e G N l b F J l Z n J l c 2 g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t d I i A v P j x F b n R y e S B U e X B l P S J G a W x s Q 2 9 s d W 1 u V H l w Z X M i I F Z h b H V l P S J z Q m d Z R 0 J n W U d C Z 1 l H Q m d Z R 0 J n W U d C Z 1 l H Q m d Z R 0 J n W U d C Z 1 l H Q m d Z R 0 J n W U d C Z 1 l H Q m d Z P S I g L z 4 8 R W 5 0 c n k g V H l w Z T 0 i R m l s b E x h c 3 R V c G R h d G V k I i B W Y W x 1 Z T 0 i Z D I w M j M t M D k t M T F U M T k 6 M T E 6 M T U u N D A 0 O D Q y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z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I I F B y Z S 1 T d X J 2 Z X l f T W F 5 I D I w L C A y M D I z X z A 4 I D I y L 0 F 1 d G 9 S Z W 1 v d m V k Q 2 9 s d W 1 u c z E u e 0 N v b H V t b j E s M H 0 m c X V v d D s s J n F 1 b 3 Q 7 U 2 V j d G l v b j E v R U g g U H J l L V N 1 c n Z l e V 9 N Y X k g M j A s I D I w M j N f M D g g M j I v Q X V 0 b 1 J l b W 9 2 Z W R D b 2 x 1 b W 5 z M S 5 7 Q 2 9 s d W 1 u M i w x f S Z x d W 9 0 O y w m c X V v d D t T Z W N 0 a W 9 u M S 9 F S C B Q c m U t U 3 V y d m V 5 X 0 1 h e S A y M C w g M j A y M 1 8 w O C A y M i 9 B d X R v U m V t b 3 Z l Z E N v b H V t b n M x L n t D b 2 x 1 b W 4 z L D J 9 J n F 1 b 3 Q 7 L C Z x d W 9 0 O 1 N l Y 3 R p b 2 4 x L 0 V I I F B y Z S 1 T d X J 2 Z X l f T W F 5 I D I w L C A y M D I z X z A 4 I D I y L 0 F 1 d G 9 S Z W 1 v d m V k Q 2 9 s d W 1 u c z E u e 0 N v b H V t b j Q s M 3 0 m c X V v d D s s J n F 1 b 3 Q 7 U 2 V j d G l v b j E v R U g g U H J l L V N 1 c n Z l e V 9 N Y X k g M j A s I D I w M j N f M D g g M j I v Q X V 0 b 1 J l b W 9 2 Z W R D b 2 x 1 b W 5 z M S 5 7 Q 2 9 s d W 1 u N S w 0 f S Z x d W 9 0 O y w m c X V v d D t T Z W N 0 a W 9 u M S 9 F S C B Q c m U t U 3 V y d m V 5 X 0 1 h e S A y M C w g M j A y M 1 8 w O C A y M i 9 B d X R v U m V t b 3 Z l Z E N v b H V t b n M x L n t D b 2 x 1 b W 4 2 L D V 9 J n F 1 b 3 Q 7 L C Z x d W 9 0 O 1 N l Y 3 R p b 2 4 x L 0 V I I F B y Z S 1 T d X J 2 Z X l f T W F 5 I D I w L C A y M D I z X z A 4 I D I y L 0 F 1 d G 9 S Z W 1 v d m V k Q 2 9 s d W 1 u c z E u e 0 N v b H V t b j c s N n 0 m c X V v d D s s J n F 1 b 3 Q 7 U 2 V j d G l v b j E v R U g g U H J l L V N 1 c n Z l e V 9 N Y X k g M j A s I D I w M j N f M D g g M j I v Q X V 0 b 1 J l b W 9 2 Z W R D b 2 x 1 b W 5 z M S 5 7 Q 2 9 s d W 1 u O C w 3 f S Z x d W 9 0 O y w m c X V v d D t T Z W N 0 a W 9 u M S 9 F S C B Q c m U t U 3 V y d m V 5 X 0 1 h e S A y M C w g M j A y M 1 8 w O C A y M i 9 B d X R v U m V t b 3 Z l Z E N v b H V t b n M x L n t D b 2 x 1 b W 4 5 L D h 9 J n F 1 b 3 Q 7 L C Z x d W 9 0 O 1 N l Y 3 R p b 2 4 x L 0 V I I F B y Z S 1 T d X J 2 Z X l f T W F 5 I D I w L C A y M D I z X z A 4 I D I y L 0 F 1 d G 9 S Z W 1 v d m V k Q 2 9 s d W 1 u c z E u e 0 N v b H V t b j E w L D l 9 J n F 1 b 3 Q 7 L C Z x d W 9 0 O 1 N l Y 3 R p b 2 4 x L 0 V I I F B y Z S 1 T d X J 2 Z X l f T W F 5 I D I w L C A y M D I z X z A 4 I D I y L 0 F 1 d G 9 S Z W 1 v d m V k Q 2 9 s d W 1 u c z E u e 0 N v b H V t b j E x L D E w f S Z x d W 9 0 O y w m c X V v d D t T Z W N 0 a W 9 u M S 9 F S C B Q c m U t U 3 V y d m V 5 X 0 1 h e S A y M C w g M j A y M 1 8 w O C A y M i 9 B d X R v U m V t b 3 Z l Z E N v b H V t b n M x L n t D b 2 x 1 b W 4 x M i w x M X 0 m c X V v d D s s J n F 1 b 3 Q 7 U 2 V j d G l v b j E v R U g g U H J l L V N 1 c n Z l e V 9 N Y X k g M j A s I D I w M j N f M D g g M j I v Q X V 0 b 1 J l b W 9 2 Z W R D b 2 x 1 b W 5 z M S 5 7 Q 2 9 s d W 1 u M T M s M T J 9 J n F 1 b 3 Q 7 L C Z x d W 9 0 O 1 N l Y 3 R p b 2 4 x L 0 V I I F B y Z S 1 T d X J 2 Z X l f T W F 5 I D I w L C A y M D I z X z A 4 I D I y L 0 F 1 d G 9 S Z W 1 v d m V k Q 2 9 s d W 1 u c z E u e 0 N v b H V t b j E 0 L D E z f S Z x d W 9 0 O y w m c X V v d D t T Z W N 0 a W 9 u M S 9 F S C B Q c m U t U 3 V y d m V 5 X 0 1 h e S A y M C w g M j A y M 1 8 w O C A y M i 9 B d X R v U m V t b 3 Z l Z E N v b H V t b n M x L n t D b 2 x 1 b W 4 x N S w x N H 0 m c X V v d D s s J n F 1 b 3 Q 7 U 2 V j d G l v b j E v R U g g U H J l L V N 1 c n Z l e V 9 N Y X k g M j A s I D I w M j N f M D g g M j I v Q X V 0 b 1 J l b W 9 2 Z W R D b 2 x 1 b W 5 z M S 5 7 Q 2 9 s d W 1 u M T Y s M T V 9 J n F 1 b 3 Q 7 L C Z x d W 9 0 O 1 N l Y 3 R p b 2 4 x L 0 V I I F B y Z S 1 T d X J 2 Z X l f T W F 5 I D I w L C A y M D I z X z A 4 I D I y L 0 F 1 d G 9 S Z W 1 v d m V k Q 2 9 s d W 1 u c z E u e 0 N v b H V t b j E 3 L D E 2 f S Z x d W 9 0 O y w m c X V v d D t T Z W N 0 a W 9 u M S 9 F S C B Q c m U t U 3 V y d m V 5 X 0 1 h e S A y M C w g M j A y M 1 8 w O C A y M i 9 B d X R v U m V t b 3 Z l Z E N v b H V t b n M x L n t D b 2 x 1 b W 4 x O C w x N 3 0 m c X V v d D s s J n F 1 b 3 Q 7 U 2 V j d G l v b j E v R U g g U H J l L V N 1 c n Z l e V 9 N Y X k g M j A s I D I w M j N f M D g g M j I v Q X V 0 b 1 J l b W 9 2 Z W R D b 2 x 1 b W 5 z M S 5 7 Q 2 9 s d W 1 u M T k s M T h 9 J n F 1 b 3 Q 7 L C Z x d W 9 0 O 1 N l Y 3 R p b 2 4 x L 0 V I I F B y Z S 1 T d X J 2 Z X l f T W F 5 I D I w L C A y M D I z X z A 4 I D I y L 0 F 1 d G 9 S Z W 1 v d m V k Q 2 9 s d W 1 u c z E u e 0 N v b H V t b j I w L D E 5 f S Z x d W 9 0 O y w m c X V v d D t T Z W N 0 a W 9 u M S 9 F S C B Q c m U t U 3 V y d m V 5 X 0 1 h e S A y M C w g M j A y M 1 8 w O C A y M i 9 B d X R v U m V t b 3 Z l Z E N v b H V t b n M x L n t D b 2 x 1 b W 4 y M S w y M H 0 m c X V v d D s s J n F 1 b 3 Q 7 U 2 V j d G l v b j E v R U g g U H J l L V N 1 c n Z l e V 9 N Y X k g M j A s I D I w M j N f M D g g M j I v Q X V 0 b 1 J l b W 9 2 Z W R D b 2 x 1 b W 5 z M S 5 7 Q 2 9 s d W 1 u M j I s M j F 9 J n F 1 b 3 Q 7 L C Z x d W 9 0 O 1 N l Y 3 R p b 2 4 x L 0 V I I F B y Z S 1 T d X J 2 Z X l f T W F 5 I D I w L C A y M D I z X z A 4 I D I y L 0 F 1 d G 9 S Z W 1 v d m V k Q 2 9 s d W 1 u c z E u e 0 N v b H V t b j I z L D I y f S Z x d W 9 0 O y w m c X V v d D t T Z W N 0 a W 9 u M S 9 F S C B Q c m U t U 3 V y d m V 5 X 0 1 h e S A y M C w g M j A y M 1 8 w O C A y M i 9 B d X R v U m V t b 3 Z l Z E N v b H V t b n M x L n t D b 2 x 1 b W 4 y N C w y M 3 0 m c X V v d D s s J n F 1 b 3 Q 7 U 2 V j d G l v b j E v R U g g U H J l L V N 1 c n Z l e V 9 N Y X k g M j A s I D I w M j N f M D g g M j I v Q X V 0 b 1 J l b W 9 2 Z W R D b 2 x 1 b W 5 z M S 5 7 Q 2 9 s d W 1 u M j U s M j R 9 J n F 1 b 3 Q 7 L C Z x d W 9 0 O 1 N l Y 3 R p b 2 4 x L 0 V I I F B y Z S 1 T d X J 2 Z X l f T W F 5 I D I w L C A y M D I z X z A 4 I D I y L 0 F 1 d G 9 S Z W 1 v d m V k Q 2 9 s d W 1 u c z E u e 0 N v b H V t b j I 2 L D I 1 f S Z x d W 9 0 O y w m c X V v d D t T Z W N 0 a W 9 u M S 9 F S C B Q c m U t U 3 V y d m V 5 X 0 1 h e S A y M C w g M j A y M 1 8 w O C A y M i 9 B d X R v U m V t b 3 Z l Z E N v b H V t b n M x L n t D b 2 x 1 b W 4 y N y w y N n 0 m c X V v d D s s J n F 1 b 3 Q 7 U 2 V j d G l v b j E v R U g g U H J l L V N 1 c n Z l e V 9 N Y X k g M j A s I D I w M j N f M D g g M j I v Q X V 0 b 1 J l b W 9 2 Z W R D b 2 x 1 b W 5 z M S 5 7 Q 2 9 s d W 1 u M j g s M j d 9 J n F 1 b 3 Q 7 L C Z x d W 9 0 O 1 N l Y 3 R p b 2 4 x L 0 V I I F B y Z S 1 T d X J 2 Z X l f T W F 5 I D I w L C A y M D I z X z A 4 I D I y L 0 F 1 d G 9 S Z W 1 v d m V k Q 2 9 s d W 1 u c z E u e 0 N v b H V t b j I 5 L D I 4 f S Z x d W 9 0 O y w m c X V v d D t T Z W N 0 a W 9 u M S 9 F S C B Q c m U t U 3 V y d m V 5 X 0 1 h e S A y M C w g M j A y M 1 8 w O C A y M i 9 B d X R v U m V t b 3 Z l Z E N v b H V t b n M x L n t D b 2 x 1 b W 4 z M C w y O X 0 m c X V v d D s s J n F 1 b 3 Q 7 U 2 V j d G l v b j E v R U g g U H J l L V N 1 c n Z l e V 9 N Y X k g M j A s I D I w M j N f M D g g M j I v Q X V 0 b 1 J l b W 9 2 Z W R D b 2 x 1 b W 5 z M S 5 7 Q 2 9 s d W 1 u M z E s M z B 9 J n F 1 b 3 Q 7 L C Z x d W 9 0 O 1 N l Y 3 R p b 2 4 x L 0 V I I F B y Z S 1 T d X J 2 Z X l f T W F 5 I D I w L C A y M D I z X z A 4 I D I y L 0 F 1 d G 9 S Z W 1 v d m V k Q 2 9 s d W 1 u c z E u e 0 N v b H V t b j M y L D M x f S Z x d W 9 0 O y w m c X V v d D t T Z W N 0 a W 9 u M S 9 F S C B Q c m U t U 3 V y d m V 5 X 0 1 h e S A y M C w g M j A y M 1 8 w O C A y M i 9 B d X R v U m V t b 3 Z l Z E N v b H V t b n M x L n t D b 2 x 1 b W 4 z M y w z M n 0 m c X V v d D s s J n F 1 b 3 Q 7 U 2 V j d G l v b j E v R U g g U H J l L V N 1 c n Z l e V 9 N Y X k g M j A s I D I w M j N f M D g g M j I v Q X V 0 b 1 J l b W 9 2 Z W R D b 2 x 1 b W 5 z M S 5 7 Q 2 9 s d W 1 u M z Q s M z N 9 J n F 1 b 3 Q 7 L C Z x d W 9 0 O 1 N l Y 3 R p b 2 4 x L 0 V I I F B y Z S 1 T d X J 2 Z X l f T W F 5 I D I w L C A y M D I z X z A 4 I D I y L 0 F 1 d G 9 S Z W 1 v d m V k Q 2 9 s d W 1 u c z E u e 0 N v b H V t b j M 1 L D M 0 f S Z x d W 9 0 O y w m c X V v d D t T Z W N 0 a W 9 u M S 9 F S C B Q c m U t U 3 V y d m V 5 X 0 1 h e S A y M C w g M j A y M 1 8 w O C A y M i 9 B d X R v U m V t b 3 Z l Z E N v b H V t b n M x L n t D b 2 x 1 b W 4 z N i w z N X 0 m c X V v d D s s J n F 1 b 3 Q 7 U 2 V j d G l v b j E v R U g g U H J l L V N 1 c n Z l e V 9 N Y X k g M j A s I D I w M j N f M D g g M j I v Q X V 0 b 1 J l b W 9 2 Z W R D b 2 x 1 b W 5 z M S 5 7 Q 2 9 s d W 1 u M z c s M z Z 9 J n F 1 b 3 Q 7 L C Z x d W 9 0 O 1 N l Y 3 R p b 2 4 x L 0 V I I F B y Z S 1 T d X J 2 Z X l f T W F 5 I D I w L C A y M D I z X z A 4 I D I y L 0 F 1 d G 9 S Z W 1 v d m V k Q 2 9 s d W 1 u c z E u e 0 N v b H V t b j M 4 L D M 3 f S Z x d W 9 0 O 1 0 s J n F 1 b 3 Q 7 Q 2 9 s d W 1 u Q 2 9 1 b n Q m c X V v d D s 6 M z g s J n F 1 b 3 Q 7 S 2 V 5 Q 2 9 s d W 1 u T m F t Z X M m c X V v d D s 6 W 1 0 s J n F 1 b 3 Q 7 Q 2 9 s d W 1 u S W R l b n R p d G l l c y Z x d W 9 0 O z p b J n F 1 b 3 Q 7 U 2 V j d G l v b j E v R U g g U H J l L V N 1 c n Z l e V 9 N Y X k g M j A s I D I w M j N f M D g g M j I v Q X V 0 b 1 J l b W 9 2 Z W R D b 2 x 1 b W 5 z M S 5 7 Q 2 9 s d W 1 u M S w w f S Z x d W 9 0 O y w m c X V v d D t T Z W N 0 a W 9 u M S 9 F S C B Q c m U t U 3 V y d m V 5 X 0 1 h e S A y M C w g M j A y M 1 8 w O C A y M i 9 B d X R v U m V t b 3 Z l Z E N v b H V t b n M x L n t D b 2 x 1 b W 4 y L D F 9 J n F 1 b 3 Q 7 L C Z x d W 9 0 O 1 N l Y 3 R p b 2 4 x L 0 V I I F B y Z S 1 T d X J 2 Z X l f T W F 5 I D I w L C A y M D I z X z A 4 I D I y L 0 F 1 d G 9 S Z W 1 v d m V k Q 2 9 s d W 1 u c z E u e 0 N v b H V t b j M s M n 0 m c X V v d D s s J n F 1 b 3 Q 7 U 2 V j d G l v b j E v R U g g U H J l L V N 1 c n Z l e V 9 N Y X k g M j A s I D I w M j N f M D g g M j I v Q X V 0 b 1 J l b W 9 2 Z W R D b 2 x 1 b W 5 z M S 5 7 Q 2 9 s d W 1 u N C w z f S Z x d W 9 0 O y w m c X V v d D t T Z W N 0 a W 9 u M S 9 F S C B Q c m U t U 3 V y d m V 5 X 0 1 h e S A y M C w g M j A y M 1 8 w O C A y M i 9 B d X R v U m V t b 3 Z l Z E N v b H V t b n M x L n t D b 2 x 1 b W 4 1 L D R 9 J n F 1 b 3 Q 7 L C Z x d W 9 0 O 1 N l Y 3 R p b 2 4 x L 0 V I I F B y Z S 1 T d X J 2 Z X l f T W F 5 I D I w L C A y M D I z X z A 4 I D I y L 0 F 1 d G 9 S Z W 1 v d m V k Q 2 9 s d W 1 u c z E u e 0 N v b H V t b j Y s N X 0 m c X V v d D s s J n F 1 b 3 Q 7 U 2 V j d G l v b j E v R U g g U H J l L V N 1 c n Z l e V 9 N Y X k g M j A s I D I w M j N f M D g g M j I v Q X V 0 b 1 J l b W 9 2 Z W R D b 2 x 1 b W 5 z M S 5 7 Q 2 9 s d W 1 u N y w 2 f S Z x d W 9 0 O y w m c X V v d D t T Z W N 0 a W 9 u M S 9 F S C B Q c m U t U 3 V y d m V 5 X 0 1 h e S A y M C w g M j A y M 1 8 w O C A y M i 9 B d X R v U m V t b 3 Z l Z E N v b H V t b n M x L n t D b 2 x 1 b W 4 4 L D d 9 J n F 1 b 3 Q 7 L C Z x d W 9 0 O 1 N l Y 3 R p b 2 4 x L 0 V I I F B y Z S 1 T d X J 2 Z X l f T W F 5 I D I w L C A y M D I z X z A 4 I D I y L 0 F 1 d G 9 S Z W 1 v d m V k Q 2 9 s d W 1 u c z E u e 0 N v b H V t b j k s O H 0 m c X V v d D s s J n F 1 b 3 Q 7 U 2 V j d G l v b j E v R U g g U H J l L V N 1 c n Z l e V 9 N Y X k g M j A s I D I w M j N f M D g g M j I v Q X V 0 b 1 J l b W 9 2 Z W R D b 2 x 1 b W 5 z M S 5 7 Q 2 9 s d W 1 u M T A s O X 0 m c X V v d D s s J n F 1 b 3 Q 7 U 2 V j d G l v b j E v R U g g U H J l L V N 1 c n Z l e V 9 N Y X k g M j A s I D I w M j N f M D g g M j I v Q X V 0 b 1 J l b W 9 2 Z W R D b 2 x 1 b W 5 z M S 5 7 Q 2 9 s d W 1 u M T E s M T B 9 J n F 1 b 3 Q 7 L C Z x d W 9 0 O 1 N l Y 3 R p b 2 4 x L 0 V I I F B y Z S 1 T d X J 2 Z X l f T W F 5 I D I w L C A y M D I z X z A 4 I D I y L 0 F 1 d G 9 S Z W 1 v d m V k Q 2 9 s d W 1 u c z E u e 0 N v b H V t b j E y L D E x f S Z x d W 9 0 O y w m c X V v d D t T Z W N 0 a W 9 u M S 9 F S C B Q c m U t U 3 V y d m V 5 X 0 1 h e S A y M C w g M j A y M 1 8 w O C A y M i 9 B d X R v U m V t b 3 Z l Z E N v b H V t b n M x L n t D b 2 x 1 b W 4 x M y w x M n 0 m c X V v d D s s J n F 1 b 3 Q 7 U 2 V j d G l v b j E v R U g g U H J l L V N 1 c n Z l e V 9 N Y X k g M j A s I D I w M j N f M D g g M j I v Q X V 0 b 1 J l b W 9 2 Z W R D b 2 x 1 b W 5 z M S 5 7 Q 2 9 s d W 1 u M T Q s M T N 9 J n F 1 b 3 Q 7 L C Z x d W 9 0 O 1 N l Y 3 R p b 2 4 x L 0 V I I F B y Z S 1 T d X J 2 Z X l f T W F 5 I D I w L C A y M D I z X z A 4 I D I y L 0 F 1 d G 9 S Z W 1 v d m V k Q 2 9 s d W 1 u c z E u e 0 N v b H V t b j E 1 L D E 0 f S Z x d W 9 0 O y w m c X V v d D t T Z W N 0 a W 9 u M S 9 F S C B Q c m U t U 3 V y d m V 5 X 0 1 h e S A y M C w g M j A y M 1 8 w O C A y M i 9 B d X R v U m V t b 3 Z l Z E N v b H V t b n M x L n t D b 2 x 1 b W 4 x N i w x N X 0 m c X V v d D s s J n F 1 b 3 Q 7 U 2 V j d G l v b j E v R U g g U H J l L V N 1 c n Z l e V 9 N Y X k g M j A s I D I w M j N f M D g g M j I v Q X V 0 b 1 J l b W 9 2 Z W R D b 2 x 1 b W 5 z M S 5 7 Q 2 9 s d W 1 u M T c s M T Z 9 J n F 1 b 3 Q 7 L C Z x d W 9 0 O 1 N l Y 3 R p b 2 4 x L 0 V I I F B y Z S 1 T d X J 2 Z X l f T W F 5 I D I w L C A y M D I z X z A 4 I D I y L 0 F 1 d G 9 S Z W 1 v d m V k Q 2 9 s d W 1 u c z E u e 0 N v b H V t b j E 4 L D E 3 f S Z x d W 9 0 O y w m c X V v d D t T Z W N 0 a W 9 u M S 9 F S C B Q c m U t U 3 V y d m V 5 X 0 1 h e S A y M C w g M j A y M 1 8 w O C A y M i 9 B d X R v U m V t b 3 Z l Z E N v b H V t b n M x L n t D b 2 x 1 b W 4 x O S w x O H 0 m c X V v d D s s J n F 1 b 3 Q 7 U 2 V j d G l v b j E v R U g g U H J l L V N 1 c n Z l e V 9 N Y X k g M j A s I D I w M j N f M D g g M j I v Q X V 0 b 1 J l b W 9 2 Z W R D b 2 x 1 b W 5 z M S 5 7 Q 2 9 s d W 1 u M j A s M T l 9 J n F 1 b 3 Q 7 L C Z x d W 9 0 O 1 N l Y 3 R p b 2 4 x L 0 V I I F B y Z S 1 T d X J 2 Z X l f T W F 5 I D I w L C A y M D I z X z A 4 I D I y L 0 F 1 d G 9 S Z W 1 v d m V k Q 2 9 s d W 1 u c z E u e 0 N v b H V t b j I x L D I w f S Z x d W 9 0 O y w m c X V v d D t T Z W N 0 a W 9 u M S 9 F S C B Q c m U t U 3 V y d m V 5 X 0 1 h e S A y M C w g M j A y M 1 8 w O C A y M i 9 B d X R v U m V t b 3 Z l Z E N v b H V t b n M x L n t D b 2 x 1 b W 4 y M i w y M X 0 m c X V v d D s s J n F 1 b 3 Q 7 U 2 V j d G l v b j E v R U g g U H J l L V N 1 c n Z l e V 9 N Y X k g M j A s I D I w M j N f M D g g M j I v Q X V 0 b 1 J l b W 9 2 Z W R D b 2 x 1 b W 5 z M S 5 7 Q 2 9 s d W 1 u M j M s M j J 9 J n F 1 b 3 Q 7 L C Z x d W 9 0 O 1 N l Y 3 R p b 2 4 x L 0 V I I F B y Z S 1 T d X J 2 Z X l f T W F 5 I D I w L C A y M D I z X z A 4 I D I y L 0 F 1 d G 9 S Z W 1 v d m V k Q 2 9 s d W 1 u c z E u e 0 N v b H V t b j I 0 L D I z f S Z x d W 9 0 O y w m c X V v d D t T Z W N 0 a W 9 u M S 9 F S C B Q c m U t U 3 V y d m V 5 X 0 1 h e S A y M C w g M j A y M 1 8 w O C A y M i 9 B d X R v U m V t b 3 Z l Z E N v b H V t b n M x L n t D b 2 x 1 b W 4 y N S w y N H 0 m c X V v d D s s J n F 1 b 3 Q 7 U 2 V j d G l v b j E v R U g g U H J l L V N 1 c n Z l e V 9 N Y X k g M j A s I D I w M j N f M D g g M j I v Q X V 0 b 1 J l b W 9 2 Z W R D b 2 x 1 b W 5 z M S 5 7 Q 2 9 s d W 1 u M j Y s M j V 9 J n F 1 b 3 Q 7 L C Z x d W 9 0 O 1 N l Y 3 R p b 2 4 x L 0 V I I F B y Z S 1 T d X J 2 Z X l f T W F 5 I D I w L C A y M D I z X z A 4 I D I y L 0 F 1 d G 9 S Z W 1 v d m V k Q 2 9 s d W 1 u c z E u e 0 N v b H V t b j I 3 L D I 2 f S Z x d W 9 0 O y w m c X V v d D t T Z W N 0 a W 9 u M S 9 F S C B Q c m U t U 3 V y d m V 5 X 0 1 h e S A y M C w g M j A y M 1 8 w O C A y M i 9 B d X R v U m V t b 3 Z l Z E N v b H V t b n M x L n t D b 2 x 1 b W 4 y O C w y N 3 0 m c X V v d D s s J n F 1 b 3 Q 7 U 2 V j d G l v b j E v R U g g U H J l L V N 1 c n Z l e V 9 N Y X k g M j A s I D I w M j N f M D g g M j I v Q X V 0 b 1 J l b W 9 2 Z W R D b 2 x 1 b W 5 z M S 5 7 Q 2 9 s d W 1 u M j k s M j h 9 J n F 1 b 3 Q 7 L C Z x d W 9 0 O 1 N l Y 3 R p b 2 4 x L 0 V I I F B y Z S 1 T d X J 2 Z X l f T W F 5 I D I w L C A y M D I z X z A 4 I D I y L 0 F 1 d G 9 S Z W 1 v d m V k Q 2 9 s d W 1 u c z E u e 0 N v b H V t b j M w L D I 5 f S Z x d W 9 0 O y w m c X V v d D t T Z W N 0 a W 9 u M S 9 F S C B Q c m U t U 3 V y d m V 5 X 0 1 h e S A y M C w g M j A y M 1 8 w O C A y M i 9 B d X R v U m V t b 3 Z l Z E N v b H V t b n M x L n t D b 2 x 1 b W 4 z M S w z M H 0 m c X V v d D s s J n F 1 b 3 Q 7 U 2 V j d G l v b j E v R U g g U H J l L V N 1 c n Z l e V 9 N Y X k g M j A s I D I w M j N f M D g g M j I v Q X V 0 b 1 J l b W 9 2 Z W R D b 2 x 1 b W 5 z M S 5 7 Q 2 9 s d W 1 u M z I s M z F 9 J n F 1 b 3 Q 7 L C Z x d W 9 0 O 1 N l Y 3 R p b 2 4 x L 0 V I I F B y Z S 1 T d X J 2 Z X l f T W F 5 I D I w L C A y M D I z X z A 4 I D I y L 0 F 1 d G 9 S Z W 1 v d m V k Q 2 9 s d W 1 u c z E u e 0 N v b H V t b j M z L D M y f S Z x d W 9 0 O y w m c X V v d D t T Z W N 0 a W 9 u M S 9 F S C B Q c m U t U 3 V y d m V 5 X 0 1 h e S A y M C w g M j A y M 1 8 w O C A y M i 9 B d X R v U m V t b 3 Z l Z E N v b H V t b n M x L n t D b 2 x 1 b W 4 z N C w z M 3 0 m c X V v d D s s J n F 1 b 3 Q 7 U 2 V j d G l v b j E v R U g g U H J l L V N 1 c n Z l e V 9 N Y X k g M j A s I D I w M j N f M D g g M j I v Q X V 0 b 1 J l b W 9 2 Z W R D b 2 x 1 b W 5 z M S 5 7 Q 2 9 s d W 1 u M z U s M z R 9 J n F 1 b 3 Q 7 L C Z x d W 9 0 O 1 N l Y 3 R p b 2 4 x L 0 V I I F B y Z S 1 T d X J 2 Z X l f T W F 5 I D I w L C A y M D I z X z A 4 I D I y L 0 F 1 d G 9 S Z W 1 v d m V k Q 2 9 s d W 1 u c z E u e 0 N v b H V t b j M 2 L D M 1 f S Z x d W 9 0 O y w m c X V v d D t T Z W N 0 a W 9 u M S 9 F S C B Q c m U t U 3 V y d m V 5 X 0 1 h e S A y M C w g M j A y M 1 8 w O C A y M i 9 B d X R v U m V t b 3 Z l Z E N v b H V t b n M x L n t D b 2 x 1 b W 4 z N y w z N n 0 m c X V v d D s s J n F 1 b 3 Q 7 U 2 V j d G l v b j E v R U g g U H J l L V N 1 c n Z l e V 9 N Y X k g M j A s I D I w M j N f M D g g M j I v Q X V 0 b 1 J l b W 9 2 Z W R D b 2 x 1 b W 5 z M S 5 7 Q 2 9 s d W 1 u M z g s M z d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S C U y M F B y Z S 1 T d X J 2 Z X l f T W F 5 J T I w M j A l M k M l M j A y M D I z X z A 4 J T I w M j I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g l M j B Q c m U t U 3 V y d m V 5 X 0 1 h e S U y M D I w J T J D J T I w M j A y M 1 8 w O C U y M D I y J T I w K D M p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g l M j B Q c m U t U 3 V y d m V 5 X 0 1 h e S U y M D I w J T J D J T I w M j A y M 1 8 w O C U y M D I y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V G F y Z 2 V 0 I i B W Y W x 1 Z T 0 i c 1 R h Y m x l X 0 V I X 1 B y Z V 9 T d X J 2 Z X l f T W F 5 X z I w X 1 8 y M D I z X z A 4 X z I y O S I g L z 4 8 R W 5 0 c n k g V H l w Z T 0 i R m l s b G V k Q 2 9 t c G x l d G V S Z X N 1 b H R U b 1 d v c m t z a G V l d C I g V m F s d W U 9 I m w x I i A v P j x F b n R y e S B U e X B l P S J G a W x s Q 2 9 1 b n Q i I F Z h b H V l P S J s M C I g L z 4 8 R W 5 0 c n k g V H l w Z T 0 i R m l s b F N 0 Y X R 1 c y I g V m F s d W U 9 I n N X Y W l 0 a W 5 n R m 9 y R X h j Z W x S Z W Z y Z X N o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X S I g L z 4 8 R W 5 0 c n k g V H l w Z T 0 i R m l s b E N v b H V t b l R 5 c G V z I i B W Y W x 1 Z T 0 i c 0 J n W U d C Z 1 l H Q m d Z R 0 J n W U d C Z 1 l H Q m d Z R 0 J n W U d C Z 1 l H Q m d Z R 0 J n W U d C Z 1 l H Q m d Z R 0 J n W T 0 i I C 8 + P E V u d H J 5 I F R 5 c G U 9 I k Z p b G x M Y X N 0 V X B k Y X R l Z C I g V m F s d W U 9 I m Q y M D I z L T A 5 L T E x V D E 5 O j E x O j E 1 L j Q w N D g 0 M j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M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S C B Q c m U t U 3 V y d m V 5 X 0 1 h e S A y M C w g M j A y M 1 8 w O C A y M i 9 B d X R v U m V t b 3 Z l Z E N v b H V t b n M x L n t D b 2 x 1 b W 4 x L D B 9 J n F 1 b 3 Q 7 L C Z x d W 9 0 O 1 N l Y 3 R p b 2 4 x L 0 V I I F B y Z S 1 T d X J 2 Z X l f T W F 5 I D I w L C A y M D I z X z A 4 I D I y L 0 F 1 d G 9 S Z W 1 v d m V k Q 2 9 s d W 1 u c z E u e 0 N v b H V t b j I s M X 0 m c X V v d D s s J n F 1 b 3 Q 7 U 2 V j d G l v b j E v R U g g U H J l L V N 1 c n Z l e V 9 N Y X k g M j A s I D I w M j N f M D g g M j I v Q X V 0 b 1 J l b W 9 2 Z W R D b 2 x 1 b W 5 z M S 5 7 Q 2 9 s d W 1 u M y w y f S Z x d W 9 0 O y w m c X V v d D t T Z W N 0 a W 9 u M S 9 F S C B Q c m U t U 3 V y d m V 5 X 0 1 h e S A y M C w g M j A y M 1 8 w O C A y M i 9 B d X R v U m V t b 3 Z l Z E N v b H V t b n M x L n t D b 2 x 1 b W 4 0 L D N 9 J n F 1 b 3 Q 7 L C Z x d W 9 0 O 1 N l Y 3 R p b 2 4 x L 0 V I I F B y Z S 1 T d X J 2 Z X l f T W F 5 I D I w L C A y M D I z X z A 4 I D I y L 0 F 1 d G 9 S Z W 1 v d m V k Q 2 9 s d W 1 u c z E u e 0 N v b H V t b j U s N H 0 m c X V v d D s s J n F 1 b 3 Q 7 U 2 V j d G l v b j E v R U g g U H J l L V N 1 c n Z l e V 9 N Y X k g M j A s I D I w M j N f M D g g M j I v Q X V 0 b 1 J l b W 9 2 Z W R D b 2 x 1 b W 5 z M S 5 7 Q 2 9 s d W 1 u N i w 1 f S Z x d W 9 0 O y w m c X V v d D t T Z W N 0 a W 9 u M S 9 F S C B Q c m U t U 3 V y d m V 5 X 0 1 h e S A y M C w g M j A y M 1 8 w O C A y M i 9 B d X R v U m V t b 3 Z l Z E N v b H V t b n M x L n t D b 2 x 1 b W 4 3 L D Z 9 J n F 1 b 3 Q 7 L C Z x d W 9 0 O 1 N l Y 3 R p b 2 4 x L 0 V I I F B y Z S 1 T d X J 2 Z X l f T W F 5 I D I w L C A y M D I z X z A 4 I D I y L 0 F 1 d G 9 S Z W 1 v d m V k Q 2 9 s d W 1 u c z E u e 0 N v b H V t b j g s N 3 0 m c X V v d D s s J n F 1 b 3 Q 7 U 2 V j d G l v b j E v R U g g U H J l L V N 1 c n Z l e V 9 N Y X k g M j A s I D I w M j N f M D g g M j I v Q X V 0 b 1 J l b W 9 2 Z W R D b 2 x 1 b W 5 z M S 5 7 Q 2 9 s d W 1 u O S w 4 f S Z x d W 9 0 O y w m c X V v d D t T Z W N 0 a W 9 u M S 9 F S C B Q c m U t U 3 V y d m V 5 X 0 1 h e S A y M C w g M j A y M 1 8 w O C A y M i 9 B d X R v U m V t b 3 Z l Z E N v b H V t b n M x L n t D b 2 x 1 b W 4 x M C w 5 f S Z x d W 9 0 O y w m c X V v d D t T Z W N 0 a W 9 u M S 9 F S C B Q c m U t U 3 V y d m V 5 X 0 1 h e S A y M C w g M j A y M 1 8 w O C A y M i 9 B d X R v U m V t b 3 Z l Z E N v b H V t b n M x L n t D b 2 x 1 b W 4 x M S w x M H 0 m c X V v d D s s J n F 1 b 3 Q 7 U 2 V j d G l v b j E v R U g g U H J l L V N 1 c n Z l e V 9 N Y X k g M j A s I D I w M j N f M D g g M j I v Q X V 0 b 1 J l b W 9 2 Z W R D b 2 x 1 b W 5 z M S 5 7 Q 2 9 s d W 1 u M T I s M T F 9 J n F 1 b 3 Q 7 L C Z x d W 9 0 O 1 N l Y 3 R p b 2 4 x L 0 V I I F B y Z S 1 T d X J 2 Z X l f T W F 5 I D I w L C A y M D I z X z A 4 I D I y L 0 F 1 d G 9 S Z W 1 v d m V k Q 2 9 s d W 1 u c z E u e 0 N v b H V t b j E z L D E y f S Z x d W 9 0 O y w m c X V v d D t T Z W N 0 a W 9 u M S 9 F S C B Q c m U t U 3 V y d m V 5 X 0 1 h e S A y M C w g M j A y M 1 8 w O C A y M i 9 B d X R v U m V t b 3 Z l Z E N v b H V t b n M x L n t D b 2 x 1 b W 4 x N C w x M 3 0 m c X V v d D s s J n F 1 b 3 Q 7 U 2 V j d G l v b j E v R U g g U H J l L V N 1 c n Z l e V 9 N Y X k g M j A s I D I w M j N f M D g g M j I v Q X V 0 b 1 J l b W 9 2 Z W R D b 2 x 1 b W 5 z M S 5 7 Q 2 9 s d W 1 u M T U s M T R 9 J n F 1 b 3 Q 7 L C Z x d W 9 0 O 1 N l Y 3 R p b 2 4 x L 0 V I I F B y Z S 1 T d X J 2 Z X l f T W F 5 I D I w L C A y M D I z X z A 4 I D I y L 0 F 1 d G 9 S Z W 1 v d m V k Q 2 9 s d W 1 u c z E u e 0 N v b H V t b j E 2 L D E 1 f S Z x d W 9 0 O y w m c X V v d D t T Z W N 0 a W 9 u M S 9 F S C B Q c m U t U 3 V y d m V 5 X 0 1 h e S A y M C w g M j A y M 1 8 w O C A y M i 9 B d X R v U m V t b 3 Z l Z E N v b H V t b n M x L n t D b 2 x 1 b W 4 x N y w x N n 0 m c X V v d D s s J n F 1 b 3 Q 7 U 2 V j d G l v b j E v R U g g U H J l L V N 1 c n Z l e V 9 N Y X k g M j A s I D I w M j N f M D g g M j I v Q X V 0 b 1 J l b W 9 2 Z W R D b 2 x 1 b W 5 z M S 5 7 Q 2 9 s d W 1 u M T g s M T d 9 J n F 1 b 3 Q 7 L C Z x d W 9 0 O 1 N l Y 3 R p b 2 4 x L 0 V I I F B y Z S 1 T d X J 2 Z X l f T W F 5 I D I w L C A y M D I z X z A 4 I D I y L 0 F 1 d G 9 S Z W 1 v d m V k Q 2 9 s d W 1 u c z E u e 0 N v b H V t b j E 5 L D E 4 f S Z x d W 9 0 O y w m c X V v d D t T Z W N 0 a W 9 u M S 9 F S C B Q c m U t U 3 V y d m V 5 X 0 1 h e S A y M C w g M j A y M 1 8 w O C A y M i 9 B d X R v U m V t b 3 Z l Z E N v b H V t b n M x L n t D b 2 x 1 b W 4 y M C w x O X 0 m c X V v d D s s J n F 1 b 3 Q 7 U 2 V j d G l v b j E v R U g g U H J l L V N 1 c n Z l e V 9 N Y X k g M j A s I D I w M j N f M D g g M j I v Q X V 0 b 1 J l b W 9 2 Z W R D b 2 x 1 b W 5 z M S 5 7 Q 2 9 s d W 1 u M j E s M j B 9 J n F 1 b 3 Q 7 L C Z x d W 9 0 O 1 N l Y 3 R p b 2 4 x L 0 V I I F B y Z S 1 T d X J 2 Z X l f T W F 5 I D I w L C A y M D I z X z A 4 I D I y L 0 F 1 d G 9 S Z W 1 v d m V k Q 2 9 s d W 1 u c z E u e 0 N v b H V t b j I y L D I x f S Z x d W 9 0 O y w m c X V v d D t T Z W N 0 a W 9 u M S 9 F S C B Q c m U t U 3 V y d m V 5 X 0 1 h e S A y M C w g M j A y M 1 8 w O C A y M i 9 B d X R v U m V t b 3 Z l Z E N v b H V t b n M x L n t D b 2 x 1 b W 4 y M y w y M n 0 m c X V v d D s s J n F 1 b 3 Q 7 U 2 V j d G l v b j E v R U g g U H J l L V N 1 c n Z l e V 9 N Y X k g M j A s I D I w M j N f M D g g M j I v Q X V 0 b 1 J l b W 9 2 Z W R D b 2 x 1 b W 5 z M S 5 7 Q 2 9 s d W 1 u M j Q s M j N 9 J n F 1 b 3 Q 7 L C Z x d W 9 0 O 1 N l Y 3 R p b 2 4 x L 0 V I I F B y Z S 1 T d X J 2 Z X l f T W F 5 I D I w L C A y M D I z X z A 4 I D I y L 0 F 1 d G 9 S Z W 1 v d m V k Q 2 9 s d W 1 u c z E u e 0 N v b H V t b j I 1 L D I 0 f S Z x d W 9 0 O y w m c X V v d D t T Z W N 0 a W 9 u M S 9 F S C B Q c m U t U 3 V y d m V 5 X 0 1 h e S A y M C w g M j A y M 1 8 w O C A y M i 9 B d X R v U m V t b 3 Z l Z E N v b H V t b n M x L n t D b 2 x 1 b W 4 y N i w y N X 0 m c X V v d D s s J n F 1 b 3 Q 7 U 2 V j d G l v b j E v R U g g U H J l L V N 1 c n Z l e V 9 N Y X k g M j A s I D I w M j N f M D g g M j I v Q X V 0 b 1 J l b W 9 2 Z W R D b 2 x 1 b W 5 z M S 5 7 Q 2 9 s d W 1 u M j c s M j Z 9 J n F 1 b 3 Q 7 L C Z x d W 9 0 O 1 N l Y 3 R p b 2 4 x L 0 V I I F B y Z S 1 T d X J 2 Z X l f T W F 5 I D I w L C A y M D I z X z A 4 I D I y L 0 F 1 d G 9 S Z W 1 v d m V k Q 2 9 s d W 1 u c z E u e 0 N v b H V t b j I 4 L D I 3 f S Z x d W 9 0 O y w m c X V v d D t T Z W N 0 a W 9 u M S 9 F S C B Q c m U t U 3 V y d m V 5 X 0 1 h e S A y M C w g M j A y M 1 8 w O C A y M i 9 B d X R v U m V t b 3 Z l Z E N v b H V t b n M x L n t D b 2 x 1 b W 4 y O S w y O H 0 m c X V v d D s s J n F 1 b 3 Q 7 U 2 V j d G l v b j E v R U g g U H J l L V N 1 c n Z l e V 9 N Y X k g M j A s I D I w M j N f M D g g M j I v Q X V 0 b 1 J l b W 9 2 Z W R D b 2 x 1 b W 5 z M S 5 7 Q 2 9 s d W 1 u M z A s M j l 9 J n F 1 b 3 Q 7 L C Z x d W 9 0 O 1 N l Y 3 R p b 2 4 x L 0 V I I F B y Z S 1 T d X J 2 Z X l f T W F 5 I D I w L C A y M D I z X z A 4 I D I y L 0 F 1 d G 9 S Z W 1 v d m V k Q 2 9 s d W 1 u c z E u e 0 N v b H V t b j M x L D M w f S Z x d W 9 0 O y w m c X V v d D t T Z W N 0 a W 9 u M S 9 F S C B Q c m U t U 3 V y d m V 5 X 0 1 h e S A y M C w g M j A y M 1 8 w O C A y M i 9 B d X R v U m V t b 3 Z l Z E N v b H V t b n M x L n t D b 2 x 1 b W 4 z M i w z M X 0 m c X V v d D s s J n F 1 b 3 Q 7 U 2 V j d G l v b j E v R U g g U H J l L V N 1 c n Z l e V 9 N Y X k g M j A s I D I w M j N f M D g g M j I v Q X V 0 b 1 J l b W 9 2 Z W R D b 2 x 1 b W 5 z M S 5 7 Q 2 9 s d W 1 u M z M s M z J 9 J n F 1 b 3 Q 7 L C Z x d W 9 0 O 1 N l Y 3 R p b 2 4 x L 0 V I I F B y Z S 1 T d X J 2 Z X l f T W F 5 I D I w L C A y M D I z X z A 4 I D I y L 0 F 1 d G 9 S Z W 1 v d m V k Q 2 9 s d W 1 u c z E u e 0 N v b H V t b j M 0 L D M z f S Z x d W 9 0 O y w m c X V v d D t T Z W N 0 a W 9 u M S 9 F S C B Q c m U t U 3 V y d m V 5 X 0 1 h e S A y M C w g M j A y M 1 8 w O C A y M i 9 B d X R v U m V t b 3 Z l Z E N v b H V t b n M x L n t D b 2 x 1 b W 4 z N S w z N H 0 m c X V v d D s s J n F 1 b 3 Q 7 U 2 V j d G l v b j E v R U g g U H J l L V N 1 c n Z l e V 9 N Y X k g M j A s I D I w M j N f M D g g M j I v Q X V 0 b 1 J l b W 9 2 Z W R D b 2 x 1 b W 5 z M S 5 7 Q 2 9 s d W 1 u M z Y s M z V 9 J n F 1 b 3 Q 7 L C Z x d W 9 0 O 1 N l Y 3 R p b 2 4 x L 0 V I I F B y Z S 1 T d X J 2 Z X l f T W F 5 I D I w L C A y M D I z X z A 4 I D I y L 0 F 1 d G 9 S Z W 1 v d m V k Q 2 9 s d W 1 u c z E u e 0 N v b H V t b j M 3 L D M 2 f S Z x d W 9 0 O y w m c X V v d D t T Z W N 0 a W 9 u M S 9 F S C B Q c m U t U 3 V y d m V 5 X 0 1 h e S A y M C w g M j A y M 1 8 w O C A y M i 9 B d X R v U m V t b 3 Z l Z E N v b H V t b n M x L n t D b 2 x 1 b W 4 z O C w z N 3 0 m c X V v d D t d L C Z x d W 9 0 O 0 N v b H V t b k N v d W 5 0 J n F 1 b 3 Q 7 O j M 4 L C Z x d W 9 0 O 0 t l e U N v b H V t b k 5 h b W V z J n F 1 b 3 Q 7 O l t d L C Z x d W 9 0 O 0 N v b H V t b k l k Z W 5 0 a X R p Z X M m c X V v d D s 6 W y Z x d W 9 0 O 1 N l Y 3 R p b 2 4 x L 0 V I I F B y Z S 1 T d X J 2 Z X l f T W F 5 I D I w L C A y M D I z X z A 4 I D I y L 0 F 1 d G 9 S Z W 1 v d m V k Q 2 9 s d W 1 u c z E u e 0 N v b H V t b j E s M H 0 m c X V v d D s s J n F 1 b 3 Q 7 U 2 V j d G l v b j E v R U g g U H J l L V N 1 c n Z l e V 9 N Y X k g M j A s I D I w M j N f M D g g M j I v Q X V 0 b 1 J l b W 9 2 Z W R D b 2 x 1 b W 5 z M S 5 7 Q 2 9 s d W 1 u M i w x f S Z x d W 9 0 O y w m c X V v d D t T Z W N 0 a W 9 u M S 9 F S C B Q c m U t U 3 V y d m V 5 X 0 1 h e S A y M C w g M j A y M 1 8 w O C A y M i 9 B d X R v U m V t b 3 Z l Z E N v b H V t b n M x L n t D b 2 x 1 b W 4 z L D J 9 J n F 1 b 3 Q 7 L C Z x d W 9 0 O 1 N l Y 3 R p b 2 4 x L 0 V I I F B y Z S 1 T d X J 2 Z X l f T W F 5 I D I w L C A y M D I z X z A 4 I D I y L 0 F 1 d G 9 S Z W 1 v d m V k Q 2 9 s d W 1 u c z E u e 0 N v b H V t b j Q s M 3 0 m c X V v d D s s J n F 1 b 3 Q 7 U 2 V j d G l v b j E v R U g g U H J l L V N 1 c n Z l e V 9 N Y X k g M j A s I D I w M j N f M D g g M j I v Q X V 0 b 1 J l b W 9 2 Z W R D b 2 x 1 b W 5 z M S 5 7 Q 2 9 s d W 1 u N S w 0 f S Z x d W 9 0 O y w m c X V v d D t T Z W N 0 a W 9 u M S 9 F S C B Q c m U t U 3 V y d m V 5 X 0 1 h e S A y M C w g M j A y M 1 8 w O C A y M i 9 B d X R v U m V t b 3 Z l Z E N v b H V t b n M x L n t D b 2 x 1 b W 4 2 L D V 9 J n F 1 b 3 Q 7 L C Z x d W 9 0 O 1 N l Y 3 R p b 2 4 x L 0 V I I F B y Z S 1 T d X J 2 Z X l f T W F 5 I D I w L C A y M D I z X z A 4 I D I y L 0 F 1 d G 9 S Z W 1 v d m V k Q 2 9 s d W 1 u c z E u e 0 N v b H V t b j c s N n 0 m c X V v d D s s J n F 1 b 3 Q 7 U 2 V j d G l v b j E v R U g g U H J l L V N 1 c n Z l e V 9 N Y X k g M j A s I D I w M j N f M D g g M j I v Q X V 0 b 1 J l b W 9 2 Z W R D b 2 x 1 b W 5 z M S 5 7 Q 2 9 s d W 1 u O C w 3 f S Z x d W 9 0 O y w m c X V v d D t T Z W N 0 a W 9 u M S 9 F S C B Q c m U t U 3 V y d m V 5 X 0 1 h e S A y M C w g M j A y M 1 8 w O C A y M i 9 B d X R v U m V t b 3 Z l Z E N v b H V t b n M x L n t D b 2 x 1 b W 4 5 L D h 9 J n F 1 b 3 Q 7 L C Z x d W 9 0 O 1 N l Y 3 R p b 2 4 x L 0 V I I F B y Z S 1 T d X J 2 Z X l f T W F 5 I D I w L C A y M D I z X z A 4 I D I y L 0 F 1 d G 9 S Z W 1 v d m V k Q 2 9 s d W 1 u c z E u e 0 N v b H V t b j E w L D l 9 J n F 1 b 3 Q 7 L C Z x d W 9 0 O 1 N l Y 3 R p b 2 4 x L 0 V I I F B y Z S 1 T d X J 2 Z X l f T W F 5 I D I w L C A y M D I z X z A 4 I D I y L 0 F 1 d G 9 S Z W 1 v d m V k Q 2 9 s d W 1 u c z E u e 0 N v b H V t b j E x L D E w f S Z x d W 9 0 O y w m c X V v d D t T Z W N 0 a W 9 u M S 9 F S C B Q c m U t U 3 V y d m V 5 X 0 1 h e S A y M C w g M j A y M 1 8 w O C A y M i 9 B d X R v U m V t b 3 Z l Z E N v b H V t b n M x L n t D b 2 x 1 b W 4 x M i w x M X 0 m c X V v d D s s J n F 1 b 3 Q 7 U 2 V j d G l v b j E v R U g g U H J l L V N 1 c n Z l e V 9 N Y X k g M j A s I D I w M j N f M D g g M j I v Q X V 0 b 1 J l b W 9 2 Z W R D b 2 x 1 b W 5 z M S 5 7 Q 2 9 s d W 1 u M T M s M T J 9 J n F 1 b 3 Q 7 L C Z x d W 9 0 O 1 N l Y 3 R p b 2 4 x L 0 V I I F B y Z S 1 T d X J 2 Z X l f T W F 5 I D I w L C A y M D I z X z A 4 I D I y L 0 F 1 d G 9 S Z W 1 v d m V k Q 2 9 s d W 1 u c z E u e 0 N v b H V t b j E 0 L D E z f S Z x d W 9 0 O y w m c X V v d D t T Z W N 0 a W 9 u M S 9 F S C B Q c m U t U 3 V y d m V 5 X 0 1 h e S A y M C w g M j A y M 1 8 w O C A y M i 9 B d X R v U m V t b 3 Z l Z E N v b H V t b n M x L n t D b 2 x 1 b W 4 x N S w x N H 0 m c X V v d D s s J n F 1 b 3 Q 7 U 2 V j d G l v b j E v R U g g U H J l L V N 1 c n Z l e V 9 N Y X k g M j A s I D I w M j N f M D g g M j I v Q X V 0 b 1 J l b W 9 2 Z W R D b 2 x 1 b W 5 z M S 5 7 Q 2 9 s d W 1 u M T Y s M T V 9 J n F 1 b 3 Q 7 L C Z x d W 9 0 O 1 N l Y 3 R p b 2 4 x L 0 V I I F B y Z S 1 T d X J 2 Z X l f T W F 5 I D I w L C A y M D I z X z A 4 I D I y L 0 F 1 d G 9 S Z W 1 v d m V k Q 2 9 s d W 1 u c z E u e 0 N v b H V t b j E 3 L D E 2 f S Z x d W 9 0 O y w m c X V v d D t T Z W N 0 a W 9 u M S 9 F S C B Q c m U t U 3 V y d m V 5 X 0 1 h e S A y M C w g M j A y M 1 8 w O C A y M i 9 B d X R v U m V t b 3 Z l Z E N v b H V t b n M x L n t D b 2 x 1 b W 4 x O C w x N 3 0 m c X V v d D s s J n F 1 b 3 Q 7 U 2 V j d G l v b j E v R U g g U H J l L V N 1 c n Z l e V 9 N Y X k g M j A s I D I w M j N f M D g g M j I v Q X V 0 b 1 J l b W 9 2 Z W R D b 2 x 1 b W 5 z M S 5 7 Q 2 9 s d W 1 u M T k s M T h 9 J n F 1 b 3 Q 7 L C Z x d W 9 0 O 1 N l Y 3 R p b 2 4 x L 0 V I I F B y Z S 1 T d X J 2 Z X l f T W F 5 I D I w L C A y M D I z X z A 4 I D I y L 0 F 1 d G 9 S Z W 1 v d m V k Q 2 9 s d W 1 u c z E u e 0 N v b H V t b j I w L D E 5 f S Z x d W 9 0 O y w m c X V v d D t T Z W N 0 a W 9 u M S 9 F S C B Q c m U t U 3 V y d m V 5 X 0 1 h e S A y M C w g M j A y M 1 8 w O C A y M i 9 B d X R v U m V t b 3 Z l Z E N v b H V t b n M x L n t D b 2 x 1 b W 4 y M S w y M H 0 m c X V v d D s s J n F 1 b 3 Q 7 U 2 V j d G l v b j E v R U g g U H J l L V N 1 c n Z l e V 9 N Y X k g M j A s I D I w M j N f M D g g M j I v Q X V 0 b 1 J l b W 9 2 Z W R D b 2 x 1 b W 5 z M S 5 7 Q 2 9 s d W 1 u M j I s M j F 9 J n F 1 b 3 Q 7 L C Z x d W 9 0 O 1 N l Y 3 R p b 2 4 x L 0 V I I F B y Z S 1 T d X J 2 Z X l f T W F 5 I D I w L C A y M D I z X z A 4 I D I y L 0 F 1 d G 9 S Z W 1 v d m V k Q 2 9 s d W 1 u c z E u e 0 N v b H V t b j I z L D I y f S Z x d W 9 0 O y w m c X V v d D t T Z W N 0 a W 9 u M S 9 F S C B Q c m U t U 3 V y d m V 5 X 0 1 h e S A y M C w g M j A y M 1 8 w O C A y M i 9 B d X R v U m V t b 3 Z l Z E N v b H V t b n M x L n t D b 2 x 1 b W 4 y N C w y M 3 0 m c X V v d D s s J n F 1 b 3 Q 7 U 2 V j d G l v b j E v R U g g U H J l L V N 1 c n Z l e V 9 N Y X k g M j A s I D I w M j N f M D g g M j I v Q X V 0 b 1 J l b W 9 2 Z W R D b 2 x 1 b W 5 z M S 5 7 Q 2 9 s d W 1 u M j U s M j R 9 J n F 1 b 3 Q 7 L C Z x d W 9 0 O 1 N l Y 3 R p b 2 4 x L 0 V I I F B y Z S 1 T d X J 2 Z X l f T W F 5 I D I w L C A y M D I z X z A 4 I D I y L 0 F 1 d G 9 S Z W 1 v d m V k Q 2 9 s d W 1 u c z E u e 0 N v b H V t b j I 2 L D I 1 f S Z x d W 9 0 O y w m c X V v d D t T Z W N 0 a W 9 u M S 9 F S C B Q c m U t U 3 V y d m V 5 X 0 1 h e S A y M C w g M j A y M 1 8 w O C A y M i 9 B d X R v U m V t b 3 Z l Z E N v b H V t b n M x L n t D b 2 x 1 b W 4 y N y w y N n 0 m c X V v d D s s J n F 1 b 3 Q 7 U 2 V j d G l v b j E v R U g g U H J l L V N 1 c n Z l e V 9 N Y X k g M j A s I D I w M j N f M D g g M j I v Q X V 0 b 1 J l b W 9 2 Z W R D b 2 x 1 b W 5 z M S 5 7 Q 2 9 s d W 1 u M j g s M j d 9 J n F 1 b 3 Q 7 L C Z x d W 9 0 O 1 N l Y 3 R p b 2 4 x L 0 V I I F B y Z S 1 T d X J 2 Z X l f T W F 5 I D I w L C A y M D I z X z A 4 I D I y L 0 F 1 d G 9 S Z W 1 v d m V k Q 2 9 s d W 1 u c z E u e 0 N v b H V t b j I 5 L D I 4 f S Z x d W 9 0 O y w m c X V v d D t T Z W N 0 a W 9 u M S 9 F S C B Q c m U t U 3 V y d m V 5 X 0 1 h e S A y M C w g M j A y M 1 8 w O C A y M i 9 B d X R v U m V t b 3 Z l Z E N v b H V t b n M x L n t D b 2 x 1 b W 4 z M C w y O X 0 m c X V v d D s s J n F 1 b 3 Q 7 U 2 V j d G l v b j E v R U g g U H J l L V N 1 c n Z l e V 9 N Y X k g M j A s I D I w M j N f M D g g M j I v Q X V 0 b 1 J l b W 9 2 Z W R D b 2 x 1 b W 5 z M S 5 7 Q 2 9 s d W 1 u M z E s M z B 9 J n F 1 b 3 Q 7 L C Z x d W 9 0 O 1 N l Y 3 R p b 2 4 x L 0 V I I F B y Z S 1 T d X J 2 Z X l f T W F 5 I D I w L C A y M D I z X z A 4 I D I y L 0 F 1 d G 9 S Z W 1 v d m V k Q 2 9 s d W 1 u c z E u e 0 N v b H V t b j M y L D M x f S Z x d W 9 0 O y w m c X V v d D t T Z W N 0 a W 9 u M S 9 F S C B Q c m U t U 3 V y d m V 5 X 0 1 h e S A y M C w g M j A y M 1 8 w O C A y M i 9 B d X R v U m V t b 3 Z l Z E N v b H V t b n M x L n t D b 2 x 1 b W 4 z M y w z M n 0 m c X V v d D s s J n F 1 b 3 Q 7 U 2 V j d G l v b j E v R U g g U H J l L V N 1 c n Z l e V 9 N Y X k g M j A s I D I w M j N f M D g g M j I v Q X V 0 b 1 J l b W 9 2 Z W R D b 2 x 1 b W 5 z M S 5 7 Q 2 9 s d W 1 u M z Q s M z N 9 J n F 1 b 3 Q 7 L C Z x d W 9 0 O 1 N l Y 3 R p b 2 4 x L 0 V I I F B y Z S 1 T d X J 2 Z X l f T W F 5 I D I w L C A y M D I z X z A 4 I D I y L 0 F 1 d G 9 S Z W 1 v d m V k Q 2 9 s d W 1 u c z E u e 0 N v b H V t b j M 1 L D M 0 f S Z x d W 9 0 O y w m c X V v d D t T Z W N 0 a W 9 u M S 9 F S C B Q c m U t U 3 V y d m V 5 X 0 1 h e S A y M C w g M j A y M 1 8 w O C A y M i 9 B d X R v U m V t b 3 Z l Z E N v b H V t b n M x L n t D b 2 x 1 b W 4 z N i w z N X 0 m c X V v d D s s J n F 1 b 3 Q 7 U 2 V j d G l v b j E v R U g g U H J l L V N 1 c n Z l e V 9 N Y X k g M j A s I D I w M j N f M D g g M j I v Q X V 0 b 1 J l b W 9 2 Z W R D b 2 x 1 b W 5 z M S 5 7 Q 2 9 s d W 1 u M z c s M z Z 9 J n F 1 b 3 Q 7 L C Z x d W 9 0 O 1 N l Y 3 R p b 2 4 x L 0 V I I F B y Z S 1 T d X J 2 Z X l f T W F 5 I D I w L C A y M D I z X z A 4 I D I y L 0 F 1 d G 9 S Z W 1 v d m V k Q 2 9 s d W 1 u c z E u e 0 N v b H V t b j M 4 L D M 3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U g l M j B Q c m U t U 3 V y d m V 5 X 0 1 h e S U y M D I w J T J D J T I w M j A y M 1 8 w O C U y M D I y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I J T I w U H J l L V N 1 c n Z l e V 9 N Y X k l M j A y M C U y Q y U y M D I w M j N f M D g l M j A y M i U y M C g 0 K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I J T I w U H J l L V N 1 c n Z l e V 9 N Y X k l M j A y M C U y Q y U y M D I w M j N f M D g l M j A y M i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Y W J s Z V 9 F S F 9 Q c m V f U 3 V y d m V 5 X 0 1 h e V 8 y M F 9 f M j A y M 1 8 w O F 8 y M j M i I C 8 + P E V u d H J 5 I F R 5 c G U 9 I k Z p b G x l Z E N v b X B s Z X R l U m V z d W x 0 V G 9 X b 3 J r c 2 h l Z X Q i I F Z h b H V l P S J s M S I g L z 4 8 R W 5 0 c n k g V H l w Z T 0 i R m l s b E N v d W 5 0 I i B W Y W x 1 Z T 0 i b D A i I C 8 + P E V u d H J 5 I F R 5 c G U 9 I k Z p b G x T d G F 0 d X M i I F Z h b H V l P S J z V 2 F p d G l u Z 0 Z v c k V 4 Y 2 V s U m V m c m V z a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1 0 i I C 8 + P E V u d H J 5 I F R 5 c G U 9 I k Z p b G x D b 2 x 1 b W 5 U e X B l c y I g V m F s d W U 9 I n N C Z 1 l H Q m d Z R 0 J n W U d C Z 1 l H Q m d Z R 0 J n W U d C Z 1 l H Q m d Z R 0 J n W U d C Z 1 l H Q m d Z R 0 J n W U d C Z 1 k 9 I i A v P j x F b n R y e S B U e X B l P S J G a W x s T G F z d F V w Z G F 0 Z W Q i I F Z h b H V l P S J k M j A y M y 0 w O S 0 x M V Q x O T o x M T o x N S 4 0 M D Q 4 N D I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z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U g g U H J l L V N 1 c n Z l e V 9 N Y X k g M j A s I D I w M j N f M D g g M j I v Q X V 0 b 1 J l b W 9 2 Z W R D b 2 x 1 b W 5 z M S 5 7 Q 2 9 s d W 1 u M S w w f S Z x d W 9 0 O y w m c X V v d D t T Z W N 0 a W 9 u M S 9 F S C B Q c m U t U 3 V y d m V 5 X 0 1 h e S A y M C w g M j A y M 1 8 w O C A y M i 9 B d X R v U m V t b 3 Z l Z E N v b H V t b n M x L n t D b 2 x 1 b W 4 y L D F 9 J n F 1 b 3 Q 7 L C Z x d W 9 0 O 1 N l Y 3 R p b 2 4 x L 0 V I I F B y Z S 1 T d X J 2 Z X l f T W F 5 I D I w L C A y M D I z X z A 4 I D I y L 0 F 1 d G 9 S Z W 1 v d m V k Q 2 9 s d W 1 u c z E u e 0 N v b H V t b j M s M n 0 m c X V v d D s s J n F 1 b 3 Q 7 U 2 V j d G l v b j E v R U g g U H J l L V N 1 c n Z l e V 9 N Y X k g M j A s I D I w M j N f M D g g M j I v Q X V 0 b 1 J l b W 9 2 Z W R D b 2 x 1 b W 5 z M S 5 7 Q 2 9 s d W 1 u N C w z f S Z x d W 9 0 O y w m c X V v d D t T Z W N 0 a W 9 u M S 9 F S C B Q c m U t U 3 V y d m V 5 X 0 1 h e S A y M C w g M j A y M 1 8 w O C A y M i 9 B d X R v U m V t b 3 Z l Z E N v b H V t b n M x L n t D b 2 x 1 b W 4 1 L D R 9 J n F 1 b 3 Q 7 L C Z x d W 9 0 O 1 N l Y 3 R p b 2 4 x L 0 V I I F B y Z S 1 T d X J 2 Z X l f T W F 5 I D I w L C A y M D I z X z A 4 I D I y L 0 F 1 d G 9 S Z W 1 v d m V k Q 2 9 s d W 1 u c z E u e 0 N v b H V t b j Y s N X 0 m c X V v d D s s J n F 1 b 3 Q 7 U 2 V j d G l v b j E v R U g g U H J l L V N 1 c n Z l e V 9 N Y X k g M j A s I D I w M j N f M D g g M j I v Q X V 0 b 1 J l b W 9 2 Z W R D b 2 x 1 b W 5 z M S 5 7 Q 2 9 s d W 1 u N y w 2 f S Z x d W 9 0 O y w m c X V v d D t T Z W N 0 a W 9 u M S 9 F S C B Q c m U t U 3 V y d m V 5 X 0 1 h e S A y M C w g M j A y M 1 8 w O C A y M i 9 B d X R v U m V t b 3 Z l Z E N v b H V t b n M x L n t D b 2 x 1 b W 4 4 L D d 9 J n F 1 b 3 Q 7 L C Z x d W 9 0 O 1 N l Y 3 R p b 2 4 x L 0 V I I F B y Z S 1 T d X J 2 Z X l f T W F 5 I D I w L C A y M D I z X z A 4 I D I y L 0 F 1 d G 9 S Z W 1 v d m V k Q 2 9 s d W 1 u c z E u e 0 N v b H V t b j k s O H 0 m c X V v d D s s J n F 1 b 3 Q 7 U 2 V j d G l v b j E v R U g g U H J l L V N 1 c n Z l e V 9 N Y X k g M j A s I D I w M j N f M D g g M j I v Q X V 0 b 1 J l b W 9 2 Z W R D b 2 x 1 b W 5 z M S 5 7 Q 2 9 s d W 1 u M T A s O X 0 m c X V v d D s s J n F 1 b 3 Q 7 U 2 V j d G l v b j E v R U g g U H J l L V N 1 c n Z l e V 9 N Y X k g M j A s I D I w M j N f M D g g M j I v Q X V 0 b 1 J l b W 9 2 Z W R D b 2 x 1 b W 5 z M S 5 7 Q 2 9 s d W 1 u M T E s M T B 9 J n F 1 b 3 Q 7 L C Z x d W 9 0 O 1 N l Y 3 R p b 2 4 x L 0 V I I F B y Z S 1 T d X J 2 Z X l f T W F 5 I D I w L C A y M D I z X z A 4 I D I y L 0 F 1 d G 9 S Z W 1 v d m V k Q 2 9 s d W 1 u c z E u e 0 N v b H V t b j E y L D E x f S Z x d W 9 0 O y w m c X V v d D t T Z W N 0 a W 9 u M S 9 F S C B Q c m U t U 3 V y d m V 5 X 0 1 h e S A y M C w g M j A y M 1 8 w O C A y M i 9 B d X R v U m V t b 3 Z l Z E N v b H V t b n M x L n t D b 2 x 1 b W 4 x M y w x M n 0 m c X V v d D s s J n F 1 b 3 Q 7 U 2 V j d G l v b j E v R U g g U H J l L V N 1 c n Z l e V 9 N Y X k g M j A s I D I w M j N f M D g g M j I v Q X V 0 b 1 J l b W 9 2 Z W R D b 2 x 1 b W 5 z M S 5 7 Q 2 9 s d W 1 u M T Q s M T N 9 J n F 1 b 3 Q 7 L C Z x d W 9 0 O 1 N l Y 3 R p b 2 4 x L 0 V I I F B y Z S 1 T d X J 2 Z X l f T W F 5 I D I w L C A y M D I z X z A 4 I D I y L 0 F 1 d G 9 S Z W 1 v d m V k Q 2 9 s d W 1 u c z E u e 0 N v b H V t b j E 1 L D E 0 f S Z x d W 9 0 O y w m c X V v d D t T Z W N 0 a W 9 u M S 9 F S C B Q c m U t U 3 V y d m V 5 X 0 1 h e S A y M C w g M j A y M 1 8 w O C A y M i 9 B d X R v U m V t b 3 Z l Z E N v b H V t b n M x L n t D b 2 x 1 b W 4 x N i w x N X 0 m c X V v d D s s J n F 1 b 3 Q 7 U 2 V j d G l v b j E v R U g g U H J l L V N 1 c n Z l e V 9 N Y X k g M j A s I D I w M j N f M D g g M j I v Q X V 0 b 1 J l b W 9 2 Z W R D b 2 x 1 b W 5 z M S 5 7 Q 2 9 s d W 1 u M T c s M T Z 9 J n F 1 b 3 Q 7 L C Z x d W 9 0 O 1 N l Y 3 R p b 2 4 x L 0 V I I F B y Z S 1 T d X J 2 Z X l f T W F 5 I D I w L C A y M D I z X z A 4 I D I y L 0 F 1 d G 9 S Z W 1 v d m V k Q 2 9 s d W 1 u c z E u e 0 N v b H V t b j E 4 L D E 3 f S Z x d W 9 0 O y w m c X V v d D t T Z W N 0 a W 9 u M S 9 F S C B Q c m U t U 3 V y d m V 5 X 0 1 h e S A y M C w g M j A y M 1 8 w O C A y M i 9 B d X R v U m V t b 3 Z l Z E N v b H V t b n M x L n t D b 2 x 1 b W 4 x O S w x O H 0 m c X V v d D s s J n F 1 b 3 Q 7 U 2 V j d G l v b j E v R U g g U H J l L V N 1 c n Z l e V 9 N Y X k g M j A s I D I w M j N f M D g g M j I v Q X V 0 b 1 J l b W 9 2 Z W R D b 2 x 1 b W 5 z M S 5 7 Q 2 9 s d W 1 u M j A s M T l 9 J n F 1 b 3 Q 7 L C Z x d W 9 0 O 1 N l Y 3 R p b 2 4 x L 0 V I I F B y Z S 1 T d X J 2 Z X l f T W F 5 I D I w L C A y M D I z X z A 4 I D I y L 0 F 1 d G 9 S Z W 1 v d m V k Q 2 9 s d W 1 u c z E u e 0 N v b H V t b j I x L D I w f S Z x d W 9 0 O y w m c X V v d D t T Z W N 0 a W 9 u M S 9 F S C B Q c m U t U 3 V y d m V 5 X 0 1 h e S A y M C w g M j A y M 1 8 w O C A y M i 9 B d X R v U m V t b 3 Z l Z E N v b H V t b n M x L n t D b 2 x 1 b W 4 y M i w y M X 0 m c X V v d D s s J n F 1 b 3 Q 7 U 2 V j d G l v b j E v R U g g U H J l L V N 1 c n Z l e V 9 N Y X k g M j A s I D I w M j N f M D g g M j I v Q X V 0 b 1 J l b W 9 2 Z W R D b 2 x 1 b W 5 z M S 5 7 Q 2 9 s d W 1 u M j M s M j J 9 J n F 1 b 3 Q 7 L C Z x d W 9 0 O 1 N l Y 3 R p b 2 4 x L 0 V I I F B y Z S 1 T d X J 2 Z X l f T W F 5 I D I w L C A y M D I z X z A 4 I D I y L 0 F 1 d G 9 S Z W 1 v d m V k Q 2 9 s d W 1 u c z E u e 0 N v b H V t b j I 0 L D I z f S Z x d W 9 0 O y w m c X V v d D t T Z W N 0 a W 9 u M S 9 F S C B Q c m U t U 3 V y d m V 5 X 0 1 h e S A y M C w g M j A y M 1 8 w O C A y M i 9 B d X R v U m V t b 3 Z l Z E N v b H V t b n M x L n t D b 2 x 1 b W 4 y N S w y N H 0 m c X V v d D s s J n F 1 b 3 Q 7 U 2 V j d G l v b j E v R U g g U H J l L V N 1 c n Z l e V 9 N Y X k g M j A s I D I w M j N f M D g g M j I v Q X V 0 b 1 J l b W 9 2 Z W R D b 2 x 1 b W 5 z M S 5 7 Q 2 9 s d W 1 u M j Y s M j V 9 J n F 1 b 3 Q 7 L C Z x d W 9 0 O 1 N l Y 3 R p b 2 4 x L 0 V I I F B y Z S 1 T d X J 2 Z X l f T W F 5 I D I w L C A y M D I z X z A 4 I D I y L 0 F 1 d G 9 S Z W 1 v d m V k Q 2 9 s d W 1 u c z E u e 0 N v b H V t b j I 3 L D I 2 f S Z x d W 9 0 O y w m c X V v d D t T Z W N 0 a W 9 u M S 9 F S C B Q c m U t U 3 V y d m V 5 X 0 1 h e S A y M C w g M j A y M 1 8 w O C A y M i 9 B d X R v U m V t b 3 Z l Z E N v b H V t b n M x L n t D b 2 x 1 b W 4 y O C w y N 3 0 m c X V v d D s s J n F 1 b 3 Q 7 U 2 V j d G l v b j E v R U g g U H J l L V N 1 c n Z l e V 9 N Y X k g M j A s I D I w M j N f M D g g M j I v Q X V 0 b 1 J l b W 9 2 Z W R D b 2 x 1 b W 5 z M S 5 7 Q 2 9 s d W 1 u M j k s M j h 9 J n F 1 b 3 Q 7 L C Z x d W 9 0 O 1 N l Y 3 R p b 2 4 x L 0 V I I F B y Z S 1 T d X J 2 Z X l f T W F 5 I D I w L C A y M D I z X z A 4 I D I y L 0 F 1 d G 9 S Z W 1 v d m V k Q 2 9 s d W 1 u c z E u e 0 N v b H V t b j M w L D I 5 f S Z x d W 9 0 O y w m c X V v d D t T Z W N 0 a W 9 u M S 9 F S C B Q c m U t U 3 V y d m V 5 X 0 1 h e S A y M C w g M j A y M 1 8 w O C A y M i 9 B d X R v U m V t b 3 Z l Z E N v b H V t b n M x L n t D b 2 x 1 b W 4 z M S w z M H 0 m c X V v d D s s J n F 1 b 3 Q 7 U 2 V j d G l v b j E v R U g g U H J l L V N 1 c n Z l e V 9 N Y X k g M j A s I D I w M j N f M D g g M j I v Q X V 0 b 1 J l b W 9 2 Z W R D b 2 x 1 b W 5 z M S 5 7 Q 2 9 s d W 1 u M z I s M z F 9 J n F 1 b 3 Q 7 L C Z x d W 9 0 O 1 N l Y 3 R p b 2 4 x L 0 V I I F B y Z S 1 T d X J 2 Z X l f T W F 5 I D I w L C A y M D I z X z A 4 I D I y L 0 F 1 d G 9 S Z W 1 v d m V k Q 2 9 s d W 1 u c z E u e 0 N v b H V t b j M z L D M y f S Z x d W 9 0 O y w m c X V v d D t T Z W N 0 a W 9 u M S 9 F S C B Q c m U t U 3 V y d m V 5 X 0 1 h e S A y M C w g M j A y M 1 8 w O C A y M i 9 B d X R v U m V t b 3 Z l Z E N v b H V t b n M x L n t D b 2 x 1 b W 4 z N C w z M 3 0 m c X V v d D s s J n F 1 b 3 Q 7 U 2 V j d G l v b j E v R U g g U H J l L V N 1 c n Z l e V 9 N Y X k g M j A s I D I w M j N f M D g g M j I v Q X V 0 b 1 J l b W 9 2 Z W R D b 2 x 1 b W 5 z M S 5 7 Q 2 9 s d W 1 u M z U s M z R 9 J n F 1 b 3 Q 7 L C Z x d W 9 0 O 1 N l Y 3 R p b 2 4 x L 0 V I I F B y Z S 1 T d X J 2 Z X l f T W F 5 I D I w L C A y M D I z X z A 4 I D I y L 0 F 1 d G 9 S Z W 1 v d m V k Q 2 9 s d W 1 u c z E u e 0 N v b H V t b j M 2 L D M 1 f S Z x d W 9 0 O y w m c X V v d D t T Z W N 0 a W 9 u M S 9 F S C B Q c m U t U 3 V y d m V 5 X 0 1 h e S A y M C w g M j A y M 1 8 w O C A y M i 9 B d X R v U m V t b 3 Z l Z E N v b H V t b n M x L n t D b 2 x 1 b W 4 z N y w z N n 0 m c X V v d D s s J n F 1 b 3 Q 7 U 2 V j d G l v b j E v R U g g U H J l L V N 1 c n Z l e V 9 N Y X k g M j A s I D I w M j N f M D g g M j I v Q X V 0 b 1 J l b W 9 2 Z W R D b 2 x 1 b W 5 z M S 5 7 Q 2 9 s d W 1 u M z g s M z d 9 J n F 1 b 3 Q 7 X S w m c X V v d D t D b 2 x 1 b W 5 D b 3 V u d C Z x d W 9 0 O z o z O C w m c X V v d D t L Z X l D b 2 x 1 b W 5 O Y W 1 l c y Z x d W 9 0 O z p b X S w m c X V v d D t D b 2 x 1 b W 5 J Z G V u d G l 0 a W V z J n F 1 b 3 Q 7 O l s m c X V v d D t T Z W N 0 a W 9 u M S 9 F S C B Q c m U t U 3 V y d m V 5 X 0 1 h e S A y M C w g M j A y M 1 8 w O C A y M i 9 B d X R v U m V t b 3 Z l Z E N v b H V t b n M x L n t D b 2 x 1 b W 4 x L D B 9 J n F 1 b 3 Q 7 L C Z x d W 9 0 O 1 N l Y 3 R p b 2 4 x L 0 V I I F B y Z S 1 T d X J 2 Z X l f T W F 5 I D I w L C A y M D I z X z A 4 I D I y L 0 F 1 d G 9 S Z W 1 v d m V k Q 2 9 s d W 1 u c z E u e 0 N v b H V t b j I s M X 0 m c X V v d D s s J n F 1 b 3 Q 7 U 2 V j d G l v b j E v R U g g U H J l L V N 1 c n Z l e V 9 N Y X k g M j A s I D I w M j N f M D g g M j I v Q X V 0 b 1 J l b W 9 2 Z W R D b 2 x 1 b W 5 z M S 5 7 Q 2 9 s d W 1 u M y w y f S Z x d W 9 0 O y w m c X V v d D t T Z W N 0 a W 9 u M S 9 F S C B Q c m U t U 3 V y d m V 5 X 0 1 h e S A y M C w g M j A y M 1 8 w O C A y M i 9 B d X R v U m V t b 3 Z l Z E N v b H V t b n M x L n t D b 2 x 1 b W 4 0 L D N 9 J n F 1 b 3 Q 7 L C Z x d W 9 0 O 1 N l Y 3 R p b 2 4 x L 0 V I I F B y Z S 1 T d X J 2 Z X l f T W F 5 I D I w L C A y M D I z X z A 4 I D I y L 0 F 1 d G 9 S Z W 1 v d m V k Q 2 9 s d W 1 u c z E u e 0 N v b H V t b j U s N H 0 m c X V v d D s s J n F 1 b 3 Q 7 U 2 V j d G l v b j E v R U g g U H J l L V N 1 c n Z l e V 9 N Y X k g M j A s I D I w M j N f M D g g M j I v Q X V 0 b 1 J l b W 9 2 Z W R D b 2 x 1 b W 5 z M S 5 7 Q 2 9 s d W 1 u N i w 1 f S Z x d W 9 0 O y w m c X V v d D t T Z W N 0 a W 9 u M S 9 F S C B Q c m U t U 3 V y d m V 5 X 0 1 h e S A y M C w g M j A y M 1 8 w O C A y M i 9 B d X R v U m V t b 3 Z l Z E N v b H V t b n M x L n t D b 2 x 1 b W 4 3 L D Z 9 J n F 1 b 3 Q 7 L C Z x d W 9 0 O 1 N l Y 3 R p b 2 4 x L 0 V I I F B y Z S 1 T d X J 2 Z X l f T W F 5 I D I w L C A y M D I z X z A 4 I D I y L 0 F 1 d G 9 S Z W 1 v d m V k Q 2 9 s d W 1 u c z E u e 0 N v b H V t b j g s N 3 0 m c X V v d D s s J n F 1 b 3 Q 7 U 2 V j d G l v b j E v R U g g U H J l L V N 1 c n Z l e V 9 N Y X k g M j A s I D I w M j N f M D g g M j I v Q X V 0 b 1 J l b W 9 2 Z W R D b 2 x 1 b W 5 z M S 5 7 Q 2 9 s d W 1 u O S w 4 f S Z x d W 9 0 O y w m c X V v d D t T Z W N 0 a W 9 u M S 9 F S C B Q c m U t U 3 V y d m V 5 X 0 1 h e S A y M C w g M j A y M 1 8 w O C A y M i 9 B d X R v U m V t b 3 Z l Z E N v b H V t b n M x L n t D b 2 x 1 b W 4 x M C w 5 f S Z x d W 9 0 O y w m c X V v d D t T Z W N 0 a W 9 u M S 9 F S C B Q c m U t U 3 V y d m V 5 X 0 1 h e S A y M C w g M j A y M 1 8 w O C A y M i 9 B d X R v U m V t b 3 Z l Z E N v b H V t b n M x L n t D b 2 x 1 b W 4 x M S w x M H 0 m c X V v d D s s J n F 1 b 3 Q 7 U 2 V j d G l v b j E v R U g g U H J l L V N 1 c n Z l e V 9 N Y X k g M j A s I D I w M j N f M D g g M j I v Q X V 0 b 1 J l b W 9 2 Z W R D b 2 x 1 b W 5 z M S 5 7 Q 2 9 s d W 1 u M T I s M T F 9 J n F 1 b 3 Q 7 L C Z x d W 9 0 O 1 N l Y 3 R p b 2 4 x L 0 V I I F B y Z S 1 T d X J 2 Z X l f T W F 5 I D I w L C A y M D I z X z A 4 I D I y L 0 F 1 d G 9 S Z W 1 v d m V k Q 2 9 s d W 1 u c z E u e 0 N v b H V t b j E z L D E y f S Z x d W 9 0 O y w m c X V v d D t T Z W N 0 a W 9 u M S 9 F S C B Q c m U t U 3 V y d m V 5 X 0 1 h e S A y M C w g M j A y M 1 8 w O C A y M i 9 B d X R v U m V t b 3 Z l Z E N v b H V t b n M x L n t D b 2 x 1 b W 4 x N C w x M 3 0 m c X V v d D s s J n F 1 b 3 Q 7 U 2 V j d G l v b j E v R U g g U H J l L V N 1 c n Z l e V 9 N Y X k g M j A s I D I w M j N f M D g g M j I v Q X V 0 b 1 J l b W 9 2 Z W R D b 2 x 1 b W 5 z M S 5 7 Q 2 9 s d W 1 u M T U s M T R 9 J n F 1 b 3 Q 7 L C Z x d W 9 0 O 1 N l Y 3 R p b 2 4 x L 0 V I I F B y Z S 1 T d X J 2 Z X l f T W F 5 I D I w L C A y M D I z X z A 4 I D I y L 0 F 1 d G 9 S Z W 1 v d m V k Q 2 9 s d W 1 u c z E u e 0 N v b H V t b j E 2 L D E 1 f S Z x d W 9 0 O y w m c X V v d D t T Z W N 0 a W 9 u M S 9 F S C B Q c m U t U 3 V y d m V 5 X 0 1 h e S A y M C w g M j A y M 1 8 w O C A y M i 9 B d X R v U m V t b 3 Z l Z E N v b H V t b n M x L n t D b 2 x 1 b W 4 x N y w x N n 0 m c X V v d D s s J n F 1 b 3 Q 7 U 2 V j d G l v b j E v R U g g U H J l L V N 1 c n Z l e V 9 N Y X k g M j A s I D I w M j N f M D g g M j I v Q X V 0 b 1 J l b W 9 2 Z W R D b 2 x 1 b W 5 z M S 5 7 Q 2 9 s d W 1 u M T g s M T d 9 J n F 1 b 3 Q 7 L C Z x d W 9 0 O 1 N l Y 3 R p b 2 4 x L 0 V I I F B y Z S 1 T d X J 2 Z X l f T W F 5 I D I w L C A y M D I z X z A 4 I D I y L 0 F 1 d G 9 S Z W 1 v d m V k Q 2 9 s d W 1 u c z E u e 0 N v b H V t b j E 5 L D E 4 f S Z x d W 9 0 O y w m c X V v d D t T Z W N 0 a W 9 u M S 9 F S C B Q c m U t U 3 V y d m V 5 X 0 1 h e S A y M C w g M j A y M 1 8 w O C A y M i 9 B d X R v U m V t b 3 Z l Z E N v b H V t b n M x L n t D b 2 x 1 b W 4 y M C w x O X 0 m c X V v d D s s J n F 1 b 3 Q 7 U 2 V j d G l v b j E v R U g g U H J l L V N 1 c n Z l e V 9 N Y X k g M j A s I D I w M j N f M D g g M j I v Q X V 0 b 1 J l b W 9 2 Z W R D b 2 x 1 b W 5 z M S 5 7 Q 2 9 s d W 1 u M j E s M j B 9 J n F 1 b 3 Q 7 L C Z x d W 9 0 O 1 N l Y 3 R p b 2 4 x L 0 V I I F B y Z S 1 T d X J 2 Z X l f T W F 5 I D I w L C A y M D I z X z A 4 I D I y L 0 F 1 d G 9 S Z W 1 v d m V k Q 2 9 s d W 1 u c z E u e 0 N v b H V t b j I y L D I x f S Z x d W 9 0 O y w m c X V v d D t T Z W N 0 a W 9 u M S 9 F S C B Q c m U t U 3 V y d m V 5 X 0 1 h e S A y M C w g M j A y M 1 8 w O C A y M i 9 B d X R v U m V t b 3 Z l Z E N v b H V t b n M x L n t D b 2 x 1 b W 4 y M y w y M n 0 m c X V v d D s s J n F 1 b 3 Q 7 U 2 V j d G l v b j E v R U g g U H J l L V N 1 c n Z l e V 9 N Y X k g M j A s I D I w M j N f M D g g M j I v Q X V 0 b 1 J l b W 9 2 Z W R D b 2 x 1 b W 5 z M S 5 7 Q 2 9 s d W 1 u M j Q s M j N 9 J n F 1 b 3 Q 7 L C Z x d W 9 0 O 1 N l Y 3 R p b 2 4 x L 0 V I I F B y Z S 1 T d X J 2 Z X l f T W F 5 I D I w L C A y M D I z X z A 4 I D I y L 0 F 1 d G 9 S Z W 1 v d m V k Q 2 9 s d W 1 u c z E u e 0 N v b H V t b j I 1 L D I 0 f S Z x d W 9 0 O y w m c X V v d D t T Z W N 0 a W 9 u M S 9 F S C B Q c m U t U 3 V y d m V 5 X 0 1 h e S A y M C w g M j A y M 1 8 w O C A y M i 9 B d X R v U m V t b 3 Z l Z E N v b H V t b n M x L n t D b 2 x 1 b W 4 y N i w y N X 0 m c X V v d D s s J n F 1 b 3 Q 7 U 2 V j d G l v b j E v R U g g U H J l L V N 1 c n Z l e V 9 N Y X k g M j A s I D I w M j N f M D g g M j I v Q X V 0 b 1 J l b W 9 2 Z W R D b 2 x 1 b W 5 z M S 5 7 Q 2 9 s d W 1 u M j c s M j Z 9 J n F 1 b 3 Q 7 L C Z x d W 9 0 O 1 N l Y 3 R p b 2 4 x L 0 V I I F B y Z S 1 T d X J 2 Z X l f T W F 5 I D I w L C A y M D I z X z A 4 I D I y L 0 F 1 d G 9 S Z W 1 v d m V k Q 2 9 s d W 1 u c z E u e 0 N v b H V t b j I 4 L D I 3 f S Z x d W 9 0 O y w m c X V v d D t T Z W N 0 a W 9 u M S 9 F S C B Q c m U t U 3 V y d m V 5 X 0 1 h e S A y M C w g M j A y M 1 8 w O C A y M i 9 B d X R v U m V t b 3 Z l Z E N v b H V t b n M x L n t D b 2 x 1 b W 4 y O S w y O H 0 m c X V v d D s s J n F 1 b 3 Q 7 U 2 V j d G l v b j E v R U g g U H J l L V N 1 c n Z l e V 9 N Y X k g M j A s I D I w M j N f M D g g M j I v Q X V 0 b 1 J l b W 9 2 Z W R D b 2 x 1 b W 5 z M S 5 7 Q 2 9 s d W 1 u M z A s M j l 9 J n F 1 b 3 Q 7 L C Z x d W 9 0 O 1 N l Y 3 R p b 2 4 x L 0 V I I F B y Z S 1 T d X J 2 Z X l f T W F 5 I D I w L C A y M D I z X z A 4 I D I y L 0 F 1 d G 9 S Z W 1 v d m V k Q 2 9 s d W 1 u c z E u e 0 N v b H V t b j M x L D M w f S Z x d W 9 0 O y w m c X V v d D t T Z W N 0 a W 9 u M S 9 F S C B Q c m U t U 3 V y d m V 5 X 0 1 h e S A y M C w g M j A y M 1 8 w O C A y M i 9 B d X R v U m V t b 3 Z l Z E N v b H V t b n M x L n t D b 2 x 1 b W 4 z M i w z M X 0 m c X V v d D s s J n F 1 b 3 Q 7 U 2 V j d G l v b j E v R U g g U H J l L V N 1 c n Z l e V 9 N Y X k g M j A s I D I w M j N f M D g g M j I v Q X V 0 b 1 J l b W 9 2 Z W R D b 2 x 1 b W 5 z M S 5 7 Q 2 9 s d W 1 u M z M s M z J 9 J n F 1 b 3 Q 7 L C Z x d W 9 0 O 1 N l Y 3 R p b 2 4 x L 0 V I I F B y Z S 1 T d X J 2 Z X l f T W F 5 I D I w L C A y M D I z X z A 4 I D I y L 0 F 1 d G 9 S Z W 1 v d m V k Q 2 9 s d W 1 u c z E u e 0 N v b H V t b j M 0 L D M z f S Z x d W 9 0 O y w m c X V v d D t T Z W N 0 a W 9 u M S 9 F S C B Q c m U t U 3 V y d m V 5 X 0 1 h e S A y M C w g M j A y M 1 8 w O C A y M i 9 B d X R v U m V t b 3 Z l Z E N v b H V t b n M x L n t D b 2 x 1 b W 4 z N S w z N H 0 m c X V v d D s s J n F 1 b 3 Q 7 U 2 V j d G l v b j E v R U g g U H J l L V N 1 c n Z l e V 9 N Y X k g M j A s I D I w M j N f M D g g M j I v Q X V 0 b 1 J l b W 9 2 Z W R D b 2 x 1 b W 5 z M S 5 7 Q 2 9 s d W 1 u M z Y s M z V 9 J n F 1 b 3 Q 7 L C Z x d W 9 0 O 1 N l Y 3 R p b 2 4 x L 0 V I I F B y Z S 1 T d X J 2 Z X l f T W F 5 I D I w L C A y M D I z X z A 4 I D I y L 0 F 1 d G 9 S Z W 1 v d m V k Q 2 9 s d W 1 u c z E u e 0 N v b H V t b j M 3 L D M 2 f S Z x d W 9 0 O y w m c X V v d D t T Z W N 0 a W 9 u M S 9 F S C B Q c m U t U 3 V y d m V 5 X 0 1 h e S A y M C w g M j A y M 1 8 w O C A y M i 9 B d X R v U m V t b 3 Z l Z E N v b H V t b n M x L n t D b 2 x 1 b W 4 z O C w z N 3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I J T I w U H J l L V N 1 c n Z l e V 9 N Y X k l M j A y M C U y Q y U y M D I w M j N f M D g l M j A y M i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S C U y M F B y Z S 1 T d X J 2 Z X l f T W F 5 J T I w M j A l M k M l M j A y M D I z X z A 4 J T I w M j I l M j A o N S k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9 y H u A i 7 a E u D b W a T Q j S i p Q A A A A A C A A A A A A A Q Z g A A A A E A A C A A A A A n u j Q S k h I n J V 3 E h p i v Q H H s U S 2 f M c 8 k j K 3 i m S J p a X / S Q Q A A A A A O g A A A A A I A A C A A A A C v + f D 6 O a x 6 1 D 3 8 D O + 9 K T A l m B 5 T W N 8 J I T e u f J s / U J D P I V A A A A C d h c c n l 3 N I E 6 D h m F 2 5 j 6 c k k R + G l Z t t C s r d 0 b S e v T q 9 W b X F 0 f Y D P W x m 7 Z J q 9 6 2 D d y G t s 9 c r C a u v + f a s O N j g a 2 t q V C I T I 4 c Z z s f U U A K T L L 1 5 l 0 A A A A D 3 w m f A / s N 8 T F i h M 7 r + H K E 9 t / Q l L S T Q m m 5 a 9 l b c 1 P W P R i m 9 O C I L u I Z h X X 3 A A j B e 4 l y X U O u n E 2 B G E S y x K l A N c W O h < / D a t a M a s h u p > 
</file>

<file path=customXml/itemProps1.xml><?xml version="1.0" encoding="utf-8"?>
<ds:datastoreItem xmlns:ds="http://schemas.openxmlformats.org/officeDocument/2006/customXml" ds:itemID="{E703E043-351E-4243-A7C2-547BF54F183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Pre-Survey Full Set</vt:lpstr>
      <vt:lpstr>Post-Survey Full Set</vt:lpstr>
      <vt:lpstr>Post-Survey Pivots</vt:lpstr>
      <vt:lpstr>Survey Summary Table Unmatched</vt:lpstr>
      <vt:lpstr>Pre-Survey Matched Set (36)</vt:lpstr>
      <vt:lpstr>Post-Survey Matched Set (36)</vt:lpstr>
      <vt:lpstr>Matched Set Comparison (36)</vt:lpstr>
      <vt:lpstr>Matched Set (44)</vt:lpstr>
      <vt:lpstr>PrePost-Survey Full Set</vt:lpstr>
      <vt:lpstr>Question Codes</vt:lpstr>
      <vt:lpstr>Incomplete Pre-Survey Responses</vt:lpstr>
      <vt:lpstr>Incomplete Post-Survey Response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Garyantes</cp:lastModifiedBy>
  <dcterms:created xsi:type="dcterms:W3CDTF">2023-05-20T12:22:38Z</dcterms:created>
  <dcterms:modified xsi:type="dcterms:W3CDTF">2024-04-24T18:03:15Z</dcterms:modified>
</cp:coreProperties>
</file>