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E667D72-9B14-4C86-AF7D-655DD27BCA9C}" xr6:coauthVersionLast="40" xr6:coauthVersionMax="40" xr10:uidLastSave="{00000000-0000-0000-0000-000000000000}"/>
  <bookViews>
    <workbookView xWindow="0" yWindow="0" windowWidth="18920" windowHeight="6710" activeTab="9" xr2:uid="{00000000-000D-0000-FFFF-FFFF00000000}"/>
  </bookViews>
  <sheets>
    <sheet name="1(по 10)" sheetId="2" r:id="rId1"/>
    <sheet name="2_2" sheetId="13" r:id="rId2"/>
    <sheet name="1" sheetId="3" r:id="rId3"/>
    <sheet name="3" sheetId="4" r:id="rId4"/>
    <sheet name="4" sheetId="5" r:id="rId5"/>
    <sheet name="4 (2)" sheetId="6" r:id="rId6"/>
    <sheet name="6(a)" sheetId="8" r:id="rId7"/>
    <sheet name="6(б)" sheetId="10" r:id="rId8"/>
    <sheet name="8" sheetId="11" r:id="rId9"/>
    <sheet name="4(new)" sheetId="12" r:id="rId10"/>
  </sheets>
  <definedNames>
    <definedName name="solver_adj" localSheetId="2" hidden="1">'1'!$F$20:$F$23</definedName>
    <definedName name="solver_adj" localSheetId="0" hidden="1">'1(по 10)'!$F$20:$F$23</definedName>
    <definedName name="solver_adj" localSheetId="3" hidden="1">'3'!$F$17:$F$20</definedName>
    <definedName name="solver_adj" localSheetId="4" hidden="1">'4'!$F$20:$F$23</definedName>
    <definedName name="solver_adj" localSheetId="5" hidden="1">'4 (2)'!$F$20:$F$23</definedName>
    <definedName name="solver_adj" localSheetId="9" hidden="1">'4(new)'!$F$18:$F$21</definedName>
    <definedName name="solver_adj" localSheetId="6" hidden="1">'6(a)'!$F$17:$F$20,'6(a)'!$D$11:$J$11</definedName>
    <definedName name="solver_adj" localSheetId="7" hidden="1">'6(б)'!$F$15:$F$18,'6(б)'!$K$5:$K$8</definedName>
    <definedName name="solver_adj" localSheetId="8" hidden="1">'8'!$F$16:$F$19,'8'!$K$5:$K$8</definedName>
    <definedName name="solver_cvg" localSheetId="2" hidden="1">0.0001</definedName>
    <definedName name="solver_cvg" localSheetId="0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9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2" hidden="1">1</definedName>
    <definedName name="solver_drv" localSheetId="0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9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2" hidden="1">2</definedName>
    <definedName name="solver_eng" localSheetId="0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9" hidden="1">2</definedName>
    <definedName name="solver_eng" localSheetId="6" hidden="1">2</definedName>
    <definedName name="solver_eng" localSheetId="7" hidden="1">1</definedName>
    <definedName name="solver_eng" localSheetId="8" hidden="1">1</definedName>
    <definedName name="solver_est" localSheetId="2" hidden="1">1</definedName>
    <definedName name="solver_est" localSheetId="0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9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2" hidden="1">100</definedName>
    <definedName name="solver_itr" localSheetId="0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9" hidden="1">100</definedName>
    <definedName name="solver_itr" localSheetId="6" hidden="1">100</definedName>
    <definedName name="solver_itr" localSheetId="7" hidden="1">100</definedName>
    <definedName name="solver_itr" localSheetId="8" hidden="1">100</definedName>
    <definedName name="solver_lhs1" localSheetId="2" hidden="1">'1'!$D$29:$J$29</definedName>
    <definedName name="solver_lhs1" localSheetId="0" hidden="1">'1(по 10)'!$D$29:$J$29</definedName>
    <definedName name="solver_lhs1" localSheetId="3" hidden="1">'3'!$D$10:$J$10</definedName>
    <definedName name="solver_lhs1" localSheetId="4" hidden="1">'4'!$D$29:$J$29</definedName>
    <definedName name="solver_lhs1" localSheetId="5" hidden="1">'4 (2)'!$D$29:$J$29</definedName>
    <definedName name="solver_lhs1" localSheetId="9" hidden="1">'4(new)'!$D$27:$J$27</definedName>
    <definedName name="solver_lhs1" localSheetId="6" hidden="1">'6(a)'!$D$25</definedName>
    <definedName name="solver_lhs1" localSheetId="7" hidden="1">'6(б)'!$D$24:$J$24</definedName>
    <definedName name="solver_lhs1" localSheetId="8" hidden="1">'8'!$D$25:$J$25</definedName>
    <definedName name="solver_lhs10" localSheetId="6" hidden="1">'6(a)'!$I$25</definedName>
    <definedName name="solver_lhs11" localSheetId="6" hidden="1">'6(a)'!$J$25</definedName>
    <definedName name="solver_lhs12" localSheetId="6" hidden="1">'6(a)'!$J$25</definedName>
    <definedName name="solver_lhs13" localSheetId="6" hidden="1">'6(a)'!$J$25</definedName>
    <definedName name="solver_lhs2" localSheetId="2" hidden="1">'1'!$E$32</definedName>
    <definedName name="solver_lhs2" localSheetId="0" hidden="1">'1(по 10)'!$E$32</definedName>
    <definedName name="solver_lhs2" localSheetId="3" hidden="1">'3'!$F$17:$F$20</definedName>
    <definedName name="solver_lhs2" localSheetId="4" hidden="1">'4'!$E$32</definedName>
    <definedName name="solver_lhs2" localSheetId="5" hidden="1">'4 (2)'!$E$32</definedName>
    <definedName name="solver_lhs2" localSheetId="9" hidden="1">'4(new)'!$E$30</definedName>
    <definedName name="solver_lhs2" localSheetId="6" hidden="1">'6(a)'!$D$25:$J$25</definedName>
    <definedName name="solver_lhs2" localSheetId="7" hidden="1">'6(б)'!$E$27</definedName>
    <definedName name="solver_lhs2" localSheetId="8" hidden="1">'8'!$E$28</definedName>
    <definedName name="solver_lhs3" localSheetId="2" hidden="1">'1'!$F$20:$F$23</definedName>
    <definedName name="solver_lhs3" localSheetId="0" hidden="1">'1(по 10)'!$F$20:$F$23</definedName>
    <definedName name="solver_lhs3" localSheetId="3" hidden="1">'3'!$F$22</definedName>
    <definedName name="solver_lhs3" localSheetId="4" hidden="1">'4'!$F$20:$F$23</definedName>
    <definedName name="solver_lhs3" localSheetId="5" hidden="1">'4 (2)'!$F$20:$F$23</definedName>
    <definedName name="solver_lhs3" localSheetId="9" hidden="1">'4(new)'!$F$18:$F$21</definedName>
    <definedName name="solver_lhs3" localSheetId="6" hidden="1">'6(a)'!$E$25</definedName>
    <definedName name="solver_lhs3" localSheetId="7" hidden="1">'6(б)'!$F$20</definedName>
    <definedName name="solver_lhs3" localSheetId="8" hidden="1">'8'!$F$21</definedName>
    <definedName name="solver_lhs4" localSheetId="2" hidden="1">'1'!$F$20:$F$23</definedName>
    <definedName name="solver_lhs4" localSheetId="0" hidden="1">'1(по 10)'!$F$20:$F$23</definedName>
    <definedName name="solver_lhs4" localSheetId="3" hidden="1">'3'!$F$29</definedName>
    <definedName name="solver_lhs4" localSheetId="4" hidden="1">'4'!$F$25</definedName>
    <definedName name="solver_lhs4" localSheetId="5" hidden="1">'4 (2)'!$F$25</definedName>
    <definedName name="solver_lhs4" localSheetId="9" hidden="1">'4(new)'!$F$18:$F$21</definedName>
    <definedName name="solver_lhs4" localSheetId="6" hidden="1">'6(a)'!$E$28</definedName>
    <definedName name="solver_lhs4" localSheetId="7" hidden="1">'6(б)'!$F$20</definedName>
    <definedName name="solver_lhs4" localSheetId="8" hidden="1">'8'!$F$21</definedName>
    <definedName name="solver_lhs5" localSheetId="2" hidden="1">'1'!$F$20:$F$23</definedName>
    <definedName name="solver_lhs5" localSheetId="0" hidden="1">'1(по 10)'!$F$20:$F$23</definedName>
    <definedName name="solver_lhs5" localSheetId="3" hidden="1">'3'!$F$17:$F$20</definedName>
    <definedName name="solver_lhs5" localSheetId="4" hidden="1">'4'!$F$20:$F$23</definedName>
    <definedName name="solver_lhs5" localSheetId="5" hidden="1">'4 (2)'!$F$20:$F$23</definedName>
    <definedName name="solver_lhs5" localSheetId="9" hidden="1">'4(new)'!$F$18:$F$21</definedName>
    <definedName name="solver_lhs5" localSheetId="6" hidden="1">'6(a)'!$F$17:$F$20</definedName>
    <definedName name="solver_lhs5" localSheetId="7" hidden="1">'6(б)'!$F$15:$F$18</definedName>
    <definedName name="solver_lhs5" localSheetId="8" hidden="1">'8'!$F$16:$F$19</definedName>
    <definedName name="solver_lhs6" localSheetId="2" hidden="1">'1'!$F$20:$F$23</definedName>
    <definedName name="solver_lhs6" localSheetId="0" hidden="1">'1(по 10)'!$F$20:$F$23</definedName>
    <definedName name="solver_lhs6" localSheetId="3" hidden="1">'3'!$F$17:$F$20</definedName>
    <definedName name="solver_lhs6" localSheetId="4" hidden="1">'4'!$F$20:$F$23</definedName>
    <definedName name="solver_lhs6" localSheetId="5" hidden="1">'4 (2)'!$F$20:$F$23</definedName>
    <definedName name="solver_lhs6" localSheetId="9" hidden="1">'4(new)'!$F$18:$F$21</definedName>
    <definedName name="solver_lhs6" localSheetId="6" hidden="1">'6(a)'!$F$22</definedName>
    <definedName name="solver_lhs6" localSheetId="7" hidden="1">'6(б)'!$F$15:$F$18</definedName>
    <definedName name="solver_lhs6" localSheetId="8" hidden="1">'8'!$F$16:$F$19</definedName>
    <definedName name="solver_lhs7" localSheetId="6" hidden="1">'6(a)'!$F$25</definedName>
    <definedName name="solver_lhs8" localSheetId="6" hidden="1">'6(a)'!$G$25</definedName>
    <definedName name="solver_lhs9" localSheetId="6" hidden="1">'6(a)'!$H$25</definedName>
    <definedName name="solver_lin" localSheetId="2" hidden="1">1</definedName>
    <definedName name="solver_lin" localSheetId="0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9" hidden="1">1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mip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9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2" hidden="1">30</definedName>
    <definedName name="solver_mni" localSheetId="0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9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2" hidden="1">0.075</definedName>
    <definedName name="solver_mrt" localSheetId="0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9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2" hidden="1">2</definedName>
    <definedName name="solver_msl" localSheetId="0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9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2" hidden="1">2</definedName>
    <definedName name="solver_neg" localSheetId="0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9" hidden="1">2</definedName>
    <definedName name="solver_neg" localSheetId="6" hidden="1">2</definedName>
    <definedName name="solver_neg" localSheetId="7" hidden="1">1</definedName>
    <definedName name="solver_neg" localSheetId="8" hidden="1">1</definedName>
    <definedName name="solver_nod" localSheetId="2" hidden="1">2147483647</definedName>
    <definedName name="solver_nod" localSheetId="0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9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2" hidden="1">4</definedName>
    <definedName name="solver_num" localSheetId="0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um" localSheetId="9" hidden="1">4</definedName>
    <definedName name="solver_num" localSheetId="6" hidden="1">11</definedName>
    <definedName name="solver_num" localSheetId="7" hidden="1">4</definedName>
    <definedName name="solver_num" localSheetId="8" hidden="1">4</definedName>
    <definedName name="solver_nwt" localSheetId="2" hidden="1">1</definedName>
    <definedName name="solver_nwt" localSheetId="0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9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2" hidden="1">'1'!$E$15</definedName>
    <definedName name="solver_opt" localSheetId="0" hidden="1">'1(по 10)'!$E$15</definedName>
    <definedName name="solver_opt" localSheetId="3" hidden="1">'3'!$E$14</definedName>
    <definedName name="solver_opt" localSheetId="4" hidden="1">'4'!$E$15</definedName>
    <definedName name="solver_opt" localSheetId="5" hidden="1">'4 (2)'!$E$15</definedName>
    <definedName name="solver_opt" localSheetId="9" hidden="1">'4(new)'!$E$14</definedName>
    <definedName name="solver_opt" localSheetId="6" hidden="1">'6(a)'!$E$14</definedName>
    <definedName name="solver_opt" localSheetId="7" hidden="1">'6(б)'!$H$12</definedName>
    <definedName name="solver_opt" localSheetId="8" hidden="1">'8'!$H$13</definedName>
    <definedName name="solver_pre" localSheetId="2" hidden="1">0.1</definedName>
    <definedName name="solver_pre" localSheetId="0" hidden="1">0.1</definedName>
    <definedName name="solver_pre" localSheetId="3" hidden="1">0.1</definedName>
    <definedName name="solver_pre" localSheetId="4" hidden="1">0.1</definedName>
    <definedName name="solver_pre" localSheetId="5" hidden="1">0.1</definedName>
    <definedName name="solver_pre" localSheetId="9" hidden="1">0.1</definedName>
    <definedName name="solver_pre" localSheetId="6" hidden="1">0.1</definedName>
    <definedName name="solver_pre" localSheetId="7" hidden="1">0.1</definedName>
    <definedName name="solver_pre" localSheetId="8" hidden="1">0.1</definedName>
    <definedName name="solver_rbv" localSheetId="2" hidden="1">1</definedName>
    <definedName name="solver_rbv" localSheetId="0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9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2" hidden="1">1</definedName>
    <definedName name="solver_rel1" localSheetId="0" hidden="1">1</definedName>
    <definedName name="solver_rel1" localSheetId="3" hidden="1">3</definedName>
    <definedName name="solver_rel1" localSheetId="4" hidden="1">1</definedName>
    <definedName name="solver_rel1" localSheetId="5" hidden="1">1</definedName>
    <definedName name="solver_rel1" localSheetId="9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0" localSheetId="6" hidden="1">1</definedName>
    <definedName name="solver_rel11" localSheetId="6" hidden="1">1</definedName>
    <definedName name="solver_rel12" localSheetId="6" hidden="1">1</definedName>
    <definedName name="solver_rel13" localSheetId="6" hidden="1">1</definedName>
    <definedName name="solver_rel2" localSheetId="2" hidden="1">3</definedName>
    <definedName name="solver_rel2" localSheetId="0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9" hidden="1">3</definedName>
    <definedName name="solver_rel2" localSheetId="6" hidden="1">1</definedName>
    <definedName name="solver_rel2" localSheetId="7" hidden="1">3</definedName>
    <definedName name="solver_rel2" localSheetId="8" hidden="1">3</definedName>
    <definedName name="solver_rel3" localSheetId="2" hidden="1">1</definedName>
    <definedName name="solver_rel3" localSheetId="0" hidden="1">1</definedName>
    <definedName name="solver_rel3" localSheetId="3" hidden="1">1</definedName>
    <definedName name="solver_rel3" localSheetId="4" hidden="1">3</definedName>
    <definedName name="solver_rel3" localSheetId="5" hidden="1">3</definedName>
    <definedName name="solver_rel3" localSheetId="9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4" localSheetId="2" hidden="1">3</definedName>
    <definedName name="solver_rel4" localSheetId="0" hidden="1">3</definedName>
    <definedName name="solver_rel4" localSheetId="3" hidden="1">3</definedName>
    <definedName name="solver_rel4" localSheetId="4" hidden="1">2</definedName>
    <definedName name="solver_rel4" localSheetId="5" hidden="1">2</definedName>
    <definedName name="solver_rel4" localSheetId="9" hidden="1">3</definedName>
    <definedName name="solver_rel4" localSheetId="6" hidden="1">3</definedName>
    <definedName name="solver_rel4" localSheetId="7" hidden="1">3</definedName>
    <definedName name="solver_rel4" localSheetId="8" hidden="1">3</definedName>
    <definedName name="solver_rel5" localSheetId="2" hidden="1">3</definedName>
    <definedName name="solver_rel5" localSheetId="0" hidden="1">3</definedName>
    <definedName name="solver_rel5" localSheetId="3" hidden="1">3</definedName>
    <definedName name="solver_rel5" localSheetId="4" hidden="1">3</definedName>
    <definedName name="solver_rel5" localSheetId="5" hidden="1">3</definedName>
    <definedName name="solver_rel5" localSheetId="9" hidden="1">3</definedName>
    <definedName name="solver_rel5" localSheetId="6" hidden="1">3</definedName>
    <definedName name="solver_rel5" localSheetId="7" hidden="1">3</definedName>
    <definedName name="solver_rel5" localSheetId="8" hidden="1">3</definedName>
    <definedName name="solver_rel6" localSheetId="2" hidden="1">3</definedName>
    <definedName name="solver_rel6" localSheetId="0" hidden="1">3</definedName>
    <definedName name="solver_rel6" localSheetId="3" hidden="1">3</definedName>
    <definedName name="solver_rel6" localSheetId="4" hidden="1">3</definedName>
    <definedName name="solver_rel6" localSheetId="5" hidden="1">3</definedName>
    <definedName name="solver_rel6" localSheetId="9" hidden="1">3</definedName>
    <definedName name="solver_rel6" localSheetId="6" hidden="1">2</definedName>
    <definedName name="solver_rel6" localSheetId="7" hidden="1">3</definedName>
    <definedName name="solver_rel6" localSheetId="8" hidden="1">3</definedName>
    <definedName name="solver_rel7" localSheetId="6" hidden="1">1</definedName>
    <definedName name="solver_rel8" localSheetId="6" hidden="1">1</definedName>
    <definedName name="solver_rel9" localSheetId="6" hidden="1">1</definedName>
    <definedName name="solver_rhs1" localSheetId="2" hidden="1">'1'!$D$11:$J$11</definedName>
    <definedName name="solver_rhs1" localSheetId="0" hidden="1">'1(по 10)'!$D$11:$J$11</definedName>
    <definedName name="solver_rhs1" localSheetId="3" hidden="1">'3'!$D$26:$J$26</definedName>
    <definedName name="solver_rhs1" localSheetId="4" hidden="1">'4'!$D$11:$J$11</definedName>
    <definedName name="solver_rhs1" localSheetId="5" hidden="1">'4 (2)'!$D$11:$J$11</definedName>
    <definedName name="solver_rhs1" localSheetId="9" hidden="1">'4(new)'!$D$10:$J$10</definedName>
    <definedName name="solver_rhs1" localSheetId="6" hidden="1">'6(a)'!$D$9</definedName>
    <definedName name="solver_rhs1" localSheetId="7" hidden="1">'6(б)'!$D$9:$J$9</definedName>
    <definedName name="solver_rhs1" localSheetId="8" hidden="1">'8'!$D$9:$J$9</definedName>
    <definedName name="solver_rhs10" localSheetId="6" hidden="1">'6(a)'!$I$9</definedName>
    <definedName name="solver_rhs11" localSheetId="6" hidden="1">'6(a)'!$J$9</definedName>
    <definedName name="solver_rhs12" localSheetId="6" hidden="1">'6(a)'!$J$9</definedName>
    <definedName name="solver_rhs13" localSheetId="6" hidden="1">'6(a)'!$J$9</definedName>
    <definedName name="solver_rhs2" localSheetId="2" hidden="1">'1'!$G$32</definedName>
    <definedName name="solver_rhs2" localSheetId="0" hidden="1">'1(по 10)'!$G$32</definedName>
    <definedName name="solver_rhs2" localSheetId="3" hidden="1">0</definedName>
    <definedName name="solver_rhs2" localSheetId="4" hidden="1">'4'!$G$32</definedName>
    <definedName name="solver_rhs2" localSheetId="5" hidden="1">'4 (2)'!$G$32</definedName>
    <definedName name="solver_rhs2" localSheetId="9" hidden="1">'4(new)'!$G$30</definedName>
    <definedName name="solver_rhs2" localSheetId="6" hidden="1">'6(a)'!$D$9:$J$9</definedName>
    <definedName name="solver_rhs2" localSheetId="7" hidden="1">'6(б)'!$G$27</definedName>
    <definedName name="solver_rhs2" localSheetId="8" hidden="1">'8'!$G$28</definedName>
    <definedName name="solver_rhs3" localSheetId="2" hidden="1">900</definedName>
    <definedName name="solver_rhs3" localSheetId="0" hidden="1">900</definedName>
    <definedName name="solver_rhs3" localSheetId="3" hidden="1">900</definedName>
    <definedName name="solver_rhs3" localSheetId="4" hidden="1">10</definedName>
    <definedName name="solver_rhs3" localSheetId="5" hidden="1">10</definedName>
    <definedName name="solver_rhs3" localSheetId="9" hidden="1">900</definedName>
    <definedName name="solver_rhs3" localSheetId="6" hidden="1">'6(a)'!$E$9</definedName>
    <definedName name="solver_rhs3" localSheetId="7" hidden="1">900</definedName>
    <definedName name="solver_rhs3" localSheetId="8" hidden="1">900</definedName>
    <definedName name="solver_rhs4" localSheetId="2" hidden="1">10</definedName>
    <definedName name="solver_rhs4" localSheetId="0" hidden="1">10</definedName>
    <definedName name="solver_rhs4" localSheetId="3" hidden="1">'3'!$G$29</definedName>
    <definedName name="solver_rhs4" localSheetId="4" hidden="1">900</definedName>
    <definedName name="solver_rhs4" localSheetId="5" hidden="1">900</definedName>
    <definedName name="solver_rhs4" localSheetId="9" hidden="1">10</definedName>
    <definedName name="solver_rhs4" localSheetId="6" hidden="1">'6(a)'!$G$28</definedName>
    <definedName name="solver_rhs4" localSheetId="7" hidden="1">800</definedName>
    <definedName name="solver_rhs4" localSheetId="8" hidden="1">800</definedName>
    <definedName name="solver_rhs5" localSheetId="2" hidden="1">10</definedName>
    <definedName name="solver_rhs5" localSheetId="0" hidden="1">10</definedName>
    <definedName name="solver_rhs5" localSheetId="3" hidden="1">10</definedName>
    <definedName name="solver_rhs5" localSheetId="4" hidden="1">10</definedName>
    <definedName name="solver_rhs5" localSheetId="5" hidden="1">10</definedName>
    <definedName name="solver_rhs5" localSheetId="9" hidden="1">10</definedName>
    <definedName name="solver_rhs5" localSheetId="6" hidden="1">10</definedName>
    <definedName name="solver_rhs5" localSheetId="7" hidden="1">800</definedName>
    <definedName name="solver_rhs5" localSheetId="8" hidden="1">800</definedName>
    <definedName name="solver_rhs6" localSheetId="2" hidden="1">10</definedName>
    <definedName name="solver_rhs6" localSheetId="0" hidden="1">10</definedName>
    <definedName name="solver_rhs6" localSheetId="3" hidden="1">10</definedName>
    <definedName name="solver_rhs6" localSheetId="4" hidden="1">10</definedName>
    <definedName name="solver_rhs6" localSheetId="5" hidden="1">10</definedName>
    <definedName name="solver_rhs6" localSheetId="9" hidden="1">10</definedName>
    <definedName name="solver_rhs6" localSheetId="6" hidden="1">810</definedName>
    <definedName name="solver_rhs6" localSheetId="7" hidden="1">10</definedName>
    <definedName name="solver_rhs6" localSheetId="8" hidden="1">10</definedName>
    <definedName name="solver_rhs7" localSheetId="6" hidden="1">'6(a)'!$F$9</definedName>
    <definedName name="solver_rhs8" localSheetId="6" hidden="1">'6(a)'!$G$9</definedName>
    <definedName name="solver_rhs9" localSheetId="6" hidden="1">'6(a)'!$H$9</definedName>
    <definedName name="solver_rlx" localSheetId="2" hidden="1">1</definedName>
    <definedName name="solver_rlx" localSheetId="0" hidden="1">1</definedName>
    <definedName name="solver_rlx" localSheetId="3" hidden="1">1</definedName>
    <definedName name="solver_rlx" localSheetId="4" hidden="1">1</definedName>
    <definedName name="solver_rlx" localSheetId="5" hidden="1">1</definedName>
    <definedName name="solver_rlx" localSheetId="9" hidden="1">1</definedName>
    <definedName name="solver_rlx" localSheetId="6" hidden="1">1</definedName>
    <definedName name="solver_rlx" localSheetId="7" hidden="1">1</definedName>
    <definedName name="solver_rlx" localSheetId="8" hidden="1">1</definedName>
    <definedName name="solver_rsd" localSheetId="2" hidden="1">0</definedName>
    <definedName name="solver_rsd" localSheetId="0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9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2" hidden="1">2</definedName>
    <definedName name="solver_scl" localSheetId="0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9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2" hidden="1">2</definedName>
    <definedName name="solver_sho" localSheetId="0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9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2" hidden="1">100</definedName>
    <definedName name="solver_ssz" localSheetId="0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9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2" hidden="1">100</definedName>
    <definedName name="solver_tim" localSheetId="0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9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ol" localSheetId="2" hidden="1">0.05</definedName>
    <definedName name="solver_tol" localSheetId="0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9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yp" localSheetId="2" hidden="1">1</definedName>
    <definedName name="solver_typ" localSheetId="0" hidden="1">1</definedName>
    <definedName name="solver_typ" localSheetId="3" hidden="1">3</definedName>
    <definedName name="solver_typ" localSheetId="4" hidden="1">1</definedName>
    <definedName name="solver_typ" localSheetId="5" hidden="1">1</definedName>
    <definedName name="solver_typ" localSheetId="9" hidden="1">1</definedName>
    <definedName name="solver_typ" localSheetId="6" hidden="1">1</definedName>
    <definedName name="solver_typ" localSheetId="7" hidden="1">3</definedName>
    <definedName name="solver_typ" localSheetId="8" hidden="1">3</definedName>
    <definedName name="solver_val" localSheetId="2" hidden="1">0</definedName>
    <definedName name="solver_val" localSheetId="0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9" hidden="1">0</definedName>
    <definedName name="solver_val" localSheetId="6" hidden="1">0</definedName>
    <definedName name="solver_val" localSheetId="7" hidden="1">1.05</definedName>
    <definedName name="solver_val" localSheetId="8" hidden="1">1.01</definedName>
    <definedName name="solver_ver" localSheetId="2" hidden="1">3</definedName>
    <definedName name="solver_ver" localSheetId="0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9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81029"/>
</workbook>
</file>

<file path=xl/calcChain.xml><?xml version="1.0" encoding="utf-8"?>
<calcChain xmlns="http://schemas.openxmlformats.org/spreadsheetml/2006/main">
  <c r="G15" i="2" l="1"/>
  <c r="M16" i="2"/>
  <c r="F16" i="2" s="1"/>
  <c r="G14" i="8" l="1"/>
  <c r="E14" i="8"/>
  <c r="E15" i="3"/>
  <c r="C15" i="8"/>
  <c r="D15" i="3"/>
  <c r="G3" i="13" l="1"/>
  <c r="F15" i="8" l="1"/>
  <c r="F14" i="8"/>
  <c r="D15" i="8"/>
  <c r="D14" i="8"/>
  <c r="D17" i="3"/>
  <c r="M11" i="2"/>
  <c r="M8" i="2"/>
  <c r="M9" i="2"/>
  <c r="M10" i="2"/>
  <c r="M7" i="2"/>
  <c r="L15" i="2" l="1"/>
  <c r="K15" i="2"/>
  <c r="J29" i="2"/>
  <c r="I15" i="2"/>
  <c r="H15" i="2"/>
  <c r="D29" i="2"/>
  <c r="F15" i="2"/>
  <c r="D26" i="13"/>
  <c r="D25" i="13" l="1"/>
  <c r="O32" i="13"/>
  <c r="O33" i="13"/>
  <c r="O31" i="13"/>
  <c r="P25" i="13"/>
  <c r="P26" i="13"/>
  <c r="P24" i="13"/>
  <c r="N27" i="13"/>
  <c r="Q25" i="13" s="1"/>
  <c r="L27" i="13"/>
  <c r="O26" i="13" s="1"/>
  <c r="R17" i="13"/>
  <c r="Q18" i="13"/>
  <c r="Q19" i="13"/>
  <c r="Q17" i="13"/>
  <c r="P18" i="13"/>
  <c r="P19" i="13"/>
  <c r="P17" i="13"/>
  <c r="O18" i="13"/>
  <c r="R18" i="13" s="1"/>
  <c r="O19" i="13"/>
  <c r="R19" i="13" s="1"/>
  <c r="R20" i="13" s="1"/>
  <c r="O17" i="13"/>
  <c r="O34" i="13" l="1"/>
  <c r="O25" i="13"/>
  <c r="R25" i="13"/>
  <c r="O24" i="13"/>
  <c r="Q24" i="13"/>
  <c r="Q26" i="13"/>
  <c r="R26" i="13" s="1"/>
  <c r="R24" i="13" l="1"/>
  <c r="R27" i="13"/>
  <c r="H24" i="13"/>
  <c r="D24" i="13"/>
  <c r="I23" i="13"/>
  <c r="H23" i="13"/>
  <c r="H20" i="13"/>
  <c r="H21" i="13"/>
  <c r="H22" i="13"/>
  <c r="H19" i="13"/>
  <c r="D23" i="13"/>
  <c r="C20" i="13" l="1"/>
  <c r="C21" i="13"/>
  <c r="C22" i="13"/>
  <c r="C19" i="13"/>
  <c r="C23" i="13" s="1"/>
  <c r="F22" i="8"/>
  <c r="D14" i="13"/>
  <c r="D13" i="13"/>
  <c r="C13" i="13"/>
  <c r="C10" i="13"/>
  <c r="C11" i="13"/>
  <c r="C12" i="13"/>
  <c r="C9" i="13"/>
  <c r="F20" i="12" l="1"/>
  <c r="F21" i="12"/>
  <c r="F19" i="12"/>
  <c r="F18" i="12"/>
  <c r="F30" i="12" s="1"/>
  <c r="G30" i="12" s="1"/>
  <c r="G21" i="12"/>
  <c r="J21" i="12" s="1"/>
  <c r="G20" i="12"/>
  <c r="J20" i="12" s="1"/>
  <c r="G19" i="12"/>
  <c r="J19" i="12" s="1"/>
  <c r="G18" i="12"/>
  <c r="J18" i="12" s="1"/>
  <c r="J10" i="11"/>
  <c r="G10" i="11"/>
  <c r="F28" i="11"/>
  <c r="G28" i="11" s="1"/>
  <c r="E28" i="11"/>
  <c r="J25" i="11"/>
  <c r="I25" i="11"/>
  <c r="H25" i="11"/>
  <c r="G25" i="11"/>
  <c r="F25" i="11"/>
  <c r="E25" i="11"/>
  <c r="D25" i="11"/>
  <c r="I22" i="11"/>
  <c r="H22" i="11"/>
  <c r="F22" i="11"/>
  <c r="E22" i="11"/>
  <c r="D22" i="11"/>
  <c r="F21" i="11"/>
  <c r="G19" i="11"/>
  <c r="J19" i="11" s="1"/>
  <c r="G18" i="11"/>
  <c r="J18" i="11" s="1"/>
  <c r="G17" i="11"/>
  <c r="J17" i="11" s="1"/>
  <c r="G16" i="11"/>
  <c r="G13" i="11"/>
  <c r="C13" i="11"/>
  <c r="F20" i="10"/>
  <c r="G12" i="10"/>
  <c r="H18" i="11" l="1"/>
  <c r="G20" i="11"/>
  <c r="I18" i="11"/>
  <c r="E27" i="12"/>
  <c r="F24" i="12"/>
  <c r="I27" i="12"/>
  <c r="F27" i="12"/>
  <c r="D24" i="12"/>
  <c r="I24" i="12"/>
  <c r="G27" i="12"/>
  <c r="E30" i="12"/>
  <c r="C14" i="12"/>
  <c r="H24" i="12"/>
  <c r="J27" i="12"/>
  <c r="E24" i="12"/>
  <c r="D27" i="12"/>
  <c r="H27" i="12"/>
  <c r="J22" i="12"/>
  <c r="G22" i="12"/>
  <c r="H18" i="12"/>
  <c r="I18" i="12"/>
  <c r="I19" i="12"/>
  <c r="I20" i="12"/>
  <c r="I21" i="12"/>
  <c r="H19" i="12"/>
  <c r="H20" i="12"/>
  <c r="H21" i="12"/>
  <c r="J22" i="11"/>
  <c r="F13" i="11" s="1"/>
  <c r="H13" i="11" s="1"/>
  <c r="I19" i="11"/>
  <c r="H16" i="11"/>
  <c r="I17" i="11"/>
  <c r="H17" i="11"/>
  <c r="I16" i="11"/>
  <c r="H19" i="11"/>
  <c r="J16" i="11"/>
  <c r="J20" i="11" s="1"/>
  <c r="F27" i="10"/>
  <c r="G27" i="10" s="1"/>
  <c r="E27" i="10"/>
  <c r="J24" i="10"/>
  <c r="I24" i="10"/>
  <c r="H24" i="10"/>
  <c r="G24" i="10"/>
  <c r="F24" i="10"/>
  <c r="E24" i="10"/>
  <c r="D24" i="10"/>
  <c r="I21" i="10"/>
  <c r="H21" i="10"/>
  <c r="F21" i="10"/>
  <c r="E21" i="10"/>
  <c r="D21" i="10"/>
  <c r="G18" i="10"/>
  <c r="J18" i="10" s="1"/>
  <c r="G17" i="10"/>
  <c r="J17" i="10" s="1"/>
  <c r="G16" i="10"/>
  <c r="J16" i="10" s="1"/>
  <c r="G15" i="10"/>
  <c r="J15" i="10" s="1"/>
  <c r="C12" i="10"/>
  <c r="D32" i="8"/>
  <c r="J25" i="8"/>
  <c r="I25" i="8"/>
  <c r="K23" i="8"/>
  <c r="K22" i="8"/>
  <c r="H25" i="8"/>
  <c r="K21" i="8"/>
  <c r="G25" i="8"/>
  <c r="G31" i="8" s="1"/>
  <c r="K20" i="8"/>
  <c r="F25" i="8"/>
  <c r="K19" i="8"/>
  <c r="E25" i="8"/>
  <c r="K18" i="8"/>
  <c r="D25" i="8"/>
  <c r="K17" i="8"/>
  <c r="F28" i="8"/>
  <c r="G28" i="8" s="1"/>
  <c r="E28" i="8"/>
  <c r="I23" i="8"/>
  <c r="H23" i="8"/>
  <c r="F23" i="8"/>
  <c r="E23" i="8"/>
  <c r="D23" i="8"/>
  <c r="G20" i="8"/>
  <c r="J20" i="8" s="1"/>
  <c r="G19" i="8"/>
  <c r="J19" i="8" s="1"/>
  <c r="G18" i="8"/>
  <c r="J18" i="8" s="1"/>
  <c r="G17" i="8"/>
  <c r="J17" i="8" s="1"/>
  <c r="C14" i="8"/>
  <c r="K17" i="4"/>
  <c r="J24" i="12" l="1"/>
  <c r="H22" i="12"/>
  <c r="D14" i="12" s="1"/>
  <c r="E14" i="12" s="1"/>
  <c r="I22" i="12"/>
  <c r="I20" i="11"/>
  <c r="H20" i="11"/>
  <c r="D13" i="11" s="1"/>
  <c r="E13" i="11" s="1"/>
  <c r="J21" i="10"/>
  <c r="J19" i="10"/>
  <c r="H16" i="10"/>
  <c r="H18" i="10"/>
  <c r="I15" i="10"/>
  <c r="I16" i="10"/>
  <c r="I17" i="10"/>
  <c r="I18" i="10"/>
  <c r="G19" i="10"/>
  <c r="H15" i="10"/>
  <c r="H17" i="10"/>
  <c r="I31" i="8"/>
  <c r="E31" i="8"/>
  <c r="D31" i="8"/>
  <c r="F31" i="8"/>
  <c r="H31" i="8"/>
  <c r="J23" i="8"/>
  <c r="J31" i="8" s="1"/>
  <c r="J21" i="8"/>
  <c r="G21" i="8"/>
  <c r="H17" i="8"/>
  <c r="H18" i="8"/>
  <c r="H19" i="8"/>
  <c r="H20" i="8"/>
  <c r="I17" i="8"/>
  <c r="I18" i="8"/>
  <c r="I19" i="8"/>
  <c r="I20" i="8"/>
  <c r="G21" i="6"/>
  <c r="J21" i="6" s="1"/>
  <c r="G20" i="6"/>
  <c r="F32" i="6"/>
  <c r="G32" i="6" s="1"/>
  <c r="E32" i="6"/>
  <c r="J29" i="6"/>
  <c r="I29" i="6"/>
  <c r="H29" i="6"/>
  <c r="G29" i="6"/>
  <c r="F29" i="6"/>
  <c r="E29" i="6"/>
  <c r="D29" i="6"/>
  <c r="I26" i="6"/>
  <c r="H26" i="6"/>
  <c r="F26" i="6"/>
  <c r="E26" i="6"/>
  <c r="D26" i="6"/>
  <c r="F25" i="6"/>
  <c r="G23" i="6"/>
  <c r="J23" i="6" s="1"/>
  <c r="G22" i="6"/>
  <c r="J22" i="6" s="1"/>
  <c r="C15" i="6"/>
  <c r="F25" i="5"/>
  <c r="F32" i="5"/>
  <c r="G32" i="5" s="1"/>
  <c r="E32" i="5"/>
  <c r="J29" i="5"/>
  <c r="I29" i="5"/>
  <c r="H29" i="5"/>
  <c r="G29" i="5"/>
  <c r="F29" i="5"/>
  <c r="E29" i="5"/>
  <c r="D29" i="5"/>
  <c r="I26" i="5"/>
  <c r="H26" i="5"/>
  <c r="F26" i="5"/>
  <c r="E26" i="5"/>
  <c r="D26" i="5"/>
  <c r="G23" i="5"/>
  <c r="J23" i="5" s="1"/>
  <c r="G22" i="5"/>
  <c r="J22" i="5" s="1"/>
  <c r="G21" i="5"/>
  <c r="J21" i="5" s="1"/>
  <c r="G20" i="5"/>
  <c r="J20" i="5" s="1"/>
  <c r="C15" i="5"/>
  <c r="F22" i="4"/>
  <c r="F29" i="4"/>
  <c r="G29" i="4" s="1"/>
  <c r="E29" i="4"/>
  <c r="J26" i="4"/>
  <c r="I26" i="4"/>
  <c r="H26" i="4"/>
  <c r="G26" i="4"/>
  <c r="F26" i="4"/>
  <c r="E26" i="4"/>
  <c r="D26" i="4"/>
  <c r="I23" i="4"/>
  <c r="H23" i="4"/>
  <c r="F23" i="4"/>
  <c r="E23" i="4"/>
  <c r="D23" i="4"/>
  <c r="G20" i="4"/>
  <c r="J20" i="4" s="1"/>
  <c r="G19" i="4"/>
  <c r="J19" i="4" s="1"/>
  <c r="G18" i="4"/>
  <c r="J18" i="4" s="1"/>
  <c r="G17" i="4"/>
  <c r="J17" i="4" s="1"/>
  <c r="C14" i="4"/>
  <c r="F32" i="3"/>
  <c r="G32" i="3" s="1"/>
  <c r="E32" i="3"/>
  <c r="J29" i="3"/>
  <c r="I29" i="3"/>
  <c r="H29" i="3"/>
  <c r="G29" i="3"/>
  <c r="F29" i="3"/>
  <c r="E29" i="3"/>
  <c r="D29" i="3"/>
  <c r="I26" i="3"/>
  <c r="H26" i="3"/>
  <c r="F26" i="3"/>
  <c r="E26" i="3"/>
  <c r="D26" i="3"/>
  <c r="J23" i="3"/>
  <c r="G23" i="3"/>
  <c r="H23" i="3" s="1"/>
  <c r="J22" i="3"/>
  <c r="I22" i="3"/>
  <c r="G22" i="3"/>
  <c r="H22" i="3" s="1"/>
  <c r="G21" i="3"/>
  <c r="H21" i="3" s="1"/>
  <c r="G20" i="3"/>
  <c r="H20" i="3" s="1"/>
  <c r="C15" i="3"/>
  <c r="F32" i="2"/>
  <c r="G32" i="2" s="1"/>
  <c r="E32" i="2"/>
  <c r="I29" i="2"/>
  <c r="H29" i="2"/>
  <c r="G29" i="2"/>
  <c r="F29" i="2"/>
  <c r="E29" i="2"/>
  <c r="I26" i="2"/>
  <c r="H26" i="2"/>
  <c r="F26" i="2"/>
  <c r="E26" i="2"/>
  <c r="D26" i="2"/>
  <c r="G23" i="2"/>
  <c r="J23" i="2" s="1"/>
  <c r="G22" i="2"/>
  <c r="J22" i="2" s="1"/>
  <c r="G21" i="2"/>
  <c r="J21" i="2" s="1"/>
  <c r="G20" i="2"/>
  <c r="J20" i="2" s="1"/>
  <c r="C15" i="2"/>
  <c r="I20" i="3" l="1"/>
  <c r="J21" i="3"/>
  <c r="H23" i="6"/>
  <c r="I21" i="3"/>
  <c r="J20" i="3"/>
  <c r="I23" i="3"/>
  <c r="F12" i="10"/>
  <c r="H12" i="10" s="1"/>
  <c r="H19" i="10"/>
  <c r="D12" i="10" s="1"/>
  <c r="E12" i="10" s="1"/>
  <c r="I19" i="10"/>
  <c r="I21" i="8"/>
  <c r="H21" i="8"/>
  <c r="G24" i="6"/>
  <c r="J20" i="6"/>
  <c r="J24" i="6" s="1"/>
  <c r="J26" i="6"/>
  <c r="G16" i="6" s="1"/>
  <c r="H15" i="6" s="1"/>
  <c r="H21" i="6"/>
  <c r="H22" i="6"/>
  <c r="I20" i="6"/>
  <c r="I21" i="6"/>
  <c r="I22" i="6"/>
  <c r="I23" i="6"/>
  <c r="H20" i="6"/>
  <c r="J26" i="5"/>
  <c r="J24" i="5"/>
  <c r="H20" i="5"/>
  <c r="H21" i="5"/>
  <c r="H22" i="5"/>
  <c r="H23" i="5"/>
  <c r="I20" i="5"/>
  <c r="I21" i="5"/>
  <c r="I22" i="5"/>
  <c r="I23" i="5"/>
  <c r="G24" i="5"/>
  <c r="J23" i="4"/>
  <c r="J21" i="4"/>
  <c r="G21" i="4"/>
  <c r="H17" i="4"/>
  <c r="H18" i="4"/>
  <c r="H19" i="4"/>
  <c r="H20" i="4"/>
  <c r="I17" i="4"/>
  <c r="I18" i="4"/>
  <c r="I19" i="4"/>
  <c r="I20" i="4"/>
  <c r="J26" i="3"/>
  <c r="H24" i="3"/>
  <c r="G24" i="3"/>
  <c r="J26" i="2"/>
  <c r="J24" i="2"/>
  <c r="G24" i="2"/>
  <c r="H20" i="2"/>
  <c r="H21" i="2"/>
  <c r="H22" i="2"/>
  <c r="H23" i="2"/>
  <c r="I20" i="2"/>
  <c r="I21" i="2"/>
  <c r="I22" i="2"/>
  <c r="I23" i="2"/>
  <c r="J24" i="3" l="1"/>
  <c r="I24" i="3"/>
  <c r="I24" i="6"/>
  <c r="H24" i="6"/>
  <c r="D15" i="6" s="1"/>
  <c r="E15" i="6" s="1"/>
  <c r="H24" i="5"/>
  <c r="D15" i="5" s="1"/>
  <c r="E15" i="5" s="1"/>
  <c r="I24" i="5"/>
  <c r="I21" i="4"/>
  <c r="H21" i="4"/>
  <c r="D14" i="4" s="1"/>
  <c r="E14" i="4" s="1"/>
  <c r="I24" i="2"/>
  <c r="H24" i="2"/>
  <c r="D15" i="2" s="1"/>
  <c r="E15" i="2" s="1"/>
</calcChain>
</file>

<file path=xl/sharedStrings.xml><?xml version="1.0" encoding="utf-8"?>
<sst xmlns="http://schemas.openxmlformats.org/spreadsheetml/2006/main" count="467" uniqueCount="65">
  <si>
    <t>Ресурс</t>
  </si>
  <si>
    <t>Продукція</t>
  </si>
  <si>
    <t>Концентровані соки, т</t>
  </si>
  <si>
    <t>Сироп,</t>
  </si>
  <si>
    <t>т</t>
  </si>
  <si>
    <t>Емульсії,</t>
  </si>
  <si>
    <t>Електроенергія, кВт/год.</t>
  </si>
  <si>
    <t>Вуглекислий газ, т</t>
  </si>
  <si>
    <t>Пакувальні</t>
  </si>
  <si>
    <t>матеріали,т</t>
  </si>
  <si>
    <t>Норма часу,</t>
  </si>
  <si>
    <t>год.</t>
  </si>
  <si>
    <t>Ціна реалізації,</t>
  </si>
  <si>
    <t>грн.</t>
  </si>
  <si>
    <t>1. Сік , т</t>
  </si>
  <si>
    <t>2. Нектар, т</t>
  </si>
  <si>
    <t>3. Тонізую чий напій, т</t>
  </si>
  <si>
    <t>4. Лимо над, т</t>
  </si>
  <si>
    <t>Ціна придбання, грн.</t>
  </si>
  <si>
    <t>x1</t>
  </si>
  <si>
    <t>x2</t>
  </si>
  <si>
    <t>x3</t>
  </si>
  <si>
    <t>x4</t>
  </si>
  <si>
    <t>Вал_прибуток</t>
  </si>
  <si>
    <t>собівартість одиниці</t>
  </si>
  <si>
    <t>собівартість випуску</t>
  </si>
  <si>
    <t>ціна реалізації</t>
  </si>
  <si>
    <t>3. Тонізуючий напій, т</t>
  </si>
  <si>
    <t>4. Лимонад, т</t>
  </si>
  <si>
    <t>сума</t>
  </si>
  <si>
    <t>Обмеження на ресурси</t>
  </si>
  <si>
    <t>ЦІЛЬОВА КОМІРКА</t>
  </si>
  <si>
    <t>Обсяг виробництва</t>
  </si>
  <si>
    <t>Валовий прибуток мінус собівартість</t>
  </si>
  <si>
    <t>Умовно-чистий прибуток одиниці випуску</t>
  </si>
  <si>
    <t>Запас ресурсу</t>
  </si>
  <si>
    <t>Витрати на зберігання, грн</t>
  </si>
  <si>
    <t>Постійні витрати,грн.</t>
  </si>
  <si>
    <t>Рентабельність одиниці продукції (відношення ціни реалізації одиці продукції до її собівартості)</t>
  </si>
  <si>
    <t>Чистий прибуток</t>
  </si>
  <si>
    <t>Х1+Х2</t>
  </si>
  <si>
    <t>Сумма по Х</t>
  </si>
  <si>
    <t>0,4*Сумм</t>
  </si>
  <si>
    <t>Рентабельність</t>
  </si>
  <si>
    <t>K</t>
  </si>
  <si>
    <t>Обмеження</t>
  </si>
  <si>
    <t>Витрати</t>
  </si>
  <si>
    <t>Обережна</t>
  </si>
  <si>
    <t>Базова</t>
  </si>
  <si>
    <t>Інерційний</t>
  </si>
  <si>
    <t>Оптимістичний</t>
  </si>
  <si>
    <t>Песимістичний</t>
  </si>
  <si>
    <t>Активна</t>
  </si>
  <si>
    <t>90% потужностей</t>
  </si>
  <si>
    <t>Активна(І)</t>
  </si>
  <si>
    <t>Базова(П)</t>
  </si>
  <si>
    <t>Хо</t>
  </si>
  <si>
    <t>Хб</t>
  </si>
  <si>
    <t>Ха</t>
  </si>
  <si>
    <t>Активна(П)</t>
  </si>
  <si>
    <t>1. Баєса-Лапласа</t>
  </si>
  <si>
    <t>2. Севіджа</t>
  </si>
  <si>
    <t>3. Вальда</t>
  </si>
  <si>
    <t>Розрахунки</t>
  </si>
  <si>
    <t>Кредит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</si>
</sst>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/>
      <bottom style="medium">
        <color rgb="FF000000"/>
      </bottom>
      <diagonal style="thin">
        <color indexed="64"/>
      </diagonal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4" fontId="5" fillId="4" borderId="7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3" fontId="0" fillId="0" borderId="1" xfId="0" applyNumberFormat="1" applyBorder="1"/>
    <xf numFmtId="164" fontId="0" fillId="0" borderId="0" xfId="0" applyNumberFormat="1"/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" fillId="5" borderId="11" xfId="0" applyFont="1" applyFill="1" applyBorder="1" applyAlignment="1">
      <alignment horizontal="center" vertical="center" wrapText="1"/>
    </xf>
    <xf numFmtId="3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" fillId="6" borderId="11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5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7" borderId="12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/>
    <xf numFmtId="0" fontId="0" fillId="9" borderId="0" xfId="0" applyFill="1"/>
    <xf numFmtId="2" fontId="0" fillId="0" borderId="11" xfId="0" applyNumberFormat="1" applyBorder="1" applyAlignment="1">
      <alignment horizontal="center"/>
    </xf>
    <xf numFmtId="3" fontId="1" fillId="0" borderId="1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10" borderId="1" xfId="0" applyFont="1" applyFill="1" applyBorder="1" applyAlignment="1">
      <alignment horizontal="center" vertical="center" wrapText="1"/>
    </xf>
    <xf numFmtId="0" fontId="2" fillId="11" borderId="17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8" borderId="0" xfId="0" applyFont="1" applyFill="1" applyBorder="1" applyAlignment="1">
      <alignment horizontal="center" vertical="center" wrapText="1"/>
    </xf>
    <xf numFmtId="0" fontId="0" fillId="11" borderId="0" xfId="0" applyFill="1"/>
    <xf numFmtId="3" fontId="5" fillId="4" borderId="7" xfId="0" applyNumberFormat="1" applyFont="1" applyFill="1" applyBorder="1" applyAlignment="1">
      <alignment horizontal="center" wrapText="1"/>
    </xf>
    <xf numFmtId="0" fontId="0" fillId="12" borderId="0" xfId="0" applyFill="1"/>
    <xf numFmtId="0" fontId="0" fillId="0" borderId="23" xfId="0" applyFill="1" applyBorder="1" applyAlignment="1">
      <alignment horizontal="center"/>
    </xf>
    <xf numFmtId="165" fontId="0" fillId="0" borderId="0" xfId="0" applyNumberFormat="1"/>
    <xf numFmtId="0" fontId="0" fillId="12" borderId="0" xfId="0" applyFill="1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24" xfId="0" applyBorder="1"/>
    <xf numFmtId="0" fontId="0" fillId="0" borderId="7" xfId="0" applyBorder="1"/>
    <xf numFmtId="0" fontId="6" fillId="0" borderId="0" xfId="0" applyFont="1"/>
    <xf numFmtId="165" fontId="0" fillId="12" borderId="0" xfId="0" applyNumberFormat="1" applyFill="1"/>
    <xf numFmtId="0" fontId="0" fillId="0" borderId="25" xfId="0" applyBorder="1"/>
    <xf numFmtId="164" fontId="5" fillId="4" borderId="25" xfId="0" applyNumberFormat="1" applyFont="1" applyFill="1" applyBorder="1" applyAlignment="1">
      <alignment horizontal="center" wrapText="1"/>
    </xf>
    <xf numFmtId="0" fontId="0" fillId="0" borderId="26" xfId="0" applyBorder="1"/>
    <xf numFmtId="0" fontId="0" fillId="13" borderId="0" xfId="0" applyFill="1" applyBorder="1"/>
    <xf numFmtId="0" fontId="0" fillId="12" borderId="24" xfId="0" applyFill="1" applyBorder="1"/>
    <xf numFmtId="0" fontId="0" fillId="0" borderId="0" xfId="0" applyFill="1" applyBorder="1"/>
    <xf numFmtId="164" fontId="0" fillId="13" borderId="0" xfId="0" applyNumberFormat="1" applyFill="1"/>
    <xf numFmtId="0" fontId="2" fillId="0" borderId="5" xfId="0" applyFont="1" applyFill="1" applyBorder="1" applyAlignment="1">
      <alignment horizontal="center" vertical="center" wrapText="1"/>
    </xf>
    <xf numFmtId="0" fontId="0" fillId="8" borderId="0" xfId="0" applyFill="1"/>
    <xf numFmtId="0" fontId="0" fillId="14" borderId="0" xfId="0" applyFill="1" applyBorder="1"/>
    <xf numFmtId="165" fontId="0" fillId="14" borderId="0" xfId="0" applyNumberFormat="1" applyFill="1"/>
    <xf numFmtId="0" fontId="0" fillId="9" borderId="0" xfId="0" applyFill="1" applyBorder="1"/>
    <xf numFmtId="165" fontId="0" fillId="9" borderId="0" xfId="0" applyNumberFormat="1" applyFill="1"/>
    <xf numFmtId="0" fontId="0" fillId="0" borderId="0" xfId="0" applyFill="1"/>
    <xf numFmtId="0" fontId="0" fillId="7" borderId="0" xfId="0" applyFill="1"/>
    <xf numFmtId="165" fontId="0" fillId="7" borderId="0" xfId="0" applyNumberFormat="1" applyFill="1"/>
    <xf numFmtId="165" fontId="0" fillId="0" borderId="0" xfId="0" applyNumberFormat="1" applyFill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7</xdr:row>
      <xdr:rowOff>19050</xdr:rowOff>
    </xdr:from>
    <xdr:to>
      <xdr:col>15</xdr:col>
      <xdr:colOff>304800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AA8419-386F-4B82-910D-8C3EB554FBE4}"/>
            </a:ext>
          </a:extLst>
        </xdr:cNvPr>
        <xdr:cNvSpPr txBox="1"/>
      </xdr:nvSpPr>
      <xdr:spPr>
        <a:xfrm>
          <a:off x="8362950" y="1308100"/>
          <a:ext cx="35687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Обрати оптимальну стратегію згідно із критерієм середнього Баєса-Лапласа, критерію Вальда, критерію Севіджа. </a:t>
          </a:r>
          <a:endParaRPr lang="ru-UA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UA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35"/>
  <sheetViews>
    <sheetView zoomScale="91" zoomScaleNormal="91" workbookViewId="0">
      <selection activeCell="G15" sqref="G15"/>
    </sheetView>
  </sheetViews>
  <sheetFormatPr defaultRowHeight="14.5" x14ac:dyDescent="0.35"/>
  <cols>
    <col min="1" max="2" width="2.1796875" customWidth="1"/>
    <col min="3" max="3" width="20.453125" customWidth="1"/>
    <col min="4" max="4" width="13.453125" bestFit="1" customWidth="1"/>
    <col min="5" max="5" width="17.81640625" customWidth="1"/>
    <col min="6" max="6" width="13.54296875" customWidth="1"/>
    <col min="7" max="7" width="12.7265625" customWidth="1"/>
    <col min="8" max="8" width="16.54296875" customWidth="1"/>
    <col min="9" max="9" width="14.26953125" customWidth="1"/>
    <col min="10" max="10" width="17.81640625" customWidth="1"/>
    <col min="11" max="11" width="13.7265625" customWidth="1"/>
    <col min="12" max="12" width="18.54296875" customWidth="1"/>
    <col min="13" max="13" width="14" bestFit="1" customWidth="1"/>
    <col min="14" max="14" width="11.453125" bestFit="1" customWidth="1"/>
    <col min="15" max="15" width="18.453125" bestFit="1" customWidth="1"/>
  </cols>
  <sheetData>
    <row r="2" spans="3:13" ht="15" thickBot="1" x14ac:dyDescent="0.4"/>
    <row r="3" spans="3:13" ht="26" x14ac:dyDescent="0.35">
      <c r="C3" s="8" t="s">
        <v>0</v>
      </c>
      <c r="D3" s="135" t="s">
        <v>2</v>
      </c>
      <c r="E3" s="9" t="s">
        <v>3</v>
      </c>
      <c r="F3" s="9" t="s">
        <v>5</v>
      </c>
      <c r="G3" s="135" t="s">
        <v>6</v>
      </c>
      <c r="H3" s="135" t="s">
        <v>7</v>
      </c>
      <c r="I3" s="9" t="s">
        <v>8</v>
      </c>
      <c r="J3" s="9" t="s">
        <v>10</v>
      </c>
      <c r="K3" s="10" t="s">
        <v>12</v>
      </c>
    </row>
    <row r="4" spans="3:13" x14ac:dyDescent="0.35">
      <c r="C4" s="11"/>
      <c r="D4" s="136"/>
      <c r="E4" s="12" t="s">
        <v>4</v>
      </c>
      <c r="F4" s="12" t="s">
        <v>4</v>
      </c>
      <c r="G4" s="136"/>
      <c r="H4" s="136"/>
      <c r="I4" s="12" t="s">
        <v>9</v>
      </c>
      <c r="J4" s="12" t="s">
        <v>11</v>
      </c>
      <c r="K4" s="13" t="s">
        <v>13</v>
      </c>
    </row>
    <row r="5" spans="3:13" ht="15" thickBot="1" x14ac:dyDescent="0.4">
      <c r="C5" s="14" t="s">
        <v>1</v>
      </c>
      <c r="D5" s="137"/>
      <c r="E5" s="15"/>
      <c r="F5" s="15"/>
      <c r="G5" s="137"/>
      <c r="H5" s="137"/>
      <c r="I5" s="15"/>
      <c r="J5" s="15"/>
      <c r="K5" s="16"/>
    </row>
    <row r="6" spans="3:13" ht="15" thickBot="1" x14ac:dyDescent="0.4">
      <c r="C6" s="17">
        <v>1</v>
      </c>
      <c r="D6" s="18">
        <v>2</v>
      </c>
      <c r="E6" s="18">
        <v>3</v>
      </c>
      <c r="F6" s="18">
        <v>4</v>
      </c>
      <c r="G6" s="18">
        <v>5</v>
      </c>
      <c r="H6" s="18">
        <v>6</v>
      </c>
      <c r="I6" s="18">
        <v>7</v>
      </c>
      <c r="J6" s="18">
        <v>8</v>
      </c>
      <c r="K6" s="16">
        <v>9</v>
      </c>
    </row>
    <row r="7" spans="3:13" ht="15" thickBot="1" x14ac:dyDescent="0.4">
      <c r="C7" s="17" t="s">
        <v>14</v>
      </c>
      <c r="D7" s="19">
        <v>0.6</v>
      </c>
      <c r="E7" s="20">
        <v>0.08</v>
      </c>
      <c r="F7" s="20">
        <v>6.0000000000000001E-3</v>
      </c>
      <c r="G7" s="20">
        <v>10</v>
      </c>
      <c r="H7" s="20">
        <v>5.0000000000000001E-3</v>
      </c>
      <c r="I7" s="20">
        <v>0.02</v>
      </c>
      <c r="J7" s="20">
        <v>55</v>
      </c>
      <c r="K7" s="35">
        <v>55650</v>
      </c>
      <c r="L7" s="125">
        <v>10</v>
      </c>
      <c r="M7">
        <f>K7*L7</f>
        <v>556500</v>
      </c>
    </row>
    <row r="8" spans="3:13" ht="15" thickBot="1" x14ac:dyDescent="0.4">
      <c r="C8" s="17" t="s">
        <v>15</v>
      </c>
      <c r="D8" s="17">
        <v>0.45</v>
      </c>
      <c r="E8" s="15">
        <v>0.04</v>
      </c>
      <c r="F8" s="15">
        <v>4.0000000000000001E-3</v>
      </c>
      <c r="G8" s="15">
        <v>20</v>
      </c>
      <c r="H8" s="15">
        <v>5.0000000000000001E-3</v>
      </c>
      <c r="I8" s="15">
        <v>1.4999999999999999E-2</v>
      </c>
      <c r="J8" s="15">
        <v>44</v>
      </c>
      <c r="K8" s="35">
        <v>44370</v>
      </c>
      <c r="L8" s="125">
        <v>10</v>
      </c>
      <c r="M8">
        <f t="shared" ref="M8:M10" si="0">K8*L8</f>
        <v>443700</v>
      </c>
    </row>
    <row r="9" spans="3:13" ht="15" thickBot="1" x14ac:dyDescent="0.4">
      <c r="C9" s="17" t="s">
        <v>16</v>
      </c>
      <c r="D9" s="17">
        <v>0.2</v>
      </c>
      <c r="E9" s="15">
        <v>0.02</v>
      </c>
      <c r="F9" s="15">
        <v>2E-3</v>
      </c>
      <c r="G9" s="15">
        <v>80</v>
      </c>
      <c r="H9" s="15">
        <v>7.0000000000000007E-2</v>
      </c>
      <c r="I9" s="15">
        <v>1.4999999999999999E-2</v>
      </c>
      <c r="J9" s="15">
        <v>38</v>
      </c>
      <c r="K9" s="35">
        <v>33650</v>
      </c>
      <c r="L9" s="125">
        <v>10</v>
      </c>
      <c r="M9">
        <f t="shared" si="0"/>
        <v>336500</v>
      </c>
    </row>
    <row r="10" spans="3:13" ht="15" thickBot="1" x14ac:dyDescent="0.4">
      <c r="C10" s="17" t="s">
        <v>17</v>
      </c>
      <c r="D10" s="21">
        <v>0.05</v>
      </c>
      <c r="E10" s="22">
        <v>5.0000000000000001E-3</v>
      </c>
      <c r="F10" s="22">
        <v>1E-3</v>
      </c>
      <c r="G10" s="22">
        <v>120</v>
      </c>
      <c r="H10" s="22">
        <v>0.09</v>
      </c>
      <c r="I10" s="22">
        <v>0.04</v>
      </c>
      <c r="J10" s="22">
        <v>22</v>
      </c>
      <c r="K10" s="35">
        <v>15930</v>
      </c>
      <c r="L10" s="125">
        <v>10</v>
      </c>
      <c r="M10">
        <f t="shared" si="0"/>
        <v>159300</v>
      </c>
    </row>
    <row r="11" spans="3:13" ht="15" thickBot="1" x14ac:dyDescent="0.4">
      <c r="C11" s="23" t="s">
        <v>35</v>
      </c>
      <c r="D11" s="24">
        <v>230</v>
      </c>
      <c r="E11" s="24">
        <v>80.5</v>
      </c>
      <c r="F11" s="24">
        <v>1.8</v>
      </c>
      <c r="G11" s="24">
        <v>30000</v>
      </c>
      <c r="H11" s="24">
        <v>5</v>
      </c>
      <c r="I11" s="24">
        <v>10</v>
      </c>
      <c r="J11" s="24">
        <v>68500</v>
      </c>
      <c r="K11" s="15"/>
      <c r="M11" s="126">
        <f>SUM(M7:M10)</f>
        <v>1496000</v>
      </c>
    </row>
    <row r="12" spans="3:13" ht="15" thickBot="1" x14ac:dyDescent="0.4">
      <c r="C12" s="25" t="s">
        <v>18</v>
      </c>
      <c r="D12" s="35">
        <v>34000</v>
      </c>
      <c r="E12" s="35">
        <v>13000</v>
      </c>
      <c r="F12" s="35">
        <v>21330</v>
      </c>
      <c r="G12" s="35">
        <v>0.4</v>
      </c>
      <c r="H12" s="35">
        <v>1000</v>
      </c>
      <c r="I12" s="35">
        <v>11250</v>
      </c>
      <c r="J12" s="35">
        <v>20</v>
      </c>
      <c r="K12" s="22"/>
    </row>
    <row r="13" spans="3:13" x14ac:dyDescent="0.35">
      <c r="K13" s="37"/>
    </row>
    <row r="14" spans="3:13" ht="58" x14ac:dyDescent="0.35">
      <c r="C14" s="5" t="s">
        <v>23</v>
      </c>
      <c r="D14" s="5" t="s">
        <v>33</v>
      </c>
      <c r="E14" s="5" t="s">
        <v>39</v>
      </c>
      <c r="K14" s="37"/>
    </row>
    <row r="15" spans="3:13" x14ac:dyDescent="0.35">
      <c r="C15" s="7">
        <f>SUMPRODUCT(D20:D23,F20:F23)</f>
        <v>1496000</v>
      </c>
      <c r="D15" s="7">
        <f>C15-H24</f>
        <v>987832.10000000009</v>
      </c>
      <c r="E15" s="34">
        <f>D15-J26-D35</f>
        <v>298314.50000000012</v>
      </c>
      <c r="F15" s="44">
        <f>D15-D35</f>
        <v>487832.10000000009</v>
      </c>
      <c r="G15" s="44">
        <f>D11-D29</f>
        <v>217</v>
      </c>
      <c r="H15" s="44">
        <f t="shared" ref="G15:L15" si="1">E11-E29</f>
        <v>79.05</v>
      </c>
      <c r="I15" s="44">
        <f t="shared" si="1"/>
        <v>1.67</v>
      </c>
      <c r="J15" s="44"/>
      <c r="K15" s="44">
        <f t="shared" si="1"/>
        <v>3.3</v>
      </c>
      <c r="L15" s="44">
        <f t="shared" si="1"/>
        <v>9.1</v>
      </c>
      <c r="M15" s="44"/>
    </row>
    <row r="16" spans="3:13" x14ac:dyDescent="0.35">
      <c r="E16" t="s">
        <v>31</v>
      </c>
      <c r="F16" s="124">
        <f>F15+M16</f>
        <v>585519.90000000014</v>
      </c>
      <c r="M16" s="44">
        <f>SUM(G15:M15)*0.5*630</f>
        <v>97687.800000000017</v>
      </c>
    </row>
    <row r="19" spans="3:11" ht="117" customHeight="1" x14ac:dyDescent="0.35">
      <c r="C19" s="4"/>
      <c r="D19" s="5" t="s">
        <v>26</v>
      </c>
      <c r="E19" s="1"/>
      <c r="F19" s="5" t="s">
        <v>32</v>
      </c>
      <c r="G19" s="6" t="s">
        <v>24</v>
      </c>
      <c r="H19" s="6" t="s">
        <v>25</v>
      </c>
      <c r="I19" s="38" t="s">
        <v>34</v>
      </c>
      <c r="J19" s="6" t="s">
        <v>38</v>
      </c>
    </row>
    <row r="20" spans="3:11" ht="15" thickBot="1" x14ac:dyDescent="0.4">
      <c r="C20" s="2" t="s">
        <v>14</v>
      </c>
      <c r="D20" s="26">
        <v>55650</v>
      </c>
      <c r="E20" s="3" t="s">
        <v>19</v>
      </c>
      <c r="F20" s="33">
        <v>10</v>
      </c>
      <c r="G20" s="26">
        <f>SUMPRODUCT(D7:J7,$D$12:$J$12)</f>
        <v>22901.98</v>
      </c>
      <c r="H20" s="7">
        <f>G20*F20</f>
        <v>229019.8</v>
      </c>
      <c r="I20" s="39">
        <f>K7-G20</f>
        <v>32748.02</v>
      </c>
      <c r="J20" s="41">
        <f>D20/G20</f>
        <v>2.4299209064019793</v>
      </c>
      <c r="K20" s="36"/>
    </row>
    <row r="21" spans="3:11" ht="15" thickBot="1" x14ac:dyDescent="0.4">
      <c r="C21" s="2" t="s">
        <v>15</v>
      </c>
      <c r="D21" s="26">
        <v>44370</v>
      </c>
      <c r="E21" s="3" t="s">
        <v>20</v>
      </c>
      <c r="F21" s="33">
        <v>10</v>
      </c>
      <c r="G21" s="26">
        <f>SUMPRODUCT(D8:J8,$D$12:$J$12)</f>
        <v>16967.07</v>
      </c>
      <c r="H21" s="7">
        <f>G21*F21</f>
        <v>169670.7</v>
      </c>
      <c r="I21" s="39">
        <f>K8-G21</f>
        <v>27402.93</v>
      </c>
      <c r="J21" s="41">
        <f>D21/G21</f>
        <v>2.6150655357701713</v>
      </c>
      <c r="K21" s="36"/>
    </row>
    <row r="22" spans="3:11" ht="15" thickBot="1" x14ac:dyDescent="0.4">
      <c r="C22" s="2" t="s">
        <v>27</v>
      </c>
      <c r="D22" s="26">
        <v>33650</v>
      </c>
      <c r="E22" s="3" t="s">
        <v>21</v>
      </c>
      <c r="F22" s="33">
        <v>10</v>
      </c>
      <c r="G22" s="26">
        <f>SUMPRODUCT(D9:J9,$D$12:$J$12)</f>
        <v>8133.41</v>
      </c>
      <c r="H22" s="7">
        <f>G22*F22</f>
        <v>81334.100000000006</v>
      </c>
      <c r="I22" s="39">
        <f>K9-G22</f>
        <v>25516.59</v>
      </c>
      <c r="J22" s="41">
        <f>D22/G22</f>
        <v>4.1372560832418381</v>
      </c>
      <c r="K22" s="36"/>
    </row>
    <row r="23" spans="3:11" ht="15" thickBot="1" x14ac:dyDescent="0.4">
      <c r="C23" s="2" t="s">
        <v>28</v>
      </c>
      <c r="D23" s="26">
        <v>15930</v>
      </c>
      <c r="E23" s="3" t="s">
        <v>22</v>
      </c>
      <c r="F23" s="33">
        <v>10</v>
      </c>
      <c r="G23" s="28">
        <f>SUMPRODUCT(D10:J10,$D$12:$J$12)</f>
        <v>2814.33</v>
      </c>
      <c r="H23" s="7">
        <f>G23*F23</f>
        <v>28143.3</v>
      </c>
      <c r="I23" s="39">
        <f>K10-G23</f>
        <v>13115.67</v>
      </c>
      <c r="J23" s="41">
        <f>D23/G23</f>
        <v>5.660317020392065</v>
      </c>
      <c r="K23" s="36"/>
    </row>
    <row r="24" spans="3:11" ht="15" thickBot="1" x14ac:dyDescent="0.4">
      <c r="F24" s="32" t="s">
        <v>29</v>
      </c>
      <c r="G24" s="29">
        <f>SUM(G20:G23)</f>
        <v>50816.790000000008</v>
      </c>
      <c r="H24" s="30">
        <f>SUM(H20:H23)</f>
        <v>508167.89999999997</v>
      </c>
      <c r="I24" s="40">
        <f>SUM(I20:I23)</f>
        <v>98783.209999999992</v>
      </c>
      <c r="J24" s="41">
        <f>SUM(J20:J23)</f>
        <v>14.842559545806054</v>
      </c>
    </row>
    <row r="26" spans="3:11" ht="29" x14ac:dyDescent="0.35">
      <c r="C26" s="5" t="s">
        <v>36</v>
      </c>
      <c r="D26" s="27">
        <f>630*(D$11-SUMPRODUCT(D$7:D$10,$F$20:$F$23))</f>
        <v>136710</v>
      </c>
      <c r="E26" s="27">
        <f>630*(E$11-SUMPRODUCT(E7:E10,$F$20:$F$23))</f>
        <v>49801.5</v>
      </c>
      <c r="F26" s="27">
        <f>630*(F$11-SUMPRODUCT(F7:F10,$F$20:$F$23))</f>
        <v>1052.0999999999999</v>
      </c>
      <c r="G26" s="27"/>
      <c r="H26" s="27">
        <f>85*(H$11-SUMPRODUCT(H7:H10,$F$20:$F$23))</f>
        <v>280.5</v>
      </c>
      <c r="I26" s="27">
        <f>85*(I$11-SUMPRODUCT(I7:I10,$F$20:$F$23))</f>
        <v>773.5</v>
      </c>
      <c r="J26" s="31">
        <f>SUM(D26:I26)+900</f>
        <v>189517.6</v>
      </c>
    </row>
    <row r="29" spans="3:11" ht="29" x14ac:dyDescent="0.35">
      <c r="C29" s="5" t="s">
        <v>30</v>
      </c>
      <c r="D29" s="7">
        <f>SUMPRODUCT(D7:D10,$F$20:$F$23)</f>
        <v>13</v>
      </c>
      <c r="E29" s="7">
        <f t="shared" ref="E29:I29" si="2">SUMPRODUCT(E7:E10,$F$20:$F$23)</f>
        <v>1.4500000000000002</v>
      </c>
      <c r="F29" s="7">
        <f t="shared" si="2"/>
        <v>0.13</v>
      </c>
      <c r="G29" s="7">
        <f t="shared" si="2"/>
        <v>2300</v>
      </c>
      <c r="H29" s="7">
        <f t="shared" si="2"/>
        <v>1.7</v>
      </c>
      <c r="I29" s="7">
        <f t="shared" si="2"/>
        <v>0.9</v>
      </c>
      <c r="J29" s="7">
        <f>SUMPRODUCT(J7:J10,$F$20:$F$23)</f>
        <v>1590</v>
      </c>
    </row>
    <row r="31" spans="3:11" x14ac:dyDescent="0.35">
      <c r="E31" t="s">
        <v>40</v>
      </c>
      <c r="F31" t="s">
        <v>41</v>
      </c>
      <c r="G31" t="s">
        <v>42</v>
      </c>
    </row>
    <row r="32" spans="3:11" x14ac:dyDescent="0.35">
      <c r="E32" s="44">
        <f>F20+F21</f>
        <v>20</v>
      </c>
      <c r="F32" s="44">
        <f>SUM(F20:F23)</f>
        <v>40</v>
      </c>
      <c r="G32">
        <f>0.4*F32</f>
        <v>16</v>
      </c>
    </row>
    <row r="35" spans="3:4" x14ac:dyDescent="0.35">
      <c r="C35" s="42" t="s">
        <v>37</v>
      </c>
      <c r="D35" s="43">
        <v>500000</v>
      </c>
    </row>
  </sheetData>
  <mergeCells count="3">
    <mergeCell ref="D3:D5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1:K31"/>
  <sheetViews>
    <sheetView tabSelected="1" zoomScale="80" zoomScaleNormal="80" workbookViewId="0">
      <selection activeCell="P28" sqref="P28"/>
    </sheetView>
  </sheetViews>
  <sheetFormatPr defaultRowHeight="14.5" x14ac:dyDescent="0.35"/>
  <cols>
    <col min="1" max="2" width="2.1796875" customWidth="1"/>
    <col min="3" max="3" width="20.453125" customWidth="1"/>
    <col min="4" max="4" width="13.453125" bestFit="1" customWidth="1"/>
    <col min="5" max="5" width="17.81640625" customWidth="1"/>
    <col min="6" max="6" width="13.54296875" customWidth="1"/>
    <col min="7" max="7" width="12.7265625" customWidth="1"/>
    <col min="8" max="8" width="16.54296875" customWidth="1"/>
    <col min="9" max="9" width="14.26953125" customWidth="1"/>
    <col min="10" max="10" width="17.81640625" customWidth="1"/>
    <col min="11" max="11" width="13.7265625" customWidth="1"/>
    <col min="12" max="12" width="18.54296875" customWidth="1"/>
    <col min="13" max="13" width="14" bestFit="1" customWidth="1"/>
    <col min="14" max="14" width="11.453125" bestFit="1" customWidth="1"/>
    <col min="15" max="15" width="18.453125" bestFit="1" customWidth="1"/>
  </cols>
  <sheetData>
    <row r="1" spans="3:11" ht="15" thickBot="1" x14ac:dyDescent="0.4"/>
    <row r="2" spans="3:11" ht="26" x14ac:dyDescent="0.35">
      <c r="C2" s="8" t="s">
        <v>0</v>
      </c>
      <c r="D2" s="135" t="s">
        <v>2</v>
      </c>
      <c r="E2" s="9" t="s">
        <v>3</v>
      </c>
      <c r="F2" s="9" t="s">
        <v>5</v>
      </c>
      <c r="G2" s="135" t="s">
        <v>6</v>
      </c>
      <c r="H2" s="135" t="s">
        <v>7</v>
      </c>
      <c r="I2" s="9" t="s">
        <v>8</v>
      </c>
      <c r="J2" s="9" t="s">
        <v>10</v>
      </c>
      <c r="K2" s="10" t="s">
        <v>12</v>
      </c>
    </row>
    <row r="3" spans="3:11" x14ac:dyDescent="0.35">
      <c r="C3" s="11"/>
      <c r="D3" s="136"/>
      <c r="E3" s="12" t="s">
        <v>4</v>
      </c>
      <c r="F3" s="12" t="s">
        <v>4</v>
      </c>
      <c r="G3" s="136"/>
      <c r="H3" s="136"/>
      <c r="I3" s="12" t="s">
        <v>9</v>
      </c>
      <c r="J3" s="12" t="s">
        <v>11</v>
      </c>
      <c r="K3" s="13" t="s">
        <v>13</v>
      </c>
    </row>
    <row r="4" spans="3:11" ht="15" thickBot="1" x14ac:dyDescent="0.4">
      <c r="C4" s="14" t="s">
        <v>1</v>
      </c>
      <c r="D4" s="137"/>
      <c r="E4" s="15"/>
      <c r="F4" s="15"/>
      <c r="G4" s="137"/>
      <c r="H4" s="137"/>
      <c r="I4" s="15"/>
      <c r="J4" s="15"/>
      <c r="K4" s="16"/>
    </row>
    <row r="5" spans="3:11" ht="15" thickBot="1" x14ac:dyDescent="0.4">
      <c r="C5" s="17">
        <v>1</v>
      </c>
      <c r="D5" s="18">
        <v>2</v>
      </c>
      <c r="E5" s="18">
        <v>3</v>
      </c>
      <c r="F5" s="18">
        <v>4</v>
      </c>
      <c r="G5" s="18">
        <v>5</v>
      </c>
      <c r="H5" s="18">
        <v>6</v>
      </c>
      <c r="I5" s="18">
        <v>7</v>
      </c>
      <c r="J5" s="18">
        <v>8</v>
      </c>
      <c r="K5" s="16">
        <v>9</v>
      </c>
    </row>
    <row r="6" spans="3:11" ht="15" thickBot="1" x14ac:dyDescent="0.4">
      <c r="C6" s="17" t="s">
        <v>14</v>
      </c>
      <c r="D6" s="19">
        <v>0.6</v>
      </c>
      <c r="E6" s="20">
        <v>0.08</v>
      </c>
      <c r="F6" s="20">
        <v>6.0000000000000001E-3</v>
      </c>
      <c r="G6" s="20">
        <v>10</v>
      </c>
      <c r="H6" s="20">
        <v>5.0000000000000001E-3</v>
      </c>
      <c r="I6" s="20">
        <v>0.02</v>
      </c>
      <c r="J6" s="20">
        <v>55</v>
      </c>
      <c r="K6" s="35">
        <v>55650</v>
      </c>
    </row>
    <row r="7" spans="3:11" ht="15" thickBot="1" x14ac:dyDescent="0.4">
      <c r="C7" s="17" t="s">
        <v>15</v>
      </c>
      <c r="D7" s="17">
        <v>0.45</v>
      </c>
      <c r="E7" s="15">
        <v>0.04</v>
      </c>
      <c r="F7" s="15">
        <v>4.0000000000000001E-3</v>
      </c>
      <c r="G7" s="15">
        <v>20</v>
      </c>
      <c r="H7" s="15">
        <v>5.0000000000000001E-3</v>
      </c>
      <c r="I7" s="15">
        <v>1.4999999999999999E-2</v>
      </c>
      <c r="J7" s="15">
        <v>44</v>
      </c>
      <c r="K7" s="35">
        <v>44370</v>
      </c>
    </row>
    <row r="8" spans="3:11" ht="15" thickBot="1" x14ac:dyDescent="0.4">
      <c r="C8" s="17" t="s">
        <v>16</v>
      </c>
      <c r="D8" s="17">
        <v>0.2</v>
      </c>
      <c r="E8" s="15">
        <v>0.02</v>
      </c>
      <c r="F8" s="15">
        <v>2E-3</v>
      </c>
      <c r="G8" s="15">
        <v>80</v>
      </c>
      <c r="H8" s="15">
        <v>7.0000000000000007E-2</v>
      </c>
      <c r="I8" s="15">
        <v>1.4999999999999999E-2</v>
      </c>
      <c r="J8" s="15">
        <v>38</v>
      </c>
      <c r="K8" s="35">
        <v>33650</v>
      </c>
    </row>
    <row r="9" spans="3:11" ht="15" thickBot="1" x14ac:dyDescent="0.4">
      <c r="C9" s="17" t="s">
        <v>17</v>
      </c>
      <c r="D9" s="21">
        <v>0.05</v>
      </c>
      <c r="E9" s="22">
        <v>5.0000000000000001E-3</v>
      </c>
      <c r="F9" s="22">
        <v>1E-3</v>
      </c>
      <c r="G9" s="22">
        <v>120</v>
      </c>
      <c r="H9" s="22">
        <v>0.09</v>
      </c>
      <c r="I9" s="22">
        <v>0.04</v>
      </c>
      <c r="J9" s="22">
        <v>22</v>
      </c>
      <c r="K9" s="35">
        <v>15930</v>
      </c>
    </row>
    <row r="10" spans="3:11" ht="15" thickBot="1" x14ac:dyDescent="0.4">
      <c r="C10" s="23" t="s">
        <v>35</v>
      </c>
      <c r="D10" s="24">
        <v>230</v>
      </c>
      <c r="E10" s="24">
        <v>80.5</v>
      </c>
      <c r="F10" s="24">
        <v>1.8</v>
      </c>
      <c r="G10" s="24">
        <v>30000</v>
      </c>
      <c r="H10" s="24">
        <v>5</v>
      </c>
      <c r="I10" s="24">
        <v>10</v>
      </c>
      <c r="J10" s="24">
        <v>68500</v>
      </c>
      <c r="K10" s="15"/>
    </row>
    <row r="11" spans="3:11" ht="15" thickBot="1" x14ac:dyDescent="0.4">
      <c r="C11" s="25" t="s">
        <v>18</v>
      </c>
      <c r="D11" s="35">
        <v>34000</v>
      </c>
      <c r="E11" s="35">
        <v>13000</v>
      </c>
      <c r="F11" s="35">
        <v>21330</v>
      </c>
      <c r="G11" s="35">
        <v>0.4</v>
      </c>
      <c r="H11" s="35">
        <v>1000</v>
      </c>
      <c r="I11" s="35">
        <v>11250</v>
      </c>
      <c r="J11" s="35">
        <v>20</v>
      </c>
      <c r="K11" s="22"/>
    </row>
    <row r="12" spans="3:11" x14ac:dyDescent="0.35">
      <c r="K12" s="37"/>
    </row>
    <row r="13" spans="3:11" ht="58" x14ac:dyDescent="0.35">
      <c r="C13" s="5" t="s">
        <v>23</v>
      </c>
      <c r="D13" s="5" t="s">
        <v>33</v>
      </c>
      <c r="E13" s="5" t="s">
        <v>39</v>
      </c>
      <c r="K13" s="37"/>
    </row>
    <row r="14" spans="3:11" x14ac:dyDescent="0.35">
      <c r="C14" s="7">
        <f>SUMPRODUCT(D18:D21,F18:F21)</f>
        <v>24264901.999999974</v>
      </c>
      <c r="D14" s="7">
        <f>C14-H22</f>
        <v>15164825.829199987</v>
      </c>
      <c r="E14" s="34">
        <f>D14-J24-D31</f>
        <v>14633707.311777765</v>
      </c>
    </row>
    <row r="15" spans="3:11" x14ac:dyDescent="0.35">
      <c r="E15" t="s">
        <v>31</v>
      </c>
    </row>
    <row r="17" spans="3:11" ht="117" customHeight="1" x14ac:dyDescent="0.35">
      <c r="C17" s="4"/>
      <c r="D17" s="5" t="s">
        <v>26</v>
      </c>
      <c r="E17" s="1"/>
      <c r="F17" s="5" t="s">
        <v>32</v>
      </c>
      <c r="G17" s="6" t="s">
        <v>24</v>
      </c>
      <c r="H17" s="6" t="s">
        <v>25</v>
      </c>
      <c r="I17" s="38" t="s">
        <v>34</v>
      </c>
      <c r="J17" s="6" t="s">
        <v>38</v>
      </c>
    </row>
    <row r="18" spans="3:11" ht="15" thickBot="1" x14ac:dyDescent="0.4">
      <c r="C18" s="2" t="s">
        <v>14</v>
      </c>
      <c r="D18" s="26">
        <v>55650</v>
      </c>
      <c r="E18" s="3" t="s">
        <v>19</v>
      </c>
      <c r="F18" s="106">
        <f>10+10*0.2</f>
        <v>12</v>
      </c>
      <c r="G18" s="26">
        <f>SUMPRODUCT(D6:J6,$D$11:$J$11)</f>
        <v>22901.98</v>
      </c>
      <c r="H18" s="7">
        <f>G18*F18</f>
        <v>274823.76</v>
      </c>
      <c r="I18" s="39">
        <f>K6-G18</f>
        <v>32748.02</v>
      </c>
      <c r="J18" s="41">
        <f>D18/G18</f>
        <v>2.4299209064019793</v>
      </c>
      <c r="K18" s="36"/>
    </row>
    <row r="19" spans="3:11" ht="15" thickBot="1" x14ac:dyDescent="0.4">
      <c r="C19" s="2" t="s">
        <v>15</v>
      </c>
      <c r="D19" s="26">
        <v>44370</v>
      </c>
      <c r="E19" s="3" t="s">
        <v>20</v>
      </c>
      <c r="F19" s="106">
        <f>418.518518518518+418.518518518518*0.2</f>
        <v>502.2222222222216</v>
      </c>
      <c r="G19" s="26">
        <f>SUMPRODUCT(D7:J7,$D$11:$J$11)</f>
        <v>16967.07</v>
      </c>
      <c r="H19" s="7">
        <f>G19*F19</f>
        <v>8521239.5999999885</v>
      </c>
      <c r="I19" s="39">
        <f>K7-G19</f>
        <v>27402.93</v>
      </c>
      <c r="J19" s="41">
        <f>D19/G19</f>
        <v>2.6150655357701713</v>
      </c>
      <c r="K19" s="36"/>
    </row>
    <row r="20" spans="3:11" ht="15" thickBot="1" x14ac:dyDescent="0.4">
      <c r="C20" s="2" t="s">
        <v>27</v>
      </c>
      <c r="D20" s="26">
        <v>33650</v>
      </c>
      <c r="E20" s="3" t="s">
        <v>21</v>
      </c>
      <c r="F20" s="106">
        <f>27.4+0.2*27.4</f>
        <v>32.879999999999995</v>
      </c>
      <c r="G20" s="26">
        <f>SUMPRODUCT(D8:J8,$D$11:$J$11)</f>
        <v>8133.41</v>
      </c>
      <c r="H20" s="7">
        <f>G20*F20</f>
        <v>267426.52079999994</v>
      </c>
      <c r="I20" s="39">
        <f>K8-G20</f>
        <v>25516.59</v>
      </c>
      <c r="J20" s="41">
        <f>D20/G20</f>
        <v>4.1372560832418381</v>
      </c>
      <c r="K20" s="36"/>
    </row>
    <row r="21" spans="3:11" ht="15" thickBot="1" x14ac:dyDescent="0.4">
      <c r="C21" s="2" t="s">
        <v>28</v>
      </c>
      <c r="D21" s="26">
        <v>15930</v>
      </c>
      <c r="E21" s="3" t="s">
        <v>22</v>
      </c>
      <c r="F21" s="106">
        <f>10+10*0.3</f>
        <v>13</v>
      </c>
      <c r="G21" s="28">
        <f>SUMPRODUCT(D9:J9,$D$11:$J$11)</f>
        <v>2814.33</v>
      </c>
      <c r="H21" s="7">
        <f>G21*F21</f>
        <v>36586.29</v>
      </c>
      <c r="I21" s="39">
        <f>K9-G21</f>
        <v>13115.67</v>
      </c>
      <c r="J21" s="41">
        <f>D21/G21</f>
        <v>5.660317020392065</v>
      </c>
      <c r="K21" s="36"/>
    </row>
    <row r="22" spans="3:11" ht="15" thickBot="1" x14ac:dyDescent="0.4">
      <c r="F22" s="32" t="s">
        <v>29</v>
      </c>
      <c r="G22" s="29">
        <f>SUM(G18:G21)</f>
        <v>50816.790000000008</v>
      </c>
      <c r="H22" s="30">
        <f>SUM(H18:H21)</f>
        <v>9100076.1707999874</v>
      </c>
      <c r="I22" s="40">
        <f>SUM(I18:I21)</f>
        <v>98783.209999999992</v>
      </c>
      <c r="J22" s="41">
        <f>SUM(J18:J21)</f>
        <v>14.842559545806054</v>
      </c>
    </row>
    <row r="24" spans="3:11" ht="29" x14ac:dyDescent="0.35">
      <c r="C24" s="5" t="s">
        <v>36</v>
      </c>
      <c r="D24" s="27">
        <f>630*(D$10-SUMPRODUCT(D$6:D$9,$F$18:$F$21))</f>
        <v>-6568.3799999998137</v>
      </c>
      <c r="E24" s="27">
        <f>630*(E$10-SUMPRODUCT(E6:E9,$F$18:$F$21))</f>
        <v>36998.962000000014</v>
      </c>
      <c r="F24" s="27">
        <f>630*(F$10-SUMPRODUCT(F6:F9,$F$18:$F$21))</f>
        <v>-226.57879999999832</v>
      </c>
      <c r="G24" s="27"/>
      <c r="H24" s="27">
        <f>85*(H$10-SUMPRODUCT(H6:H9,$F$18:$F$21))</f>
        <v>-88.630444444444223</v>
      </c>
      <c r="I24" s="27">
        <f>85*(I$10-SUMPRODUCT(I6:I9,$F$18:$F$21))</f>
        <v>103.14466666666746</v>
      </c>
      <c r="J24" s="31">
        <f>SUM(D24:I24)+900</f>
        <v>31118.517422222423</v>
      </c>
    </row>
    <row r="27" spans="3:11" ht="29" x14ac:dyDescent="0.35">
      <c r="C27" s="5" t="s">
        <v>30</v>
      </c>
      <c r="D27" s="7">
        <f>SUMPRODUCT(D6:D9,$F$18:$F$21)</f>
        <v>240.4259999999997</v>
      </c>
      <c r="E27" s="7">
        <f t="shared" ref="E27:J27" si="0">SUMPRODUCT(E6:E9,$F$18:$F$21)</f>
        <v>21.771488888888864</v>
      </c>
      <c r="F27" s="7">
        <f t="shared" si="0"/>
        <v>2.1596488888888863</v>
      </c>
      <c r="G27" s="7">
        <f t="shared" si="0"/>
        <v>14354.844444444432</v>
      </c>
      <c r="H27" s="7">
        <f t="shared" si="0"/>
        <v>6.0427111111111085</v>
      </c>
      <c r="I27" s="7">
        <f t="shared" si="0"/>
        <v>8.786533333333324</v>
      </c>
      <c r="J27" s="7">
        <f t="shared" si="0"/>
        <v>24293.217777777751</v>
      </c>
    </row>
    <row r="29" spans="3:11" x14ac:dyDescent="0.35">
      <c r="E29" t="s">
        <v>40</v>
      </c>
      <c r="F29" t="s">
        <v>41</v>
      </c>
      <c r="G29" t="s">
        <v>42</v>
      </c>
    </row>
    <row r="30" spans="3:11" x14ac:dyDescent="0.35">
      <c r="E30" s="44">
        <f>F18+F19</f>
        <v>514.2222222222216</v>
      </c>
      <c r="F30" s="44">
        <f>SUM(F18:F21)</f>
        <v>560.1022222222216</v>
      </c>
      <c r="G30">
        <f>0.4*F30</f>
        <v>224.04088888888865</v>
      </c>
    </row>
    <row r="31" spans="3:11" x14ac:dyDescent="0.35">
      <c r="C31" s="42" t="s">
        <v>37</v>
      </c>
      <c r="D31" s="43">
        <v>500000</v>
      </c>
    </row>
  </sheetData>
  <mergeCells count="3">
    <mergeCell ref="D2:D4"/>
    <mergeCell ref="G2:G4"/>
    <mergeCell ref="H2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E758-3ED3-40A9-B271-06D1A3E7380B}">
  <dimension ref="A1:R34"/>
  <sheetViews>
    <sheetView topLeftCell="B1" zoomScale="79" workbookViewId="0">
      <selection activeCell="G3" sqref="G3"/>
    </sheetView>
  </sheetViews>
  <sheetFormatPr defaultRowHeight="14.5" x14ac:dyDescent="0.35"/>
  <cols>
    <col min="2" max="2" width="11.7265625" customWidth="1"/>
    <col min="3" max="3" width="14.6328125" customWidth="1"/>
    <col min="4" max="4" width="12.90625" customWidth="1"/>
    <col min="5" max="5" width="17.7265625" customWidth="1"/>
    <col min="8" max="8" width="11.08984375" customWidth="1"/>
    <col min="12" max="12" width="11.81640625" customWidth="1"/>
    <col min="13" max="13" width="12" customWidth="1"/>
    <col min="14" max="14" width="11.6328125" customWidth="1"/>
    <col min="15" max="15" width="12.26953125" customWidth="1"/>
    <col min="16" max="16" width="10.26953125" bestFit="1" customWidth="1"/>
    <col min="17" max="17" width="15.54296875" customWidth="1"/>
    <col min="18" max="18" width="10.81640625" bestFit="1" customWidth="1"/>
  </cols>
  <sheetData>
    <row r="1" spans="1:17" x14ac:dyDescent="0.35">
      <c r="A1" s="138" t="s">
        <v>63</v>
      </c>
      <c r="B1" s="139"/>
      <c r="C1" s="139"/>
      <c r="D1" s="139"/>
      <c r="E1" s="139"/>
      <c r="F1" s="139"/>
      <c r="G1" s="139"/>
      <c r="H1" s="139"/>
      <c r="I1" s="139"/>
      <c r="J1" s="140"/>
    </row>
    <row r="2" spans="1:17" x14ac:dyDescent="0.35">
      <c r="A2" s="118"/>
      <c r="B2" s="111"/>
      <c r="C2" s="110" t="s">
        <v>51</v>
      </c>
      <c r="D2" s="110" t="s">
        <v>49</v>
      </c>
      <c r="E2" s="110" t="s">
        <v>50</v>
      </c>
      <c r="F2" s="111"/>
      <c r="G2" s="111"/>
      <c r="H2" s="111"/>
      <c r="I2" s="111"/>
      <c r="J2" s="112"/>
      <c r="M2" s="107" t="s">
        <v>51</v>
      </c>
      <c r="N2" s="107" t="s">
        <v>49</v>
      </c>
      <c r="O2" s="107" t="s">
        <v>50</v>
      </c>
    </row>
    <row r="3" spans="1:17" x14ac:dyDescent="0.35">
      <c r="A3" s="118"/>
      <c r="B3" s="110" t="s">
        <v>47</v>
      </c>
      <c r="C3" s="111">
        <v>298680.00000000012</v>
      </c>
      <c r="D3" s="111">
        <v>298680.00000000012</v>
      </c>
      <c r="E3" s="111">
        <v>298680.00000000012</v>
      </c>
      <c r="F3" s="111"/>
      <c r="G3" s="111">
        <f>3237621-216630</f>
        <v>3020991</v>
      </c>
      <c r="H3" s="111"/>
      <c r="I3" s="111"/>
      <c r="J3" s="112"/>
      <c r="L3" s="107" t="s">
        <v>47</v>
      </c>
      <c r="M3" s="130">
        <v>6256686</v>
      </c>
      <c r="N3" s="130">
        <v>6256686</v>
      </c>
      <c r="O3" s="130">
        <v>6256686</v>
      </c>
    </row>
    <row r="4" spans="1:17" x14ac:dyDescent="0.35">
      <c r="A4" s="118"/>
      <c r="B4" s="110" t="s">
        <v>48</v>
      </c>
      <c r="C4" s="127">
        <v>-6417316.7453703694</v>
      </c>
      <c r="D4" s="127">
        <v>12082113.625</v>
      </c>
      <c r="E4" s="127">
        <v>12082113.625</v>
      </c>
      <c r="F4" s="111"/>
      <c r="G4" s="111"/>
      <c r="H4" s="111"/>
      <c r="I4" s="111"/>
      <c r="J4" s="112"/>
      <c r="L4" s="107" t="s">
        <v>48</v>
      </c>
      <c r="M4" s="127">
        <v>-6917316.7453703694</v>
      </c>
      <c r="N4" s="128">
        <v>12082113.625</v>
      </c>
      <c r="O4" s="128">
        <v>12082113.625</v>
      </c>
    </row>
    <row r="5" spans="1:17" x14ac:dyDescent="0.35">
      <c r="A5" s="118"/>
      <c r="B5" s="110" t="s">
        <v>52</v>
      </c>
      <c r="C5" s="121">
        <v>-186419.99999999988</v>
      </c>
      <c r="D5" s="121">
        <v>13003378.270334158</v>
      </c>
      <c r="E5" s="127">
        <v>21820886.762000822</v>
      </c>
      <c r="F5" s="111"/>
      <c r="G5" s="111"/>
      <c r="H5" s="111"/>
      <c r="I5" s="111"/>
      <c r="J5" s="112"/>
      <c r="L5" s="107" t="s">
        <v>52</v>
      </c>
      <c r="M5" s="128">
        <v>-8049683.2379991766</v>
      </c>
      <c r="N5" s="129">
        <v>3020991</v>
      </c>
      <c r="O5" s="127">
        <v>21820886.762000822</v>
      </c>
    </row>
    <row r="6" spans="1:17" x14ac:dyDescent="0.35">
      <c r="A6" s="118"/>
      <c r="B6" s="111"/>
      <c r="C6" s="111"/>
      <c r="D6" s="111"/>
      <c r="E6" s="111"/>
      <c r="F6" s="111"/>
      <c r="G6" s="111"/>
      <c r="H6" s="111"/>
      <c r="I6" s="111"/>
      <c r="J6" s="112"/>
    </row>
    <row r="7" spans="1:17" x14ac:dyDescent="0.35">
      <c r="A7" s="118"/>
      <c r="B7" s="111"/>
      <c r="C7" s="111"/>
      <c r="D7" s="111"/>
      <c r="E7" s="111"/>
      <c r="F7" s="111"/>
      <c r="G7" s="111"/>
      <c r="H7" s="111"/>
      <c r="I7" s="111"/>
      <c r="J7" s="112"/>
    </row>
    <row r="8" spans="1:17" x14ac:dyDescent="0.35">
      <c r="A8" s="118" t="s">
        <v>57</v>
      </c>
      <c r="B8" s="110" t="s">
        <v>56</v>
      </c>
      <c r="C8" s="111"/>
      <c r="D8" s="111"/>
      <c r="E8" s="111"/>
      <c r="F8" s="111"/>
      <c r="G8" s="111"/>
      <c r="H8" s="111"/>
      <c r="I8" s="111"/>
      <c r="J8" s="112"/>
    </row>
    <row r="9" spans="1:17" x14ac:dyDescent="0.35">
      <c r="A9" s="119">
        <v>10</v>
      </c>
      <c r="B9" s="111">
        <v>10</v>
      </c>
      <c r="C9" s="113">
        <f>A9-B9</f>
        <v>0</v>
      </c>
      <c r="D9" s="111"/>
      <c r="E9" s="111"/>
      <c r="G9" s="111"/>
      <c r="H9" s="111"/>
      <c r="I9" s="111"/>
      <c r="J9" s="112"/>
    </row>
    <row r="10" spans="1:17" x14ac:dyDescent="0.35">
      <c r="A10" s="119">
        <v>418.51851851851848</v>
      </c>
      <c r="B10" s="111">
        <v>10</v>
      </c>
      <c r="C10" s="113">
        <f t="shared" ref="C10:C12" si="0">A10-B10</f>
        <v>408.51851851851848</v>
      </c>
      <c r="D10" s="111"/>
      <c r="E10" s="111"/>
      <c r="G10" s="111"/>
      <c r="H10" s="111"/>
      <c r="I10" s="111"/>
      <c r="J10" s="112"/>
    </row>
    <row r="11" spans="1:17" x14ac:dyDescent="0.35">
      <c r="A11" s="119">
        <v>27.962962962962955</v>
      </c>
      <c r="B11" s="111">
        <v>10</v>
      </c>
      <c r="C11" s="113">
        <f t="shared" si="0"/>
        <v>17.962962962962955</v>
      </c>
      <c r="D11" s="111"/>
      <c r="E11" s="111"/>
      <c r="G11" s="111"/>
      <c r="H11" s="111"/>
      <c r="I11" s="111"/>
      <c r="J11" s="112"/>
    </row>
    <row r="12" spans="1:17" x14ac:dyDescent="0.35">
      <c r="A12" s="119">
        <v>10</v>
      </c>
      <c r="B12" s="111">
        <v>10</v>
      </c>
      <c r="C12" s="113">
        <f t="shared" si="0"/>
        <v>0</v>
      </c>
      <c r="D12" s="111"/>
      <c r="E12" s="111"/>
      <c r="G12" s="111"/>
      <c r="H12" s="111"/>
      <c r="I12" s="111"/>
      <c r="J12" s="112"/>
    </row>
    <row r="13" spans="1:17" x14ac:dyDescent="0.35">
      <c r="A13" s="118"/>
      <c r="B13" s="111"/>
      <c r="C13" s="113">
        <f>SUM(C9:C12)</f>
        <v>426.48148148148141</v>
      </c>
      <c r="D13" s="111">
        <f>C13*630</f>
        <v>268683.33333333331</v>
      </c>
      <c r="E13" s="111"/>
      <c r="F13" s="111"/>
      <c r="G13" s="111"/>
      <c r="H13" s="111"/>
      <c r="I13" s="111"/>
      <c r="J13" s="112"/>
    </row>
    <row r="14" spans="1:17" x14ac:dyDescent="0.35">
      <c r="A14" s="118"/>
      <c r="B14" s="111"/>
      <c r="C14" s="111" t="s">
        <v>55</v>
      </c>
      <c r="D14" s="110">
        <f>C3-D13</f>
        <v>29996.666666666802</v>
      </c>
      <c r="E14" s="111"/>
      <c r="F14" s="111"/>
      <c r="G14" s="111"/>
      <c r="H14" s="111"/>
      <c r="I14" s="111"/>
      <c r="J14" s="112"/>
    </row>
    <row r="15" spans="1:17" x14ac:dyDescent="0.35">
      <c r="A15" s="118"/>
      <c r="B15" s="111"/>
      <c r="C15" s="111"/>
      <c r="D15" s="111"/>
      <c r="E15" s="111"/>
      <c r="F15" s="111"/>
      <c r="G15" s="111"/>
      <c r="H15" s="111"/>
      <c r="I15" s="111"/>
      <c r="J15" s="112"/>
      <c r="L15" s="116" t="s">
        <v>60</v>
      </c>
    </row>
    <row r="16" spans="1:17" x14ac:dyDescent="0.35">
      <c r="A16" s="118"/>
      <c r="B16" s="111"/>
      <c r="C16" s="111"/>
      <c r="D16" s="111"/>
      <c r="E16" s="111"/>
      <c r="F16" s="111"/>
      <c r="G16" s="111"/>
      <c r="H16" s="111"/>
      <c r="I16" s="111"/>
      <c r="J16" s="112"/>
      <c r="L16" s="107" t="s">
        <v>51</v>
      </c>
      <c r="M16" s="107" t="s">
        <v>49</v>
      </c>
      <c r="N16" s="107" t="s">
        <v>50</v>
      </c>
      <c r="O16">
        <v>0.2</v>
      </c>
      <c r="P16">
        <v>0.5</v>
      </c>
      <c r="Q16">
        <v>0.3</v>
      </c>
    </row>
    <row r="17" spans="1:18" x14ac:dyDescent="0.35">
      <c r="A17" s="118"/>
      <c r="C17" s="111">
        <v>12082113.625</v>
      </c>
      <c r="D17" s="111"/>
      <c r="E17" s="111"/>
      <c r="F17" s="111">
        <v>298680.00000000012</v>
      </c>
      <c r="G17" s="111"/>
      <c r="H17" s="111"/>
      <c r="I17" s="111"/>
      <c r="J17" s="112"/>
      <c r="K17" s="107" t="s">
        <v>47</v>
      </c>
      <c r="L17" s="130">
        <v>6256686</v>
      </c>
      <c r="M17" s="130">
        <v>6256686</v>
      </c>
      <c r="N17" s="130">
        <v>6256686</v>
      </c>
      <c r="O17">
        <f>L17*$O$16</f>
        <v>1251337.2</v>
      </c>
      <c r="P17">
        <f>M17*$P$16</f>
        <v>3128343</v>
      </c>
      <c r="Q17">
        <f>N17*$Q$16</f>
        <v>1877005.8</v>
      </c>
      <c r="R17">
        <f>SUM(O17:Q17)</f>
        <v>6256686</v>
      </c>
    </row>
    <row r="18" spans="1:18" x14ac:dyDescent="0.35">
      <c r="A18" s="118" t="s">
        <v>57</v>
      </c>
      <c r="B18" s="111" t="s">
        <v>58</v>
      </c>
      <c r="C18" s="111"/>
      <c r="D18" s="111"/>
      <c r="E18" s="111"/>
      <c r="F18" s="111" t="s">
        <v>58</v>
      </c>
      <c r="G18" s="110" t="s">
        <v>56</v>
      </c>
      <c r="H18" s="111"/>
      <c r="I18" s="111"/>
      <c r="J18" s="112"/>
      <c r="K18" s="107" t="s">
        <v>48</v>
      </c>
      <c r="L18" s="127">
        <v>-6917316.7453703694</v>
      </c>
      <c r="M18" s="128">
        <v>12082113.625</v>
      </c>
      <c r="N18" s="128">
        <v>12082113.625</v>
      </c>
      <c r="O18">
        <f t="shared" ref="O18:O19" si="1">L18*$O$16</f>
        <v>-1383463.3490740741</v>
      </c>
      <c r="P18">
        <f t="shared" ref="P18:P19" si="2">M18*$P$16</f>
        <v>6041056.8125</v>
      </c>
      <c r="Q18">
        <f t="shared" ref="Q18:Q19" si="3">N18*$Q$16</f>
        <v>3624634.0874999999</v>
      </c>
      <c r="R18" s="132">
        <f t="shared" ref="R18:R19" si="4">SUM(O18:Q18)</f>
        <v>8282227.5509259254</v>
      </c>
    </row>
    <row r="19" spans="1:18" ht="15" thickBot="1" x14ac:dyDescent="0.4">
      <c r="A19" s="119">
        <v>10</v>
      </c>
      <c r="B19" s="33">
        <v>10</v>
      </c>
      <c r="C19" s="113">
        <f>B19-A19</f>
        <v>0</v>
      </c>
      <c r="D19" s="111"/>
      <c r="E19" s="111"/>
      <c r="F19" s="33">
        <v>10</v>
      </c>
      <c r="G19" s="111">
        <v>10</v>
      </c>
      <c r="H19" s="113">
        <f>F19-G19</f>
        <v>0</v>
      </c>
      <c r="I19" s="111"/>
      <c r="J19" s="112"/>
      <c r="K19" s="107" t="s">
        <v>52</v>
      </c>
      <c r="L19" s="128">
        <v>-8049683.2379991766</v>
      </c>
      <c r="M19" s="129">
        <v>3020991</v>
      </c>
      <c r="N19" s="127">
        <v>21820886.762000822</v>
      </c>
      <c r="O19">
        <f t="shared" si="1"/>
        <v>-1609936.6475998354</v>
      </c>
      <c r="P19">
        <f t="shared" si="2"/>
        <v>1510495.5</v>
      </c>
      <c r="Q19">
        <f t="shared" si="3"/>
        <v>6546266.0286002466</v>
      </c>
      <c r="R19" s="131">
        <f t="shared" si="4"/>
        <v>6446824.8810004108</v>
      </c>
    </row>
    <row r="20" spans="1:18" ht="15" thickBot="1" x14ac:dyDescent="0.4">
      <c r="A20" s="119">
        <v>418.51851851851848</v>
      </c>
      <c r="B20" s="33">
        <v>314.00000000000011</v>
      </c>
      <c r="C20" s="113">
        <f t="shared" ref="C20:C22" si="5">B20-A20</f>
        <v>-104.51851851851836</v>
      </c>
      <c r="D20" s="111"/>
      <c r="E20" s="111"/>
      <c r="F20" s="33">
        <v>314.00000000000011</v>
      </c>
      <c r="G20" s="111">
        <v>10</v>
      </c>
      <c r="H20" s="113">
        <f t="shared" ref="H20:H22" si="6">F20-G20</f>
        <v>304.00000000000011</v>
      </c>
      <c r="I20" s="111"/>
      <c r="J20" s="112"/>
      <c r="R20">
        <f>MAX(R17:R19)</f>
        <v>8282227.5509259254</v>
      </c>
    </row>
    <row r="21" spans="1:18" ht="15" thickBot="1" x14ac:dyDescent="0.4">
      <c r="A21" s="119">
        <v>27.962962962962955</v>
      </c>
      <c r="B21" s="33">
        <v>475.99999999999989</v>
      </c>
      <c r="C21" s="113">
        <f t="shared" si="5"/>
        <v>448.03703703703695</v>
      </c>
      <c r="D21" s="111"/>
      <c r="E21" s="111"/>
      <c r="F21" s="33">
        <v>475.99999999999989</v>
      </c>
      <c r="G21" s="111">
        <v>10</v>
      </c>
      <c r="H21" s="113">
        <f t="shared" si="6"/>
        <v>465.99999999999989</v>
      </c>
      <c r="I21" s="111"/>
      <c r="J21" s="112"/>
    </row>
    <row r="22" spans="1:18" ht="15" thickBot="1" x14ac:dyDescent="0.4">
      <c r="A22" s="119">
        <v>10</v>
      </c>
      <c r="B22" s="33">
        <v>10</v>
      </c>
      <c r="C22" s="113">
        <f t="shared" si="5"/>
        <v>0</v>
      </c>
      <c r="D22" s="111"/>
      <c r="E22" s="111"/>
      <c r="F22" s="33">
        <v>10</v>
      </c>
      <c r="G22" s="111">
        <v>10</v>
      </c>
      <c r="H22" s="113">
        <f t="shared" si="6"/>
        <v>0</v>
      </c>
      <c r="I22" s="111"/>
      <c r="J22" s="112"/>
      <c r="L22" t="s">
        <v>61</v>
      </c>
    </row>
    <row r="23" spans="1:18" x14ac:dyDescent="0.35">
      <c r="A23" s="118"/>
      <c r="B23" s="111"/>
      <c r="C23" s="113">
        <f>SUM(C19:C22)</f>
        <v>343.51851851851859</v>
      </c>
      <c r="D23" s="111">
        <f>C23*630</f>
        <v>216416.66666666672</v>
      </c>
      <c r="E23" s="111"/>
      <c r="F23" s="111"/>
      <c r="G23" s="111"/>
      <c r="H23" s="113">
        <f>SUM(H19:H22)</f>
        <v>770</v>
      </c>
      <c r="I23" s="111">
        <f>H23*630</f>
        <v>485100</v>
      </c>
      <c r="J23" s="112"/>
      <c r="L23" s="107" t="s">
        <v>51</v>
      </c>
      <c r="M23" s="107" t="s">
        <v>49</v>
      </c>
      <c r="N23" s="107" t="s">
        <v>50</v>
      </c>
    </row>
    <row r="24" spans="1:18" x14ac:dyDescent="0.35">
      <c r="A24" s="118"/>
      <c r="B24" s="111"/>
      <c r="C24" s="111" t="s">
        <v>54</v>
      </c>
      <c r="D24" s="123">
        <f>C17-D23</f>
        <v>11865696.958333334</v>
      </c>
      <c r="E24" s="111"/>
      <c r="F24" s="111" t="s">
        <v>59</v>
      </c>
      <c r="G24" s="111"/>
      <c r="H24" s="113">
        <f>F17-I23</f>
        <v>-186419.99999999988</v>
      </c>
      <c r="I24" s="111"/>
      <c r="J24" s="112"/>
      <c r="K24" s="107" t="s">
        <v>47</v>
      </c>
      <c r="L24" s="130">
        <v>6256686</v>
      </c>
      <c r="M24" s="130">
        <v>6256686</v>
      </c>
      <c r="N24" s="130">
        <v>6256686</v>
      </c>
      <c r="O24" s="109">
        <f>$L$27-L24</f>
        <v>0</v>
      </c>
      <c r="P24" s="109">
        <f>$M$27-M24</f>
        <v>6746692.2703341581</v>
      </c>
      <c r="Q24" s="109">
        <f>$N$27-N24</f>
        <v>15564200.762000822</v>
      </c>
      <c r="R24" s="109">
        <f>MAX(O24:Q24)</f>
        <v>15564200.762000822</v>
      </c>
    </row>
    <row r="25" spans="1:18" x14ac:dyDescent="0.35">
      <c r="A25" s="118"/>
      <c r="B25" s="111"/>
      <c r="C25" s="111">
        <v>21820886.762000822</v>
      </c>
      <c r="D25" s="111">
        <f>C25-D23</f>
        <v>21604470.095334154</v>
      </c>
      <c r="E25" s="111"/>
      <c r="F25" s="111"/>
      <c r="G25" s="111"/>
      <c r="H25" s="111"/>
      <c r="I25" s="111"/>
      <c r="J25" s="112"/>
      <c r="K25" s="107" t="s">
        <v>48</v>
      </c>
      <c r="L25" s="127">
        <v>-6917316.7453703694</v>
      </c>
      <c r="M25" s="128">
        <v>12082113.625</v>
      </c>
      <c r="N25" s="128">
        <v>12082113.625</v>
      </c>
      <c r="O25" s="109">
        <f t="shared" ref="O25:O26" si="7">$L$27-L25</f>
        <v>13174002.745370369</v>
      </c>
      <c r="P25" s="109">
        <f t="shared" ref="P25:P26" si="8">$M$27-M25</f>
        <v>921264.64533415809</v>
      </c>
      <c r="Q25" s="109">
        <f t="shared" ref="Q25:Q26" si="9">$N$27-N25</f>
        <v>9738773.1370008215</v>
      </c>
      <c r="R25" s="133">
        <f t="shared" ref="R25:R26" si="10">MAX(O25:Q25)</f>
        <v>13174002.745370369</v>
      </c>
    </row>
    <row r="26" spans="1:18" ht="15" thickBot="1" x14ac:dyDescent="0.4">
      <c r="A26" s="120"/>
      <c r="B26" s="122" t="s">
        <v>64</v>
      </c>
      <c r="C26" s="122">
        <v>-1137681.3120008237</v>
      </c>
      <c r="D26" s="122">
        <f>C17-C26-D23</f>
        <v>13003378.270334158</v>
      </c>
      <c r="E26" s="114"/>
      <c r="F26" s="114"/>
      <c r="G26" s="114"/>
      <c r="H26" s="114"/>
      <c r="I26" s="114"/>
      <c r="J26" s="115"/>
      <c r="K26" s="107" t="s">
        <v>52</v>
      </c>
      <c r="L26" s="128">
        <v>-8049683.2379991766</v>
      </c>
      <c r="M26" s="129">
        <v>3020991</v>
      </c>
      <c r="N26" s="127">
        <v>21820886.762000822</v>
      </c>
      <c r="O26" s="109">
        <f t="shared" si="7"/>
        <v>14306369.237999177</v>
      </c>
      <c r="P26" s="109">
        <f t="shared" si="8"/>
        <v>9982387.2703341581</v>
      </c>
      <c r="Q26" s="109">
        <f t="shared" si="9"/>
        <v>0</v>
      </c>
      <c r="R26" s="134">
        <f t="shared" si="10"/>
        <v>14306369.237999177</v>
      </c>
    </row>
    <row r="27" spans="1:18" x14ac:dyDescent="0.35">
      <c r="L27" s="109">
        <f>MAX(L24:L26)</f>
        <v>6256686</v>
      </c>
      <c r="M27" s="111">
        <v>13003378.270334158</v>
      </c>
      <c r="N27" s="109">
        <f>MAX(N24:N26)</f>
        <v>21820886.762000822</v>
      </c>
      <c r="R27" s="109">
        <f>MIN(R24:R26)</f>
        <v>13174002.745370369</v>
      </c>
    </row>
    <row r="29" spans="1:18" x14ac:dyDescent="0.35">
      <c r="L29" t="s">
        <v>62</v>
      </c>
    </row>
    <row r="30" spans="1:18" x14ac:dyDescent="0.35">
      <c r="L30" s="107" t="s">
        <v>51</v>
      </c>
      <c r="M30" s="107" t="s">
        <v>49</v>
      </c>
      <c r="N30" s="107" t="s">
        <v>50</v>
      </c>
    </row>
    <row r="31" spans="1:18" x14ac:dyDescent="0.35">
      <c r="K31" s="107" t="s">
        <v>47</v>
      </c>
      <c r="L31" s="130">
        <v>6256686</v>
      </c>
      <c r="M31" s="130">
        <v>6256686</v>
      </c>
      <c r="N31" s="130">
        <v>6256686</v>
      </c>
      <c r="O31" s="117">
        <f>MIN(L31:N31)</f>
        <v>6256686</v>
      </c>
    </row>
    <row r="32" spans="1:18" x14ac:dyDescent="0.35">
      <c r="K32" s="107" t="s">
        <v>48</v>
      </c>
      <c r="L32" s="127">
        <v>-6417316.7453703694</v>
      </c>
      <c r="M32" s="128">
        <v>12082113.625</v>
      </c>
      <c r="N32" s="128">
        <v>12082113.625</v>
      </c>
      <c r="O32" s="109">
        <f t="shared" ref="O32:O33" si="11">MIN(L32:N32)</f>
        <v>-6417316.7453703694</v>
      </c>
    </row>
    <row r="33" spans="11:15" x14ac:dyDescent="0.35">
      <c r="K33" s="107" t="s">
        <v>52</v>
      </c>
      <c r="L33" s="128">
        <v>-8049683.2379991766</v>
      </c>
      <c r="M33" s="129">
        <v>3020991</v>
      </c>
      <c r="N33" s="127">
        <v>21820886.762000822</v>
      </c>
      <c r="O33" s="109">
        <f t="shared" si="11"/>
        <v>-8049683.2379991766</v>
      </c>
    </row>
    <row r="34" spans="11:15" x14ac:dyDescent="0.35">
      <c r="L34" s="109"/>
      <c r="M34" s="109"/>
      <c r="N34" s="109"/>
      <c r="O34" s="109">
        <f>MAX(O31:O33)</f>
        <v>6256686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O35"/>
  <sheetViews>
    <sheetView zoomScale="80" zoomScaleNormal="80" workbookViewId="0">
      <selection activeCell="E16" sqref="E16"/>
    </sheetView>
  </sheetViews>
  <sheetFormatPr defaultRowHeight="14.5" x14ac:dyDescent="0.35"/>
  <cols>
    <col min="1" max="2" width="2.1796875" customWidth="1"/>
    <col min="3" max="3" width="20.453125" customWidth="1"/>
    <col min="4" max="4" width="13.453125" bestFit="1" customWidth="1"/>
    <col min="5" max="5" width="17.81640625" customWidth="1"/>
    <col min="6" max="6" width="13.54296875" customWidth="1"/>
    <col min="7" max="7" width="12.7265625" customWidth="1"/>
    <col min="8" max="8" width="16.54296875" customWidth="1"/>
    <col min="9" max="9" width="14.26953125" customWidth="1"/>
    <col min="10" max="10" width="17.81640625" customWidth="1"/>
    <col min="11" max="11" width="13.7265625" customWidth="1"/>
    <col min="12" max="12" width="18.54296875" customWidth="1"/>
    <col min="13" max="13" width="14" bestFit="1" customWidth="1"/>
    <col min="14" max="14" width="11.453125" bestFit="1" customWidth="1"/>
    <col min="15" max="15" width="18.453125" bestFit="1" customWidth="1"/>
  </cols>
  <sheetData>
    <row r="2" spans="3:15" ht="15" thickBot="1" x14ac:dyDescent="0.4"/>
    <row r="3" spans="3:15" ht="26" x14ac:dyDescent="0.35">
      <c r="C3" s="8" t="s">
        <v>0</v>
      </c>
      <c r="D3" s="135" t="s">
        <v>2</v>
      </c>
      <c r="E3" s="9" t="s">
        <v>3</v>
      </c>
      <c r="F3" s="9" t="s">
        <v>5</v>
      </c>
      <c r="G3" s="135" t="s">
        <v>6</v>
      </c>
      <c r="H3" s="135" t="s">
        <v>7</v>
      </c>
      <c r="I3" s="9" t="s">
        <v>8</v>
      </c>
      <c r="J3" s="9" t="s">
        <v>10</v>
      </c>
      <c r="K3" s="10" t="s">
        <v>12</v>
      </c>
    </row>
    <row r="4" spans="3:15" x14ac:dyDescent="0.35">
      <c r="C4" s="11"/>
      <c r="D4" s="136"/>
      <c r="E4" s="12" t="s">
        <v>4</v>
      </c>
      <c r="F4" s="12" t="s">
        <v>4</v>
      </c>
      <c r="G4" s="136"/>
      <c r="H4" s="136"/>
      <c r="I4" s="12" t="s">
        <v>9</v>
      </c>
      <c r="J4" s="12" t="s">
        <v>11</v>
      </c>
      <c r="K4" s="13" t="s">
        <v>13</v>
      </c>
    </row>
    <row r="5" spans="3:15" ht="15" thickBot="1" x14ac:dyDescent="0.4">
      <c r="C5" s="14" t="s">
        <v>1</v>
      </c>
      <c r="D5" s="137"/>
      <c r="E5" s="15"/>
      <c r="F5" s="15"/>
      <c r="G5" s="137"/>
      <c r="H5" s="137"/>
      <c r="I5" s="15"/>
      <c r="J5" s="15"/>
      <c r="K5" s="16"/>
    </row>
    <row r="6" spans="3:15" ht="15" thickBot="1" x14ac:dyDescent="0.4">
      <c r="C6" s="17">
        <v>1</v>
      </c>
      <c r="D6" s="18">
        <v>2</v>
      </c>
      <c r="E6" s="18">
        <v>3</v>
      </c>
      <c r="F6" s="18">
        <v>4</v>
      </c>
      <c r="G6" s="18">
        <v>5</v>
      </c>
      <c r="H6" s="18">
        <v>6</v>
      </c>
      <c r="I6" s="18">
        <v>7</v>
      </c>
      <c r="J6" s="18">
        <v>8</v>
      </c>
      <c r="K6" s="16">
        <v>9</v>
      </c>
    </row>
    <row r="7" spans="3:15" ht="15" thickBot="1" x14ac:dyDescent="0.4">
      <c r="C7" s="17" t="s">
        <v>14</v>
      </c>
      <c r="D7" s="19">
        <v>0.6</v>
      </c>
      <c r="E7" s="20">
        <v>0.08</v>
      </c>
      <c r="F7" s="20">
        <v>6.0000000000000001E-3</v>
      </c>
      <c r="G7" s="20">
        <v>10</v>
      </c>
      <c r="H7" s="20">
        <v>5.0000000000000001E-3</v>
      </c>
      <c r="I7" s="20">
        <v>0.02</v>
      </c>
      <c r="J7" s="20">
        <v>55</v>
      </c>
      <c r="K7" s="35">
        <v>55650</v>
      </c>
    </row>
    <row r="8" spans="3:15" ht="15" thickBot="1" x14ac:dyDescent="0.4">
      <c r="C8" s="17" t="s">
        <v>15</v>
      </c>
      <c r="D8" s="17">
        <v>0.45</v>
      </c>
      <c r="E8" s="15">
        <v>0.04</v>
      </c>
      <c r="F8" s="15">
        <v>4.0000000000000001E-3</v>
      </c>
      <c r="G8" s="15">
        <v>20</v>
      </c>
      <c r="H8" s="15">
        <v>5.0000000000000001E-3</v>
      </c>
      <c r="I8" s="15">
        <v>1.4999999999999999E-2</v>
      </c>
      <c r="J8" s="15">
        <v>44</v>
      </c>
      <c r="K8" s="35">
        <v>44370</v>
      </c>
    </row>
    <row r="9" spans="3:15" ht="15" thickBot="1" x14ac:dyDescent="0.4">
      <c r="C9" s="17" t="s">
        <v>16</v>
      </c>
      <c r="D9" s="17">
        <v>0.2</v>
      </c>
      <c r="E9" s="15">
        <v>0.02</v>
      </c>
      <c r="F9" s="15">
        <v>2E-3</v>
      </c>
      <c r="G9" s="15">
        <v>80</v>
      </c>
      <c r="H9" s="15">
        <v>7.0000000000000007E-2</v>
      </c>
      <c r="I9" s="15">
        <v>1.4999999999999999E-2</v>
      </c>
      <c r="J9" s="15">
        <v>38</v>
      </c>
      <c r="K9" s="35">
        <v>33650</v>
      </c>
    </row>
    <row r="10" spans="3:15" ht="15" thickBot="1" x14ac:dyDescent="0.4">
      <c r="C10" s="17" t="s">
        <v>17</v>
      </c>
      <c r="D10" s="21">
        <v>0.05</v>
      </c>
      <c r="E10" s="22">
        <v>5.0000000000000001E-3</v>
      </c>
      <c r="F10" s="22">
        <v>1E-3</v>
      </c>
      <c r="G10" s="22">
        <v>120</v>
      </c>
      <c r="H10" s="22">
        <v>0.09</v>
      </c>
      <c r="I10" s="22">
        <v>0.04</v>
      </c>
      <c r="J10" s="22">
        <v>22</v>
      </c>
      <c r="K10" s="35">
        <v>15930</v>
      </c>
    </row>
    <row r="11" spans="3:15" ht="15" thickBot="1" x14ac:dyDescent="0.4">
      <c r="C11" s="23" t="s">
        <v>35</v>
      </c>
      <c r="D11" s="24">
        <v>230</v>
      </c>
      <c r="E11" s="24">
        <v>80.5</v>
      </c>
      <c r="F11" s="24">
        <v>1.8</v>
      </c>
      <c r="G11" s="24">
        <v>30000</v>
      </c>
      <c r="H11" s="24">
        <v>0.7</v>
      </c>
      <c r="I11" s="24">
        <v>10</v>
      </c>
      <c r="J11" s="24">
        <v>68500</v>
      </c>
      <c r="K11" s="15"/>
    </row>
    <row r="12" spans="3:15" ht="15" thickBot="1" x14ac:dyDescent="0.4">
      <c r="C12" s="25" t="s">
        <v>18</v>
      </c>
      <c r="D12" s="35">
        <v>34000</v>
      </c>
      <c r="E12" s="35">
        <v>13000</v>
      </c>
      <c r="F12" s="35">
        <v>21330</v>
      </c>
      <c r="G12" s="35">
        <v>0.4</v>
      </c>
      <c r="H12" s="35">
        <v>1000</v>
      </c>
      <c r="I12" s="35">
        <v>11250</v>
      </c>
      <c r="J12" s="35">
        <v>20</v>
      </c>
      <c r="K12" s="22"/>
    </row>
    <row r="13" spans="3:15" x14ac:dyDescent="0.35">
      <c r="K13" s="37"/>
    </row>
    <row r="14" spans="3:15" ht="58" x14ac:dyDescent="0.35">
      <c r="C14" s="5" t="s">
        <v>23</v>
      </c>
      <c r="D14" s="5" t="s">
        <v>33</v>
      </c>
      <c r="E14" s="5" t="s">
        <v>39</v>
      </c>
      <c r="K14" s="37"/>
      <c r="M14" t="s">
        <v>23</v>
      </c>
      <c r="N14" t="s">
        <v>33</v>
      </c>
      <c r="O14" t="s">
        <v>39</v>
      </c>
    </row>
    <row r="15" spans="3:15" x14ac:dyDescent="0.35">
      <c r="C15" s="7">
        <f>SUMPRODUCT(D20:D23,F20:F23)</f>
        <v>20226420.370370369</v>
      </c>
      <c r="D15" s="7">
        <f>C17-H24</f>
        <v>-5589630.3425925914</v>
      </c>
      <c r="E15" s="34">
        <f>D15-J26-D35-D17</f>
        <v>-6417316.7453703694</v>
      </c>
      <c r="M15">
        <v>20226420.370370369</v>
      </c>
      <c r="N15">
        <v>12640790.027777778</v>
      </c>
      <c r="O15">
        <v>12082113.625</v>
      </c>
    </row>
    <row r="16" spans="3:15" x14ac:dyDescent="0.35">
      <c r="E16" t="s">
        <v>31</v>
      </c>
    </row>
    <row r="17" spans="3:11" x14ac:dyDescent="0.35">
      <c r="C17">
        <v>1996000</v>
      </c>
      <c r="D17">
        <f>427*630</f>
        <v>269010</v>
      </c>
    </row>
    <row r="19" spans="3:11" ht="117" customHeight="1" x14ac:dyDescent="0.35">
      <c r="C19" s="4"/>
      <c r="D19" s="5" t="s">
        <v>26</v>
      </c>
      <c r="E19" s="1"/>
      <c r="F19" s="5" t="s">
        <v>32</v>
      </c>
      <c r="G19" s="6" t="s">
        <v>24</v>
      </c>
      <c r="H19" s="6" t="s">
        <v>25</v>
      </c>
      <c r="I19" s="38" t="s">
        <v>34</v>
      </c>
      <c r="J19" s="6" t="s">
        <v>38</v>
      </c>
    </row>
    <row r="20" spans="3:11" ht="15" thickBot="1" x14ac:dyDescent="0.4">
      <c r="C20" s="2" t="s">
        <v>14</v>
      </c>
      <c r="D20" s="26">
        <v>55650</v>
      </c>
      <c r="E20" s="3" t="s">
        <v>19</v>
      </c>
      <c r="F20" s="33">
        <v>10</v>
      </c>
      <c r="G20" s="26">
        <f>SUMPRODUCT(D7:J7,$D$12:$J$12)</f>
        <v>22901.98</v>
      </c>
      <c r="H20" s="7">
        <f>G20*F20</f>
        <v>229019.8</v>
      </c>
      <c r="I20" s="39">
        <f>K7-G20</f>
        <v>32748.02</v>
      </c>
      <c r="J20" s="41">
        <f>D20/G20</f>
        <v>2.4299209064019793</v>
      </c>
      <c r="K20" s="36"/>
    </row>
    <row r="21" spans="3:11" ht="15" thickBot="1" x14ac:dyDescent="0.4">
      <c r="C21" s="2" t="s">
        <v>15</v>
      </c>
      <c r="D21" s="26">
        <v>44370</v>
      </c>
      <c r="E21" s="3" t="s">
        <v>20</v>
      </c>
      <c r="F21" s="33">
        <v>418.51851851851848</v>
      </c>
      <c r="G21" s="26">
        <f>SUMPRODUCT(D8:J8,$D$12:$J$12)</f>
        <v>16967.07</v>
      </c>
      <c r="H21" s="7">
        <f>G21*F21</f>
        <v>7101032.9999999991</v>
      </c>
      <c r="I21" s="39">
        <f>K8-G21</f>
        <v>27402.93</v>
      </c>
      <c r="J21" s="41">
        <f>D21/G21</f>
        <v>2.6150655357701713</v>
      </c>
      <c r="K21" s="36"/>
    </row>
    <row r="22" spans="3:11" ht="15" thickBot="1" x14ac:dyDescent="0.4">
      <c r="C22" s="2" t="s">
        <v>27</v>
      </c>
      <c r="D22" s="26">
        <v>33650</v>
      </c>
      <c r="E22" s="3" t="s">
        <v>21</v>
      </c>
      <c r="F22" s="33">
        <v>27.962962962962955</v>
      </c>
      <c r="G22" s="26">
        <f>SUMPRODUCT(D9:J9,$D$12:$J$12)</f>
        <v>8133.41</v>
      </c>
      <c r="H22" s="7">
        <f>G22*F22</f>
        <v>227434.24259259252</v>
      </c>
      <c r="I22" s="39">
        <f>K9-G22</f>
        <v>25516.59</v>
      </c>
      <c r="J22" s="41">
        <f>D22/G22</f>
        <v>4.1372560832418381</v>
      </c>
      <c r="K22" s="36"/>
    </row>
    <row r="23" spans="3:11" ht="15" thickBot="1" x14ac:dyDescent="0.4">
      <c r="C23" s="2" t="s">
        <v>28</v>
      </c>
      <c r="D23" s="26">
        <v>15930</v>
      </c>
      <c r="E23" s="3" t="s">
        <v>22</v>
      </c>
      <c r="F23" s="33">
        <v>10</v>
      </c>
      <c r="G23" s="28">
        <f>SUMPRODUCT(D10:J10,$D$12:$J$12)</f>
        <v>2814.33</v>
      </c>
      <c r="H23" s="7">
        <f>G23*F23</f>
        <v>28143.3</v>
      </c>
      <c r="I23" s="39">
        <f>K10-G23</f>
        <v>13115.67</v>
      </c>
      <c r="J23" s="41">
        <f>D23/G23</f>
        <v>5.660317020392065</v>
      </c>
      <c r="K23" s="36"/>
    </row>
    <row r="24" spans="3:11" ht="15" thickBot="1" x14ac:dyDescent="0.4">
      <c r="F24" s="32" t="s">
        <v>29</v>
      </c>
      <c r="G24" s="29">
        <f>SUM(G20:G23)</f>
        <v>50816.790000000008</v>
      </c>
      <c r="H24" s="30">
        <f>SUM(H20:H23)</f>
        <v>7585630.3425925914</v>
      </c>
      <c r="I24" s="40">
        <f>SUM(I20:I23)</f>
        <v>98783.209999999992</v>
      </c>
      <c r="J24" s="41">
        <f>SUM(J20:J23)</f>
        <v>14.842559545806054</v>
      </c>
    </row>
    <row r="26" spans="3:11" ht="29" x14ac:dyDescent="0.35">
      <c r="C26" s="5" t="s">
        <v>36</v>
      </c>
      <c r="D26" s="27">
        <f>630*(D$11-SUMPRODUCT(D$7:D$10,$F$20:$F$23))</f>
        <v>18631.666666666686</v>
      </c>
      <c r="E26" s="27">
        <f>630*(E$11-SUMPRODUCT(E7:E10,$F$20:$F$23))</f>
        <v>39280.5</v>
      </c>
      <c r="F26" s="27">
        <f>630*(F$11-SUMPRODUCT(F7:F10,$F$20:$F$23))</f>
        <v>0</v>
      </c>
      <c r="G26" s="27"/>
      <c r="H26" s="27">
        <f>85*(H$11-SUMPRODUCT(H7:H10,$F$20:$F$23))</f>
        <v>-365.5</v>
      </c>
      <c r="I26" s="27">
        <f>85*(I$11-SUMPRODUCT(I7:I10,$F$20:$F$23))</f>
        <v>229.73611111111117</v>
      </c>
      <c r="J26" s="31">
        <f>SUM(D26:I26)+900</f>
        <v>58676.402777777796</v>
      </c>
    </row>
    <row r="29" spans="3:11" ht="29" x14ac:dyDescent="0.35">
      <c r="C29" s="5" t="s">
        <v>30</v>
      </c>
      <c r="D29" s="7">
        <f>SUMPRODUCT(D7:D10,$F$20:$F$23)</f>
        <v>200.4259259259259</v>
      </c>
      <c r="E29" s="7">
        <f t="shared" ref="E29:J29" si="0">SUMPRODUCT(E7:E10,$F$20:$F$23)</f>
        <v>18.150000000000002</v>
      </c>
      <c r="F29" s="7">
        <f t="shared" si="0"/>
        <v>1.8</v>
      </c>
      <c r="G29" s="7">
        <f t="shared" si="0"/>
        <v>11907.407407407405</v>
      </c>
      <c r="H29" s="7">
        <f t="shared" si="0"/>
        <v>5</v>
      </c>
      <c r="I29" s="7">
        <f t="shared" si="0"/>
        <v>7.2972222222222216</v>
      </c>
      <c r="J29" s="7">
        <f t="shared" si="0"/>
        <v>20247.407407407405</v>
      </c>
    </row>
    <row r="31" spans="3:11" x14ac:dyDescent="0.35">
      <c r="E31" t="s">
        <v>40</v>
      </c>
      <c r="F31" t="s">
        <v>41</v>
      </c>
      <c r="G31" t="s">
        <v>42</v>
      </c>
    </row>
    <row r="32" spans="3:11" x14ac:dyDescent="0.35">
      <c r="E32" s="44">
        <f>F20+F21</f>
        <v>428.51851851851848</v>
      </c>
      <c r="F32" s="44">
        <f>SUM(F20:F23)</f>
        <v>466.48148148148141</v>
      </c>
      <c r="G32">
        <f>0.4*F32</f>
        <v>186.59259259259258</v>
      </c>
    </row>
    <row r="35" spans="3:4" x14ac:dyDescent="0.35">
      <c r="C35" s="42" t="s">
        <v>37</v>
      </c>
      <c r="D35" s="43">
        <v>500000</v>
      </c>
    </row>
  </sheetData>
  <mergeCells count="3">
    <mergeCell ref="D3:D5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K30"/>
  <sheetViews>
    <sheetView zoomScale="90" zoomScaleNormal="90" workbookViewId="0">
      <selection activeCell="N20" sqref="N20"/>
    </sheetView>
  </sheetViews>
  <sheetFormatPr defaultRowHeight="14.5" x14ac:dyDescent="0.35"/>
  <cols>
    <col min="1" max="2" width="2.1796875" customWidth="1"/>
    <col min="3" max="3" width="20.453125" customWidth="1"/>
    <col min="4" max="4" width="13.453125" bestFit="1" customWidth="1"/>
    <col min="5" max="5" width="17.81640625" customWidth="1"/>
    <col min="6" max="6" width="13.54296875" customWidth="1"/>
    <col min="7" max="7" width="12.7265625" customWidth="1"/>
    <col min="8" max="8" width="16.54296875" customWidth="1"/>
    <col min="9" max="9" width="14.26953125" customWidth="1"/>
    <col min="10" max="10" width="17.81640625" customWidth="1"/>
    <col min="11" max="11" width="13.7265625" customWidth="1"/>
    <col min="12" max="12" width="18.54296875" customWidth="1"/>
    <col min="13" max="13" width="14" bestFit="1" customWidth="1"/>
    <col min="14" max="14" width="11.453125" bestFit="1" customWidth="1"/>
    <col min="15" max="15" width="18.453125" bestFit="1" customWidth="1"/>
  </cols>
  <sheetData>
    <row r="1" spans="3:11" ht="15" thickBot="1" x14ac:dyDescent="0.4"/>
    <row r="2" spans="3:11" ht="26" x14ac:dyDescent="0.35">
      <c r="C2" s="51" t="s">
        <v>0</v>
      </c>
      <c r="D2" s="141" t="s">
        <v>2</v>
      </c>
      <c r="E2" s="52" t="s">
        <v>3</v>
      </c>
      <c r="F2" s="52" t="s">
        <v>5</v>
      </c>
      <c r="G2" s="141" t="s">
        <v>6</v>
      </c>
      <c r="H2" s="141" t="s">
        <v>7</v>
      </c>
      <c r="I2" s="52" t="s">
        <v>8</v>
      </c>
      <c r="J2" s="52" t="s">
        <v>10</v>
      </c>
      <c r="K2" s="10" t="s">
        <v>12</v>
      </c>
    </row>
    <row r="3" spans="3:11" x14ac:dyDescent="0.35">
      <c r="C3" s="53"/>
      <c r="D3" s="142"/>
      <c r="E3" s="54" t="s">
        <v>4</v>
      </c>
      <c r="F3" s="54" t="s">
        <v>4</v>
      </c>
      <c r="G3" s="142"/>
      <c r="H3" s="142"/>
      <c r="I3" s="54" t="s">
        <v>9</v>
      </c>
      <c r="J3" s="54" t="s">
        <v>11</v>
      </c>
      <c r="K3" s="13" t="s">
        <v>13</v>
      </c>
    </row>
    <row r="4" spans="3:11" ht="15" thickBot="1" x14ac:dyDescent="0.4">
      <c r="C4" s="55" t="s">
        <v>1</v>
      </c>
      <c r="D4" s="143"/>
      <c r="E4" s="56"/>
      <c r="F4" s="56"/>
      <c r="G4" s="143"/>
      <c r="H4" s="143"/>
      <c r="I4" s="56"/>
      <c r="J4" s="56"/>
      <c r="K4" s="16"/>
    </row>
    <row r="5" spans="3:11" ht="15" thickBot="1" x14ac:dyDescent="0.4">
      <c r="C5" s="61">
        <v>1</v>
      </c>
      <c r="D5" s="18">
        <v>2</v>
      </c>
      <c r="E5" s="18">
        <v>3</v>
      </c>
      <c r="F5" s="18">
        <v>4</v>
      </c>
      <c r="G5" s="18">
        <v>5</v>
      </c>
      <c r="H5" s="18">
        <v>6</v>
      </c>
      <c r="I5" s="18">
        <v>7</v>
      </c>
      <c r="J5" s="18">
        <v>8</v>
      </c>
      <c r="K5" s="16">
        <v>9</v>
      </c>
    </row>
    <row r="6" spans="3:11" ht="15" thickBot="1" x14ac:dyDescent="0.4">
      <c r="C6" s="61" t="s">
        <v>14</v>
      </c>
      <c r="D6" s="19">
        <v>0.6</v>
      </c>
      <c r="E6" s="20">
        <v>0.08</v>
      </c>
      <c r="F6" s="20">
        <v>6.0000000000000001E-3</v>
      </c>
      <c r="G6" s="20">
        <v>10</v>
      </c>
      <c r="H6" s="20">
        <v>5.0000000000000001E-3</v>
      </c>
      <c r="I6" s="20">
        <v>0.02</v>
      </c>
      <c r="J6" s="20">
        <v>55</v>
      </c>
      <c r="K6" s="35">
        <v>55650</v>
      </c>
    </row>
    <row r="7" spans="3:11" ht="15" thickBot="1" x14ac:dyDescent="0.4">
      <c r="C7" s="61" t="s">
        <v>15</v>
      </c>
      <c r="D7" s="17">
        <v>0.45</v>
      </c>
      <c r="E7" s="15">
        <v>0.04</v>
      </c>
      <c r="F7" s="15">
        <v>4.0000000000000001E-3</v>
      </c>
      <c r="G7" s="15">
        <v>20</v>
      </c>
      <c r="H7" s="15">
        <v>5.0000000000000001E-3</v>
      </c>
      <c r="I7" s="15">
        <v>1.4999999999999999E-2</v>
      </c>
      <c r="J7" s="15">
        <v>44</v>
      </c>
      <c r="K7" s="35">
        <v>44370</v>
      </c>
    </row>
    <row r="8" spans="3:11" ht="15" thickBot="1" x14ac:dyDescent="0.4">
      <c r="C8" s="61" t="s">
        <v>16</v>
      </c>
      <c r="D8" s="17">
        <v>0.2</v>
      </c>
      <c r="E8" s="15">
        <v>0.02</v>
      </c>
      <c r="F8" s="15">
        <v>2E-3</v>
      </c>
      <c r="G8" s="15">
        <v>80</v>
      </c>
      <c r="H8" s="15">
        <v>7.0000000000000007E-2</v>
      </c>
      <c r="I8" s="15">
        <v>1.4999999999999999E-2</v>
      </c>
      <c r="J8" s="15">
        <v>38</v>
      </c>
      <c r="K8" s="35">
        <v>33650</v>
      </c>
    </row>
    <row r="9" spans="3:11" ht="15" thickBot="1" x14ac:dyDescent="0.4">
      <c r="C9" s="61" t="s">
        <v>17</v>
      </c>
      <c r="D9" s="21">
        <v>0.05</v>
      </c>
      <c r="E9" s="22">
        <v>5.0000000000000001E-3</v>
      </c>
      <c r="F9" s="22">
        <v>1E-3</v>
      </c>
      <c r="G9" s="22">
        <v>120</v>
      </c>
      <c r="H9" s="22">
        <v>0.09</v>
      </c>
      <c r="I9" s="22">
        <v>0.04</v>
      </c>
      <c r="J9" s="22">
        <v>22</v>
      </c>
      <c r="K9" s="35">
        <v>15930</v>
      </c>
    </row>
    <row r="10" spans="3:11" ht="15" thickBot="1" x14ac:dyDescent="0.4">
      <c r="C10" s="23" t="s">
        <v>35</v>
      </c>
      <c r="D10" s="24">
        <v>230</v>
      </c>
      <c r="E10" s="24">
        <v>80.5</v>
      </c>
      <c r="F10" s="24">
        <v>1.8</v>
      </c>
      <c r="G10" s="24">
        <v>30000</v>
      </c>
      <c r="H10" s="24">
        <v>5</v>
      </c>
      <c r="I10" s="24">
        <v>10</v>
      </c>
      <c r="J10" s="24">
        <v>68500</v>
      </c>
      <c r="K10" s="15"/>
    </row>
    <row r="11" spans="3:11" ht="15" thickBot="1" x14ac:dyDescent="0.4">
      <c r="C11" s="65" t="s">
        <v>18</v>
      </c>
      <c r="D11" s="35">
        <v>34000</v>
      </c>
      <c r="E11" s="35">
        <v>13000</v>
      </c>
      <c r="F11" s="35">
        <v>21330</v>
      </c>
      <c r="G11" s="35">
        <v>0.4</v>
      </c>
      <c r="H11" s="35">
        <v>1000</v>
      </c>
      <c r="I11" s="35">
        <v>11250</v>
      </c>
      <c r="J11" s="35">
        <v>20</v>
      </c>
      <c r="K11" s="22"/>
    </row>
    <row r="12" spans="3:11" x14ac:dyDescent="0.35">
      <c r="K12" s="37"/>
    </row>
    <row r="13" spans="3:11" ht="58" x14ac:dyDescent="0.35">
      <c r="C13" s="63" t="s">
        <v>23</v>
      </c>
      <c r="D13" s="63" t="s">
        <v>33</v>
      </c>
      <c r="E13" s="63" t="s">
        <v>39</v>
      </c>
      <c r="K13" s="37"/>
    </row>
    <row r="14" spans="3:11" x14ac:dyDescent="0.35">
      <c r="C14" s="7">
        <f>SUMPRODUCT(D17:D20,F17:F20)</f>
        <v>1172163.8131143628</v>
      </c>
      <c r="D14" s="7">
        <f>C14-H21</f>
        <v>689776.17241950426</v>
      </c>
      <c r="E14" s="34">
        <f>D14-J23-D30</f>
        <v>8.149072527885437E-10</v>
      </c>
    </row>
    <row r="15" spans="3:11" x14ac:dyDescent="0.35">
      <c r="E15" t="s">
        <v>31</v>
      </c>
    </row>
    <row r="16" spans="3:11" ht="117" customHeight="1" x14ac:dyDescent="0.35">
      <c r="C16" s="57"/>
      <c r="D16" s="58" t="s">
        <v>26</v>
      </c>
      <c r="E16" s="59"/>
      <c r="F16" s="58" t="s">
        <v>32</v>
      </c>
      <c r="G16" s="58" t="s">
        <v>24</v>
      </c>
      <c r="H16" s="58" t="s">
        <v>25</v>
      </c>
      <c r="I16" s="60" t="s">
        <v>34</v>
      </c>
      <c r="J16" s="58" t="s">
        <v>38</v>
      </c>
    </row>
    <row r="17" spans="3:11" ht="15" thickBot="1" x14ac:dyDescent="0.4">
      <c r="C17" s="62" t="s">
        <v>14</v>
      </c>
      <c r="D17" s="26">
        <v>55650</v>
      </c>
      <c r="E17" s="3" t="s">
        <v>19</v>
      </c>
      <c r="F17" s="33">
        <v>21.063141295855576</v>
      </c>
      <c r="G17" s="26">
        <f>SUMPRODUCT(D6:J6,$D$11:$J$11)</f>
        <v>22901.98</v>
      </c>
      <c r="H17" s="7">
        <f>G17*F17</f>
        <v>482387.64069485851</v>
      </c>
      <c r="I17" s="39">
        <f>K6-G17</f>
        <v>32748.02</v>
      </c>
      <c r="J17" s="41">
        <f>D17/G17</f>
        <v>2.4299209064019793</v>
      </c>
      <c r="K17" s="36">
        <f>D17*F17</f>
        <v>1172163.8131143628</v>
      </c>
    </row>
    <row r="18" spans="3:11" ht="15" thickBot="1" x14ac:dyDescent="0.4">
      <c r="C18" s="62" t="s">
        <v>15</v>
      </c>
      <c r="D18" s="26">
        <v>44370</v>
      </c>
      <c r="E18" s="3" t="s">
        <v>20</v>
      </c>
      <c r="F18" s="33">
        <v>0</v>
      </c>
      <c r="G18" s="26">
        <f>SUMPRODUCT(D7:J7,$D$11:$J$11)</f>
        <v>16967.07</v>
      </c>
      <c r="H18" s="7">
        <f>G18*F18</f>
        <v>0</v>
      </c>
      <c r="I18" s="39">
        <f>K7-G18</f>
        <v>27402.93</v>
      </c>
      <c r="J18" s="41">
        <f>D18/G18</f>
        <v>2.6150655357701713</v>
      </c>
      <c r="K18" s="36"/>
    </row>
    <row r="19" spans="3:11" ht="15" thickBot="1" x14ac:dyDescent="0.4">
      <c r="C19" s="62" t="s">
        <v>27</v>
      </c>
      <c r="D19" s="26">
        <v>33650</v>
      </c>
      <c r="E19" s="3" t="s">
        <v>21</v>
      </c>
      <c r="F19" s="33">
        <v>0</v>
      </c>
      <c r="G19" s="26">
        <f>SUMPRODUCT(D8:J8,$D$11:$J$11)</f>
        <v>8133.41</v>
      </c>
      <c r="H19" s="7">
        <f>G19*F19</f>
        <v>0</v>
      </c>
      <c r="I19" s="39">
        <f>K8-G19</f>
        <v>25516.59</v>
      </c>
      <c r="J19" s="41">
        <f>D19/G19</f>
        <v>4.1372560832418381</v>
      </c>
      <c r="K19" s="36"/>
    </row>
    <row r="20" spans="3:11" ht="15" thickBot="1" x14ac:dyDescent="0.4">
      <c r="C20" s="62" t="s">
        <v>28</v>
      </c>
      <c r="D20" s="26">
        <v>15930</v>
      </c>
      <c r="E20" s="3" t="s">
        <v>22</v>
      </c>
      <c r="F20" s="33">
        <v>0</v>
      </c>
      <c r="G20" s="28">
        <f>SUMPRODUCT(D9:J9,$D$11:$J$11)</f>
        <v>2814.33</v>
      </c>
      <c r="H20" s="7">
        <f>G20*F20</f>
        <v>0</v>
      </c>
      <c r="I20" s="39">
        <f>K9-G20</f>
        <v>13115.67</v>
      </c>
      <c r="J20" s="41">
        <f>D20/G20</f>
        <v>5.660317020392065</v>
      </c>
      <c r="K20" s="36"/>
    </row>
    <row r="21" spans="3:11" ht="15" thickBot="1" x14ac:dyDescent="0.4">
      <c r="F21" s="32" t="s">
        <v>29</v>
      </c>
      <c r="G21" s="29">
        <f>SUM(G17:G20)</f>
        <v>50816.790000000008</v>
      </c>
      <c r="H21" s="30">
        <f>SUM(H17:H20)</f>
        <v>482387.64069485851</v>
      </c>
      <c r="I21" s="40">
        <f>SUM(I17:I20)</f>
        <v>98783.209999999992</v>
      </c>
      <c r="J21" s="41">
        <f>SUM(J17:J20)</f>
        <v>14.842559545806054</v>
      </c>
    </row>
    <row r="22" spans="3:11" x14ac:dyDescent="0.35">
      <c r="F22" s="44">
        <f>SUM(F17:F20)</f>
        <v>21.063141295855576</v>
      </c>
    </row>
    <row r="23" spans="3:11" ht="29" x14ac:dyDescent="0.35">
      <c r="C23" s="63" t="s">
        <v>36</v>
      </c>
      <c r="D23" s="27">
        <f>630*(D$10-SUMPRODUCT(D$6:D$9,$F$17:$F$20))</f>
        <v>136938.13259016661</v>
      </c>
      <c r="E23" s="27">
        <f>630*(E$10-SUMPRODUCT(E6:E9,$F$17:$F$20))</f>
        <v>49653.417678688878</v>
      </c>
      <c r="F23" s="27">
        <f>630*(F$10-SUMPRODUCT(F6:F9,$F$17:$F$20))</f>
        <v>1054.3813259016658</v>
      </c>
      <c r="G23" s="27"/>
      <c r="H23" s="27">
        <f>85*(H$10-SUMPRODUCT(H6:H9,$F$17:$F$20))</f>
        <v>416.04816494926138</v>
      </c>
      <c r="I23" s="27">
        <f>85*(I$10-SUMPRODUCT(I6:I9,$F$17:$F$20))</f>
        <v>814.19265979704551</v>
      </c>
      <c r="J23" s="31">
        <f>SUM(D23:I23)+900</f>
        <v>189776.17241950348</v>
      </c>
    </row>
    <row r="26" spans="3:11" ht="29" x14ac:dyDescent="0.35">
      <c r="C26" s="63" t="s">
        <v>30</v>
      </c>
      <c r="D26" s="7">
        <f>SUMPRODUCT(D6:D9,$F$17:$F$20)</f>
        <v>12.637884777513346</v>
      </c>
      <c r="E26" s="7">
        <f t="shared" ref="E26:J26" si="0">SUMPRODUCT(E6:E9,$F$17:$F$20)</f>
        <v>1.6850513036684462</v>
      </c>
      <c r="F26" s="7">
        <f t="shared" si="0"/>
        <v>0.12637884777513347</v>
      </c>
      <c r="G26" s="7">
        <f t="shared" si="0"/>
        <v>210.63141295855576</v>
      </c>
      <c r="H26" s="7">
        <f t="shared" si="0"/>
        <v>0.10531570647927789</v>
      </c>
      <c r="I26" s="7">
        <f t="shared" si="0"/>
        <v>0.42126282591711156</v>
      </c>
      <c r="J26" s="7">
        <f t="shared" si="0"/>
        <v>1158.4727712720567</v>
      </c>
    </row>
    <row r="28" spans="3:11" x14ac:dyDescent="0.35">
      <c r="E28" t="s">
        <v>40</v>
      </c>
      <c r="F28" t="s">
        <v>41</v>
      </c>
      <c r="G28" t="s">
        <v>42</v>
      </c>
    </row>
    <row r="29" spans="3:11" x14ac:dyDescent="0.35">
      <c r="E29" s="44">
        <f>F17+F18</f>
        <v>21.063141295855576</v>
      </c>
      <c r="F29" s="44">
        <f>SUM(F17:F20)</f>
        <v>21.063141295855576</v>
      </c>
      <c r="G29">
        <f>0.4*F29</f>
        <v>8.4252565183422305</v>
      </c>
    </row>
    <row r="30" spans="3:11" x14ac:dyDescent="0.35">
      <c r="C30" s="64" t="s">
        <v>37</v>
      </c>
      <c r="D30" s="43">
        <v>500000</v>
      </c>
    </row>
  </sheetData>
  <mergeCells count="3">
    <mergeCell ref="D2:D4"/>
    <mergeCell ref="G2:G4"/>
    <mergeCell ref="H2:H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K35"/>
  <sheetViews>
    <sheetView topLeftCell="A7" zoomScale="91" zoomScaleNormal="91" workbookViewId="0">
      <selection activeCell="F23" sqref="F23"/>
    </sheetView>
  </sheetViews>
  <sheetFormatPr defaultRowHeight="14.5" x14ac:dyDescent="0.35"/>
  <cols>
    <col min="1" max="2" width="2.1796875" customWidth="1"/>
    <col min="3" max="3" width="20.453125" customWidth="1"/>
    <col min="4" max="4" width="13.453125" bestFit="1" customWidth="1"/>
    <col min="5" max="5" width="17.81640625" customWidth="1"/>
    <col min="6" max="6" width="13.54296875" customWidth="1"/>
    <col min="7" max="7" width="12.7265625" customWidth="1"/>
    <col min="8" max="8" width="16.54296875" customWidth="1"/>
    <col min="9" max="9" width="14.26953125" customWidth="1"/>
    <col min="10" max="10" width="17.81640625" customWidth="1"/>
    <col min="11" max="11" width="13.7265625" customWidth="1"/>
    <col min="12" max="12" width="18.54296875" customWidth="1"/>
    <col min="13" max="13" width="14" bestFit="1" customWidth="1"/>
    <col min="14" max="14" width="11.453125" bestFit="1" customWidth="1"/>
    <col min="15" max="15" width="18.453125" bestFit="1" customWidth="1"/>
  </cols>
  <sheetData>
    <row r="2" spans="3:11" ht="15" thickBot="1" x14ac:dyDescent="0.4"/>
    <row r="3" spans="3:11" ht="26" x14ac:dyDescent="0.35">
      <c r="C3" s="8" t="s">
        <v>0</v>
      </c>
      <c r="D3" s="135" t="s">
        <v>2</v>
      </c>
      <c r="E3" s="9" t="s">
        <v>3</v>
      </c>
      <c r="F3" s="9" t="s">
        <v>5</v>
      </c>
      <c r="G3" s="135" t="s">
        <v>6</v>
      </c>
      <c r="H3" s="135" t="s">
        <v>7</v>
      </c>
      <c r="I3" s="9" t="s">
        <v>8</v>
      </c>
      <c r="J3" s="9" t="s">
        <v>10</v>
      </c>
      <c r="K3" s="10" t="s">
        <v>12</v>
      </c>
    </row>
    <row r="4" spans="3:11" x14ac:dyDescent="0.35">
      <c r="C4" s="11"/>
      <c r="D4" s="136"/>
      <c r="E4" s="12" t="s">
        <v>4</v>
      </c>
      <c r="F4" s="12" t="s">
        <v>4</v>
      </c>
      <c r="G4" s="136"/>
      <c r="H4" s="136"/>
      <c r="I4" s="12" t="s">
        <v>9</v>
      </c>
      <c r="J4" s="12" t="s">
        <v>11</v>
      </c>
      <c r="K4" s="13" t="s">
        <v>13</v>
      </c>
    </row>
    <row r="5" spans="3:11" ht="15" thickBot="1" x14ac:dyDescent="0.4">
      <c r="C5" s="14" t="s">
        <v>1</v>
      </c>
      <c r="D5" s="137"/>
      <c r="E5" s="15"/>
      <c r="F5" s="15"/>
      <c r="G5" s="137"/>
      <c r="H5" s="137"/>
      <c r="I5" s="15"/>
      <c r="J5" s="15"/>
      <c r="K5" s="16"/>
    </row>
    <row r="6" spans="3:11" ht="15" thickBot="1" x14ac:dyDescent="0.4">
      <c r="C6" s="17">
        <v>1</v>
      </c>
      <c r="D6" s="18">
        <v>2</v>
      </c>
      <c r="E6" s="18">
        <v>3</v>
      </c>
      <c r="F6" s="18">
        <v>4</v>
      </c>
      <c r="G6" s="18">
        <v>5</v>
      </c>
      <c r="H6" s="18">
        <v>6</v>
      </c>
      <c r="I6" s="18">
        <v>7</v>
      </c>
      <c r="J6" s="18">
        <v>8</v>
      </c>
      <c r="K6" s="16">
        <v>9</v>
      </c>
    </row>
    <row r="7" spans="3:11" ht="15" thickBot="1" x14ac:dyDescent="0.4">
      <c r="C7" s="17" t="s">
        <v>14</v>
      </c>
      <c r="D7" s="19">
        <v>0.6</v>
      </c>
      <c r="E7" s="20">
        <v>0.08</v>
      </c>
      <c r="F7" s="20">
        <v>6.0000000000000001E-3</v>
      </c>
      <c r="G7" s="20">
        <v>10</v>
      </c>
      <c r="H7" s="20">
        <v>5.0000000000000001E-3</v>
      </c>
      <c r="I7" s="20">
        <v>0.02</v>
      </c>
      <c r="J7" s="20">
        <v>55</v>
      </c>
      <c r="K7" s="35">
        <v>55650</v>
      </c>
    </row>
    <row r="8" spans="3:11" ht="15" thickBot="1" x14ac:dyDescent="0.4">
      <c r="C8" s="17" t="s">
        <v>15</v>
      </c>
      <c r="D8" s="17">
        <v>0.45</v>
      </c>
      <c r="E8" s="15">
        <v>0.04</v>
      </c>
      <c r="F8" s="15">
        <v>4.0000000000000001E-3</v>
      </c>
      <c r="G8" s="15">
        <v>20</v>
      </c>
      <c r="H8" s="15">
        <v>5.0000000000000001E-3</v>
      </c>
      <c r="I8" s="15">
        <v>1.4999999999999999E-2</v>
      </c>
      <c r="J8" s="15">
        <v>44</v>
      </c>
      <c r="K8" s="35">
        <v>44370</v>
      </c>
    </row>
    <row r="9" spans="3:11" ht="15" thickBot="1" x14ac:dyDescent="0.4">
      <c r="C9" s="17" t="s">
        <v>16</v>
      </c>
      <c r="D9" s="17">
        <v>0.2</v>
      </c>
      <c r="E9" s="15">
        <v>0.02</v>
      </c>
      <c r="F9" s="15">
        <v>2E-3</v>
      </c>
      <c r="G9" s="15">
        <v>80</v>
      </c>
      <c r="H9" s="15">
        <v>7.0000000000000007E-2</v>
      </c>
      <c r="I9" s="15">
        <v>1.4999999999999999E-2</v>
      </c>
      <c r="J9" s="15">
        <v>38</v>
      </c>
      <c r="K9" s="35">
        <v>33650</v>
      </c>
    </row>
    <row r="10" spans="3:11" ht="15" thickBot="1" x14ac:dyDescent="0.4">
      <c r="C10" s="17" t="s">
        <v>17</v>
      </c>
      <c r="D10" s="21">
        <v>0.05</v>
      </c>
      <c r="E10" s="22">
        <v>5.0000000000000001E-3</v>
      </c>
      <c r="F10" s="22">
        <v>1E-3</v>
      </c>
      <c r="G10" s="22">
        <v>120</v>
      </c>
      <c r="H10" s="22">
        <v>0.09</v>
      </c>
      <c r="I10" s="22">
        <v>0.04</v>
      </c>
      <c r="J10" s="22">
        <v>22</v>
      </c>
      <c r="K10" s="35">
        <v>15930</v>
      </c>
    </row>
    <row r="11" spans="3:11" ht="15" thickBot="1" x14ac:dyDescent="0.4">
      <c r="C11" s="23" t="s">
        <v>35</v>
      </c>
      <c r="D11" s="24">
        <v>230</v>
      </c>
      <c r="E11" s="24">
        <v>80.5</v>
      </c>
      <c r="F11" s="24">
        <v>1.8</v>
      </c>
      <c r="G11" s="24">
        <v>30000</v>
      </c>
      <c r="H11" s="24">
        <v>5</v>
      </c>
      <c r="I11" s="24">
        <v>10</v>
      </c>
      <c r="J11" s="24">
        <v>68500</v>
      </c>
      <c r="K11" s="15"/>
    </row>
    <row r="12" spans="3:11" ht="15" thickBot="1" x14ac:dyDescent="0.4">
      <c r="C12" s="25" t="s">
        <v>18</v>
      </c>
      <c r="D12" s="35">
        <v>34000</v>
      </c>
      <c r="E12" s="35">
        <v>13000</v>
      </c>
      <c r="F12" s="35">
        <v>21330</v>
      </c>
      <c r="G12" s="35">
        <v>0.4</v>
      </c>
      <c r="H12" s="35">
        <v>1000</v>
      </c>
      <c r="I12" s="35">
        <v>11250</v>
      </c>
      <c r="J12" s="35">
        <v>20</v>
      </c>
      <c r="K12" s="22"/>
    </row>
    <row r="13" spans="3:11" x14ac:dyDescent="0.35">
      <c r="K13" s="37"/>
    </row>
    <row r="14" spans="3:11" ht="58" x14ac:dyDescent="0.35">
      <c r="C14" s="5" t="s">
        <v>23</v>
      </c>
      <c r="D14" s="5" t="s">
        <v>33</v>
      </c>
      <c r="E14" s="5" t="s">
        <v>39</v>
      </c>
      <c r="K14" s="37"/>
    </row>
    <row r="15" spans="3:11" x14ac:dyDescent="0.35">
      <c r="C15" s="7">
        <f>SUMPRODUCT(D20:D23,F20:F23)</f>
        <v>49355000</v>
      </c>
      <c r="D15" s="7">
        <f>C15-H24</f>
        <v>29151129.300000001</v>
      </c>
      <c r="E15" s="34">
        <f>D15-J26-D35</f>
        <v>28835114</v>
      </c>
    </row>
    <row r="16" spans="3:11" x14ac:dyDescent="0.35">
      <c r="E16" t="s">
        <v>31</v>
      </c>
    </row>
    <row r="19" spans="3:11" ht="117" customHeight="1" x14ac:dyDescent="0.35">
      <c r="C19" s="4"/>
      <c r="D19" s="5" t="s">
        <v>26</v>
      </c>
      <c r="E19" s="1"/>
      <c r="F19" s="5" t="s">
        <v>32</v>
      </c>
      <c r="G19" s="6" t="s">
        <v>24</v>
      </c>
      <c r="H19" s="6" t="s">
        <v>25</v>
      </c>
      <c r="I19" s="38" t="s">
        <v>34</v>
      </c>
      <c r="J19" s="6" t="s">
        <v>38</v>
      </c>
    </row>
    <row r="20" spans="3:11" ht="15" thickBot="1" x14ac:dyDescent="0.4">
      <c r="C20" s="2" t="s">
        <v>14</v>
      </c>
      <c r="D20" s="26">
        <v>55650</v>
      </c>
      <c r="E20" s="3" t="s">
        <v>19</v>
      </c>
      <c r="F20" s="33">
        <v>870</v>
      </c>
      <c r="G20" s="26">
        <f>SUMPRODUCT(D7:J7,$D$12:$J$12)</f>
        <v>22901.98</v>
      </c>
      <c r="H20" s="7">
        <f>G20*F20</f>
        <v>19924722.599999998</v>
      </c>
      <c r="I20" s="39">
        <f>K7-G20</f>
        <v>32748.02</v>
      </c>
      <c r="J20" s="41">
        <f>D20/G20</f>
        <v>2.4299209064019793</v>
      </c>
      <c r="K20" s="36"/>
    </row>
    <row r="21" spans="3:11" ht="15" thickBot="1" x14ac:dyDescent="0.4">
      <c r="C21" s="2" t="s">
        <v>15</v>
      </c>
      <c r="D21" s="26">
        <v>44370</v>
      </c>
      <c r="E21" s="3" t="s">
        <v>20</v>
      </c>
      <c r="F21" s="33">
        <v>10</v>
      </c>
      <c r="G21" s="26">
        <f>SUMPRODUCT(D8:J8,$D$12:$J$12)</f>
        <v>16967.07</v>
      </c>
      <c r="H21" s="7">
        <f>G21*F21</f>
        <v>169670.7</v>
      </c>
      <c r="I21" s="39">
        <f>K8-G21</f>
        <v>27402.93</v>
      </c>
      <c r="J21" s="41">
        <f>D21/G21</f>
        <v>2.6150655357701713</v>
      </c>
      <c r="K21" s="36"/>
    </row>
    <row r="22" spans="3:11" ht="15" thickBot="1" x14ac:dyDescent="0.4">
      <c r="C22" s="2" t="s">
        <v>27</v>
      </c>
      <c r="D22" s="26">
        <v>33650</v>
      </c>
      <c r="E22" s="3" t="s">
        <v>21</v>
      </c>
      <c r="F22" s="33">
        <v>10</v>
      </c>
      <c r="G22" s="26">
        <f>SUMPRODUCT(D9:J9,$D$12:$J$12)</f>
        <v>8133.41</v>
      </c>
      <c r="H22" s="7">
        <f>G22*F22</f>
        <v>81334.100000000006</v>
      </c>
      <c r="I22" s="39">
        <f>K9-G22</f>
        <v>25516.59</v>
      </c>
      <c r="J22" s="41">
        <f>D22/G22</f>
        <v>4.1372560832418381</v>
      </c>
      <c r="K22" s="36"/>
    </row>
    <row r="23" spans="3:11" ht="15" thickBot="1" x14ac:dyDescent="0.4">
      <c r="C23" s="2" t="s">
        <v>28</v>
      </c>
      <c r="D23" s="26">
        <v>15930</v>
      </c>
      <c r="E23" s="3" t="s">
        <v>22</v>
      </c>
      <c r="F23" s="33">
        <v>10</v>
      </c>
      <c r="G23" s="28">
        <f>SUMPRODUCT(D10:J10,$D$12:$J$12)</f>
        <v>2814.33</v>
      </c>
      <c r="H23" s="7">
        <f>G23*F23</f>
        <v>28143.3</v>
      </c>
      <c r="I23" s="39">
        <f>K10-G23</f>
        <v>13115.67</v>
      </c>
      <c r="J23" s="41">
        <f>D23/G23</f>
        <v>5.660317020392065</v>
      </c>
      <c r="K23" s="36"/>
    </row>
    <row r="24" spans="3:11" ht="15" thickBot="1" x14ac:dyDescent="0.4">
      <c r="F24" s="66" t="s">
        <v>29</v>
      </c>
      <c r="G24" s="67">
        <f>SUM(G20:G23)</f>
        <v>50816.790000000008</v>
      </c>
      <c r="H24" s="68">
        <f>SUM(H20:H23)</f>
        <v>20203870.699999999</v>
      </c>
      <c r="I24" s="69">
        <f>SUM(I20:I23)</f>
        <v>98783.209999999992</v>
      </c>
      <c r="J24" s="70">
        <f>SUM(J20:J23)</f>
        <v>14.842559545806054</v>
      </c>
    </row>
    <row r="25" spans="3:11" x14ac:dyDescent="0.35">
      <c r="F25" s="44">
        <f>SUM(F20:F23)</f>
        <v>900</v>
      </c>
    </row>
    <row r="26" spans="3:11" ht="29" x14ac:dyDescent="0.35">
      <c r="C26" s="5" t="s">
        <v>36</v>
      </c>
      <c r="D26" s="27">
        <f>630*(D$11-SUMPRODUCT(D$7:D$10,$F$20:$F$23))</f>
        <v>-188370</v>
      </c>
      <c r="E26" s="27">
        <f>630*(E$11-SUMPRODUCT(E7:E10,$F$20:$F$23))</f>
        <v>6457.4999999999909</v>
      </c>
      <c r="F26" s="27">
        <f>630*(F$11-SUMPRODUCT(F7:F10,$F$20:$F$23))</f>
        <v>-2198.6999999999994</v>
      </c>
      <c r="G26" s="27"/>
      <c r="H26" s="27">
        <f>85*(H$11-SUMPRODUCT(H7:H10,$F$20:$F$23))</f>
        <v>-85</v>
      </c>
      <c r="I26" s="27">
        <f>85*(I$11-SUMPRODUCT(I7:I10,$F$20:$F$23))</f>
        <v>-688.49999999999977</v>
      </c>
      <c r="J26" s="31">
        <f>SUM(D26:I26)+900</f>
        <v>-183984.7</v>
      </c>
    </row>
    <row r="29" spans="3:11" ht="29" x14ac:dyDescent="0.35">
      <c r="C29" s="5" t="s">
        <v>30</v>
      </c>
      <c r="D29" s="7">
        <f>SUMPRODUCT(D7:D10,$F$20:$F$23)</f>
        <v>529</v>
      </c>
      <c r="E29" s="7">
        <f t="shared" ref="E29:J29" si="0">SUMPRODUCT(E7:E10,$F$20:$F$23)</f>
        <v>70.250000000000014</v>
      </c>
      <c r="F29" s="7">
        <f t="shared" si="0"/>
        <v>5.2899999999999991</v>
      </c>
      <c r="G29" s="7">
        <f t="shared" si="0"/>
        <v>10900</v>
      </c>
      <c r="H29" s="7">
        <f t="shared" si="0"/>
        <v>6</v>
      </c>
      <c r="I29" s="7">
        <f t="shared" si="0"/>
        <v>18.099999999999998</v>
      </c>
      <c r="J29" s="7">
        <f t="shared" si="0"/>
        <v>48890</v>
      </c>
    </row>
    <row r="31" spans="3:11" x14ac:dyDescent="0.35">
      <c r="E31" t="s">
        <v>40</v>
      </c>
      <c r="F31" t="s">
        <v>41</v>
      </c>
      <c r="G31" t="s">
        <v>42</v>
      </c>
    </row>
    <row r="32" spans="3:11" x14ac:dyDescent="0.35">
      <c r="E32" s="44">
        <f>F20+F21</f>
        <v>880</v>
      </c>
      <c r="F32" s="44">
        <f>SUM(F20:F23)</f>
        <v>900</v>
      </c>
      <c r="G32">
        <f>0.4*F32</f>
        <v>360</v>
      </c>
    </row>
    <row r="35" spans="3:4" x14ac:dyDescent="0.35">
      <c r="C35" s="42" t="s">
        <v>37</v>
      </c>
      <c r="D35" s="43">
        <v>500000</v>
      </c>
    </row>
  </sheetData>
  <mergeCells count="3">
    <mergeCell ref="D3:D5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K35"/>
  <sheetViews>
    <sheetView zoomScale="91" zoomScaleNormal="91" workbookViewId="0">
      <selection activeCell="F21" sqref="F21"/>
    </sheetView>
  </sheetViews>
  <sheetFormatPr defaultRowHeight="14.5" x14ac:dyDescent="0.35"/>
  <cols>
    <col min="1" max="2" width="2.1796875" customWidth="1"/>
    <col min="3" max="3" width="20.453125" customWidth="1"/>
    <col min="4" max="4" width="13.453125" bestFit="1" customWidth="1"/>
    <col min="5" max="5" width="17.81640625" customWidth="1"/>
    <col min="6" max="6" width="13.54296875" customWidth="1"/>
    <col min="7" max="7" width="12.7265625" customWidth="1"/>
    <col min="8" max="8" width="16.54296875" customWidth="1"/>
    <col min="9" max="9" width="14.26953125" customWidth="1"/>
    <col min="10" max="10" width="17.81640625" customWidth="1"/>
    <col min="11" max="11" width="13.7265625" customWidth="1"/>
    <col min="12" max="12" width="18.54296875" customWidth="1"/>
    <col min="13" max="13" width="14" bestFit="1" customWidth="1"/>
    <col min="14" max="14" width="11.453125" bestFit="1" customWidth="1"/>
    <col min="15" max="15" width="18.453125" bestFit="1" customWidth="1"/>
  </cols>
  <sheetData>
    <row r="2" spans="3:11" ht="15" thickBot="1" x14ac:dyDescent="0.4"/>
    <row r="3" spans="3:11" ht="26" x14ac:dyDescent="0.35">
      <c r="C3" s="8" t="s">
        <v>0</v>
      </c>
      <c r="D3" s="135" t="s">
        <v>2</v>
      </c>
      <c r="E3" s="9" t="s">
        <v>3</v>
      </c>
      <c r="F3" s="9" t="s">
        <v>5</v>
      </c>
      <c r="G3" s="135" t="s">
        <v>6</v>
      </c>
      <c r="H3" s="135" t="s">
        <v>7</v>
      </c>
      <c r="I3" s="9" t="s">
        <v>8</v>
      </c>
      <c r="J3" s="9" t="s">
        <v>10</v>
      </c>
      <c r="K3" s="10" t="s">
        <v>12</v>
      </c>
    </row>
    <row r="4" spans="3:11" x14ac:dyDescent="0.35">
      <c r="C4" s="11"/>
      <c r="D4" s="136"/>
      <c r="E4" s="12" t="s">
        <v>4</v>
      </c>
      <c r="F4" s="12" t="s">
        <v>4</v>
      </c>
      <c r="G4" s="136"/>
      <c r="H4" s="136"/>
      <c r="I4" s="12" t="s">
        <v>9</v>
      </c>
      <c r="J4" s="12" t="s">
        <v>11</v>
      </c>
      <c r="K4" s="13" t="s">
        <v>13</v>
      </c>
    </row>
    <row r="5" spans="3:11" ht="15" thickBot="1" x14ac:dyDescent="0.4">
      <c r="C5" s="14" t="s">
        <v>1</v>
      </c>
      <c r="D5" s="137"/>
      <c r="E5" s="15"/>
      <c r="F5" s="15"/>
      <c r="G5" s="137"/>
      <c r="H5" s="137"/>
      <c r="I5" s="15"/>
      <c r="J5" s="15"/>
      <c r="K5" s="16"/>
    </row>
    <row r="6" spans="3:11" ht="15" thickBot="1" x14ac:dyDescent="0.4">
      <c r="C6" s="17">
        <v>1</v>
      </c>
      <c r="D6" s="18">
        <v>2</v>
      </c>
      <c r="E6" s="18">
        <v>3</v>
      </c>
      <c r="F6" s="18">
        <v>4</v>
      </c>
      <c r="G6" s="18">
        <v>5</v>
      </c>
      <c r="H6" s="18">
        <v>6</v>
      </c>
      <c r="I6" s="18">
        <v>7</v>
      </c>
      <c r="J6" s="18">
        <v>8</v>
      </c>
      <c r="K6" s="16">
        <v>9</v>
      </c>
    </row>
    <row r="7" spans="3:11" ht="15" thickBot="1" x14ac:dyDescent="0.4">
      <c r="C7" s="17" t="s">
        <v>14</v>
      </c>
      <c r="D7" s="19">
        <v>0.6</v>
      </c>
      <c r="E7" s="20">
        <v>0.08</v>
      </c>
      <c r="F7" s="20">
        <v>6.0000000000000001E-3</v>
      </c>
      <c r="G7" s="20">
        <v>10</v>
      </c>
      <c r="H7" s="20">
        <v>5.0000000000000001E-3</v>
      </c>
      <c r="I7" s="20">
        <v>0.02</v>
      </c>
      <c r="J7" s="20">
        <v>55</v>
      </c>
      <c r="K7" s="35">
        <v>55650</v>
      </c>
    </row>
    <row r="8" spans="3:11" ht="15" thickBot="1" x14ac:dyDescent="0.4">
      <c r="C8" s="17" t="s">
        <v>15</v>
      </c>
      <c r="D8" s="17">
        <v>0.45</v>
      </c>
      <c r="E8" s="15">
        <v>0.04</v>
      </c>
      <c r="F8" s="15">
        <v>4.0000000000000001E-3</v>
      </c>
      <c r="G8" s="15">
        <v>20</v>
      </c>
      <c r="H8" s="15">
        <v>5.0000000000000001E-3</v>
      </c>
      <c r="I8" s="15">
        <v>1.4999999999999999E-2</v>
      </c>
      <c r="J8" s="15">
        <v>44</v>
      </c>
      <c r="K8" s="35">
        <v>44370</v>
      </c>
    </row>
    <row r="9" spans="3:11" ht="15" thickBot="1" x14ac:dyDescent="0.4">
      <c r="C9" s="17" t="s">
        <v>16</v>
      </c>
      <c r="D9" s="17">
        <v>0.2</v>
      </c>
      <c r="E9" s="15">
        <v>0.02</v>
      </c>
      <c r="F9" s="15">
        <v>2E-3</v>
      </c>
      <c r="G9" s="15">
        <v>80</v>
      </c>
      <c r="H9" s="15">
        <v>7.0000000000000007E-2</v>
      </c>
      <c r="I9" s="15">
        <v>1.4999999999999999E-2</v>
      </c>
      <c r="J9" s="15">
        <v>38</v>
      </c>
      <c r="K9" s="35">
        <v>33650</v>
      </c>
    </row>
    <row r="10" spans="3:11" ht="15" thickBot="1" x14ac:dyDescent="0.4">
      <c r="C10" s="17" t="s">
        <v>17</v>
      </c>
      <c r="D10" s="21">
        <v>0.05</v>
      </c>
      <c r="E10" s="22">
        <v>5.0000000000000001E-3</v>
      </c>
      <c r="F10" s="22">
        <v>1E-3</v>
      </c>
      <c r="G10" s="22">
        <v>120</v>
      </c>
      <c r="H10" s="22">
        <v>0.09</v>
      </c>
      <c r="I10" s="22">
        <v>0.04</v>
      </c>
      <c r="J10" s="22">
        <v>22</v>
      </c>
      <c r="K10" s="35">
        <v>15930</v>
      </c>
    </row>
    <row r="11" spans="3:11" ht="15" thickBot="1" x14ac:dyDescent="0.4">
      <c r="C11" s="23" t="s">
        <v>35</v>
      </c>
      <c r="D11" s="24">
        <v>230</v>
      </c>
      <c r="E11" s="24">
        <v>80.5</v>
      </c>
      <c r="F11" s="24">
        <v>1.8</v>
      </c>
      <c r="G11" s="24">
        <v>30000</v>
      </c>
      <c r="H11" s="24">
        <v>5</v>
      </c>
      <c r="I11" s="24">
        <v>10</v>
      </c>
      <c r="J11" s="24">
        <v>68500</v>
      </c>
      <c r="K11" s="15"/>
    </row>
    <row r="12" spans="3:11" ht="15" thickBot="1" x14ac:dyDescent="0.4">
      <c r="C12" s="25" t="s">
        <v>18</v>
      </c>
      <c r="D12" s="35">
        <v>34000</v>
      </c>
      <c r="E12" s="35">
        <v>13000</v>
      </c>
      <c r="F12" s="35">
        <v>21330</v>
      </c>
      <c r="G12" s="35">
        <v>0.4</v>
      </c>
      <c r="H12" s="35">
        <v>1000</v>
      </c>
      <c r="I12" s="35">
        <v>11250</v>
      </c>
      <c r="J12" s="35">
        <v>20</v>
      </c>
      <c r="K12" s="22"/>
    </row>
    <row r="13" spans="3:11" x14ac:dyDescent="0.35">
      <c r="K13" s="37"/>
    </row>
    <row r="14" spans="3:11" ht="58" x14ac:dyDescent="0.35">
      <c r="C14" s="5" t="s">
        <v>23</v>
      </c>
      <c r="D14" s="5" t="s">
        <v>33</v>
      </c>
      <c r="E14" s="5" t="s">
        <v>39</v>
      </c>
      <c r="H14" s="50" t="s">
        <v>43</v>
      </c>
      <c r="K14" s="37"/>
    </row>
    <row r="15" spans="3:11" x14ac:dyDescent="0.35">
      <c r="C15" s="7">
        <f>SUMPRODUCT(D20:D23,F20:F23)</f>
        <v>20086564.788732395</v>
      </c>
      <c r="D15" s="7">
        <f>C15-H24</f>
        <v>12514146.774647888</v>
      </c>
      <c r="E15" s="34">
        <f>D15-J26-D35</f>
        <v>11954837.45774648</v>
      </c>
      <c r="H15">
        <f>C15/G16</f>
        <v>35.913159644850197</v>
      </c>
    </row>
    <row r="16" spans="3:11" x14ac:dyDescent="0.35">
      <c r="E16" t="s">
        <v>31</v>
      </c>
      <c r="G16" s="49">
        <f>J26+D35</f>
        <v>559309.31690140849</v>
      </c>
    </row>
    <row r="19" spans="3:11" ht="117" customHeight="1" x14ac:dyDescent="0.35">
      <c r="C19" s="4"/>
      <c r="D19" s="5" t="s">
        <v>26</v>
      </c>
      <c r="E19" s="1"/>
      <c r="F19" s="5" t="s">
        <v>32</v>
      </c>
      <c r="G19" s="6" t="s">
        <v>24</v>
      </c>
      <c r="H19" s="6" t="s">
        <v>25</v>
      </c>
      <c r="I19" s="38" t="s">
        <v>34</v>
      </c>
      <c r="J19" s="6" t="s">
        <v>38</v>
      </c>
    </row>
    <row r="20" spans="3:11" ht="15" thickBot="1" x14ac:dyDescent="0.4">
      <c r="C20" s="2" t="s">
        <v>14</v>
      </c>
      <c r="D20" s="26">
        <v>55650</v>
      </c>
      <c r="E20" s="3" t="s">
        <v>19</v>
      </c>
      <c r="F20" s="33">
        <v>10</v>
      </c>
      <c r="G20" s="26">
        <f>SUMPRODUCT(D7:J7,$D$12:$J$12)</f>
        <v>22901.98</v>
      </c>
      <c r="H20" s="7">
        <f>G20*F20</f>
        <v>229019.8</v>
      </c>
      <c r="I20" s="39">
        <f>K7-G20</f>
        <v>32748.02</v>
      </c>
      <c r="J20" s="41">
        <f>D20/G20</f>
        <v>2.4299209064019793</v>
      </c>
      <c r="K20" s="36">
        <v>11</v>
      </c>
    </row>
    <row r="21" spans="3:11" ht="15" thickBot="1" x14ac:dyDescent="0.4">
      <c r="C21" s="2" t="s">
        <v>15</v>
      </c>
      <c r="D21" s="26">
        <v>44370</v>
      </c>
      <c r="E21" s="3" t="s">
        <v>20</v>
      </c>
      <c r="F21" s="33">
        <v>424.08450704225356</v>
      </c>
      <c r="G21" s="26">
        <f>SUMPRODUCT(D8:J8,$D$12:$J$12)</f>
        <v>16967.07</v>
      </c>
      <c r="H21" s="7">
        <f>G21*F21</f>
        <v>7195471.5169014093</v>
      </c>
      <c r="I21" s="39">
        <f>K8-G21</f>
        <v>27402.93</v>
      </c>
      <c r="J21" s="41">
        <f>D21/G21</f>
        <v>2.6150655357701713</v>
      </c>
      <c r="K21" s="36">
        <v>11</v>
      </c>
    </row>
    <row r="22" spans="3:11" ht="15" thickBot="1" x14ac:dyDescent="0.4">
      <c r="C22" s="2" t="s">
        <v>27</v>
      </c>
      <c r="D22" s="26">
        <v>33650</v>
      </c>
      <c r="E22" s="3" t="s">
        <v>21</v>
      </c>
      <c r="F22" s="33">
        <v>10</v>
      </c>
      <c r="G22" s="26">
        <f>SUMPRODUCT(D9:J9,$D$12:$J$12)</f>
        <v>8133.41</v>
      </c>
      <c r="H22" s="7">
        <f>G22*F22</f>
        <v>81334.100000000006</v>
      </c>
      <c r="I22" s="39">
        <f>K9-G22</f>
        <v>25516.59</v>
      </c>
      <c r="J22" s="41">
        <f>D22/G22</f>
        <v>4.1372560832418381</v>
      </c>
      <c r="K22" s="36">
        <v>11</v>
      </c>
    </row>
    <row r="23" spans="3:11" ht="15" thickBot="1" x14ac:dyDescent="0.4">
      <c r="C23" s="2" t="s">
        <v>28</v>
      </c>
      <c r="D23" s="26">
        <v>15930</v>
      </c>
      <c r="E23" s="3" t="s">
        <v>22</v>
      </c>
      <c r="F23" s="33">
        <v>23.661971830985919</v>
      </c>
      <c r="G23" s="28">
        <f>SUMPRODUCT(D10:J10,$D$12:$J$12)</f>
        <v>2814.33</v>
      </c>
      <c r="H23" s="7">
        <f>G23*F23</f>
        <v>66592.597183098595</v>
      </c>
      <c r="I23" s="39">
        <f>K10-G23</f>
        <v>13115.67</v>
      </c>
      <c r="J23" s="41">
        <f>D23/G23</f>
        <v>5.660317020392065</v>
      </c>
      <c r="K23" s="36">
        <v>11</v>
      </c>
    </row>
    <row r="24" spans="3:11" ht="15" thickBot="1" x14ac:dyDescent="0.4">
      <c r="F24" s="32" t="s">
        <v>29</v>
      </c>
      <c r="G24" s="29">
        <f>SUM(G20:G23)</f>
        <v>50816.790000000008</v>
      </c>
      <c r="H24" s="30">
        <f>SUM(H20:H23)</f>
        <v>7572418.0140845077</v>
      </c>
      <c r="I24" s="40">
        <f>SUM(I20:I23)</f>
        <v>98783.209999999992</v>
      </c>
      <c r="J24" s="41">
        <f>SUM(J20:J23)</f>
        <v>14.842559545806054</v>
      </c>
      <c r="K24" s="36">
        <v>11</v>
      </c>
    </row>
    <row r="25" spans="3:11" x14ac:dyDescent="0.35">
      <c r="F25" s="44">
        <f>SUM(F20:F23)</f>
        <v>467.74647887323948</v>
      </c>
    </row>
    <row r="26" spans="3:11" ht="29" x14ac:dyDescent="0.35">
      <c r="C26" s="5" t="s">
        <v>36</v>
      </c>
      <c r="D26" s="27">
        <f>630*(D$11-SUMPRODUCT(D$7:D$10,$F$20:$F$23))</f>
        <v>18886.690140845065</v>
      </c>
      <c r="E26" s="27">
        <f>630*(E$11-SUMPRODUCT(E7:E10,$F$20:$F$23))</f>
        <v>39323.535211267605</v>
      </c>
      <c r="F26" s="27">
        <f>630*(F$11-SUMPRODUCT(F7:F10,$F$20:$F$23))</f>
        <v>-1.3988810110276972E-13</v>
      </c>
      <c r="G26" s="27"/>
      <c r="H26" s="27">
        <f>85*(H$11-SUMPRODUCT(H7:H10,$F$20:$F$23))</f>
        <v>0</v>
      </c>
      <c r="I26" s="27">
        <f>85*(I$11-SUMPRODUCT(I7:I10,$F$20:$F$23))</f>
        <v>199.09154929577451</v>
      </c>
      <c r="J26" s="31">
        <f>SUM(D26:I26)+900</f>
        <v>59309.316901408441</v>
      </c>
    </row>
    <row r="29" spans="3:11" ht="29" x14ac:dyDescent="0.35">
      <c r="C29" s="5" t="s">
        <v>30</v>
      </c>
      <c r="D29" s="7">
        <f>SUMPRODUCT(D7:D10,$F$20:$F$23)</f>
        <v>200.02112676056339</v>
      </c>
      <c r="E29" s="7">
        <f t="shared" ref="E29:J29" si="0">SUMPRODUCT(E7:E10,$F$20:$F$23)</f>
        <v>18.081690140845073</v>
      </c>
      <c r="F29" s="7">
        <f t="shared" si="0"/>
        <v>1.8000000000000003</v>
      </c>
      <c r="G29" s="7">
        <f t="shared" si="0"/>
        <v>12221.126760563382</v>
      </c>
      <c r="H29" s="7">
        <f t="shared" si="0"/>
        <v>5</v>
      </c>
      <c r="I29" s="7">
        <f t="shared" si="0"/>
        <v>7.657746478873241</v>
      </c>
      <c r="J29" s="7">
        <f t="shared" si="0"/>
        <v>20110.281690140848</v>
      </c>
    </row>
    <row r="31" spans="3:11" x14ac:dyDescent="0.35">
      <c r="E31" t="s">
        <v>40</v>
      </c>
      <c r="F31" t="s">
        <v>41</v>
      </c>
      <c r="G31" t="s">
        <v>42</v>
      </c>
    </row>
    <row r="32" spans="3:11" x14ac:dyDescent="0.35">
      <c r="E32" s="44">
        <f>F20+F21</f>
        <v>434.08450704225356</v>
      </c>
      <c r="F32" s="44">
        <f>SUM(F20:F23)</f>
        <v>467.74647887323948</v>
      </c>
      <c r="G32">
        <f>0.4*F32</f>
        <v>187.0985915492958</v>
      </c>
    </row>
    <row r="35" spans="3:4" x14ac:dyDescent="0.35">
      <c r="C35" s="42" t="s">
        <v>37</v>
      </c>
      <c r="D35" s="43">
        <v>500000</v>
      </c>
    </row>
  </sheetData>
  <mergeCells count="3">
    <mergeCell ref="D3:D5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K32"/>
  <sheetViews>
    <sheetView topLeftCell="B1" zoomScale="80" zoomScaleNormal="80" workbookViewId="0">
      <selection activeCell="H14" sqref="H14"/>
    </sheetView>
  </sheetViews>
  <sheetFormatPr defaultRowHeight="14.5" x14ac:dyDescent="0.35"/>
  <cols>
    <col min="1" max="2" width="2.1796875" customWidth="1"/>
    <col min="3" max="3" width="20.453125" customWidth="1"/>
    <col min="4" max="4" width="13.453125" bestFit="1" customWidth="1"/>
    <col min="5" max="5" width="17.81640625" customWidth="1"/>
    <col min="6" max="6" width="13.54296875" customWidth="1"/>
    <col min="7" max="7" width="12.7265625" customWidth="1"/>
    <col min="8" max="8" width="16.54296875" customWidth="1"/>
    <col min="9" max="9" width="14.26953125" customWidth="1"/>
    <col min="10" max="10" width="17.81640625" customWidth="1"/>
    <col min="11" max="11" width="13.7265625" customWidth="1"/>
    <col min="12" max="12" width="18.54296875" customWidth="1"/>
    <col min="13" max="13" width="14" bestFit="1" customWidth="1"/>
    <col min="14" max="14" width="11.453125" bestFit="1" customWidth="1"/>
    <col min="15" max="15" width="18.453125" bestFit="1" customWidth="1"/>
  </cols>
  <sheetData>
    <row r="1" spans="3:11" ht="26" x14ac:dyDescent="0.35">
      <c r="C1" s="71" t="s">
        <v>0</v>
      </c>
      <c r="D1" s="144" t="s">
        <v>2</v>
      </c>
      <c r="E1" s="72" t="s">
        <v>3</v>
      </c>
      <c r="F1" s="72" t="s">
        <v>5</v>
      </c>
      <c r="G1" s="144" t="s">
        <v>6</v>
      </c>
      <c r="H1" s="144" t="s">
        <v>7</v>
      </c>
      <c r="I1" s="72" t="s">
        <v>8</v>
      </c>
      <c r="J1" s="72" t="s">
        <v>10</v>
      </c>
      <c r="K1" s="81" t="s">
        <v>12</v>
      </c>
    </row>
    <row r="2" spans="3:11" x14ac:dyDescent="0.35">
      <c r="C2" s="73"/>
      <c r="D2" s="145"/>
      <c r="E2" s="74" t="s">
        <v>4</v>
      </c>
      <c r="F2" s="74" t="s">
        <v>4</v>
      </c>
      <c r="G2" s="145"/>
      <c r="H2" s="145"/>
      <c r="I2" s="74" t="s">
        <v>9</v>
      </c>
      <c r="J2" s="74" t="s">
        <v>11</v>
      </c>
      <c r="K2" s="82" t="s">
        <v>13</v>
      </c>
    </row>
    <row r="3" spans="3:11" ht="15" thickBot="1" x14ac:dyDescent="0.4">
      <c r="C3" s="75" t="s">
        <v>1</v>
      </c>
      <c r="D3" s="146"/>
      <c r="E3" s="76"/>
      <c r="F3" s="76"/>
      <c r="G3" s="146"/>
      <c r="H3" s="146"/>
      <c r="I3" s="76"/>
      <c r="J3" s="76"/>
      <c r="K3" s="83"/>
    </row>
    <row r="4" spans="3:11" ht="15" thickBot="1" x14ac:dyDescent="0.4">
      <c r="C4" s="17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6">
        <v>9</v>
      </c>
    </row>
    <row r="5" spans="3:11" ht="15" thickBot="1" x14ac:dyDescent="0.4">
      <c r="C5" s="94" t="s">
        <v>14</v>
      </c>
      <c r="D5" s="19">
        <v>0.6</v>
      </c>
      <c r="E5" s="20">
        <v>0.08</v>
      </c>
      <c r="F5" s="20">
        <v>6.0000000000000001E-3</v>
      </c>
      <c r="G5" s="20">
        <v>10</v>
      </c>
      <c r="H5" s="20">
        <v>5.0000000000000001E-3</v>
      </c>
      <c r="I5" s="20">
        <v>0.02</v>
      </c>
      <c r="J5" s="20">
        <v>55</v>
      </c>
      <c r="K5" s="35">
        <v>55650</v>
      </c>
    </row>
    <row r="6" spans="3:11" ht="15" thickBot="1" x14ac:dyDescent="0.4">
      <c r="C6" s="94" t="s">
        <v>15</v>
      </c>
      <c r="D6" s="17">
        <v>0.45</v>
      </c>
      <c r="E6" s="15">
        <v>0.04</v>
      </c>
      <c r="F6" s="15">
        <v>4.0000000000000001E-3</v>
      </c>
      <c r="G6" s="15">
        <v>20</v>
      </c>
      <c r="H6" s="15">
        <v>5.0000000000000001E-3</v>
      </c>
      <c r="I6" s="15">
        <v>1.4999999999999999E-2</v>
      </c>
      <c r="J6" s="15">
        <v>44</v>
      </c>
      <c r="K6" s="35">
        <v>44370</v>
      </c>
    </row>
    <row r="7" spans="3:11" ht="15" thickBot="1" x14ac:dyDescent="0.4">
      <c r="C7" s="94" t="s">
        <v>16</v>
      </c>
      <c r="D7" s="17">
        <v>0.2</v>
      </c>
      <c r="E7" s="15">
        <v>0.02</v>
      </c>
      <c r="F7" s="15">
        <v>2E-3</v>
      </c>
      <c r="G7" s="15">
        <v>80</v>
      </c>
      <c r="H7" s="15">
        <v>7.0000000000000007E-2</v>
      </c>
      <c r="I7" s="15">
        <v>1.4999999999999999E-2</v>
      </c>
      <c r="J7" s="15">
        <v>38</v>
      </c>
      <c r="K7" s="35">
        <v>33650</v>
      </c>
    </row>
    <row r="8" spans="3:11" ht="15" thickBot="1" x14ac:dyDescent="0.4">
      <c r="C8" s="94" t="s">
        <v>17</v>
      </c>
      <c r="D8" s="21">
        <v>0.05</v>
      </c>
      <c r="E8" s="22">
        <v>5.0000000000000001E-3</v>
      </c>
      <c r="F8" s="22">
        <v>1E-3</v>
      </c>
      <c r="G8" s="22">
        <v>120</v>
      </c>
      <c r="H8" s="22">
        <v>0.09</v>
      </c>
      <c r="I8" s="22">
        <v>0.04</v>
      </c>
      <c r="J8" s="22">
        <v>22</v>
      </c>
      <c r="K8" s="35">
        <v>15930</v>
      </c>
    </row>
    <row r="9" spans="3:11" ht="15" thickBot="1" x14ac:dyDescent="0.4">
      <c r="C9" s="94" t="s">
        <v>35</v>
      </c>
      <c r="D9" s="24">
        <v>230</v>
      </c>
      <c r="E9" s="24">
        <v>80.5</v>
      </c>
      <c r="F9" s="24">
        <v>1.8</v>
      </c>
      <c r="G9" s="24">
        <v>30000</v>
      </c>
      <c r="H9" s="24">
        <v>5</v>
      </c>
      <c r="I9" s="24">
        <v>10</v>
      </c>
      <c r="J9" s="24">
        <v>68500</v>
      </c>
      <c r="K9" s="15"/>
    </row>
    <row r="10" spans="3:11" ht="15" thickBot="1" x14ac:dyDescent="0.4">
      <c r="C10" s="95" t="s">
        <v>18</v>
      </c>
      <c r="D10" s="96">
        <v>34000</v>
      </c>
      <c r="E10" s="96">
        <v>13000</v>
      </c>
      <c r="F10" s="96">
        <v>21330</v>
      </c>
      <c r="G10" s="96">
        <v>0.4</v>
      </c>
      <c r="H10" s="96">
        <v>1000</v>
      </c>
      <c r="I10" s="96">
        <v>11250</v>
      </c>
      <c r="J10" s="96">
        <v>20</v>
      </c>
      <c r="K10" s="18"/>
    </row>
    <row r="11" spans="3:11" ht="15" thickBot="1" x14ac:dyDescent="0.4">
      <c r="C11" s="102" t="s">
        <v>44</v>
      </c>
      <c r="D11" s="101">
        <v>441999.99999906705</v>
      </c>
      <c r="E11" s="98">
        <v>-748409.9999999163</v>
      </c>
      <c r="F11" s="98">
        <v>10195.739999999894</v>
      </c>
      <c r="G11" s="98">
        <v>6263.9999999999945</v>
      </c>
      <c r="H11" s="98">
        <v>30839.999999999967</v>
      </c>
      <c r="I11" s="98">
        <v>27562.500000000186</v>
      </c>
      <c r="J11" s="98">
        <v>-716519.99999983725</v>
      </c>
      <c r="K11" s="99"/>
    </row>
    <row r="12" spans="3:11" x14ac:dyDescent="0.35">
      <c r="F12" s="100"/>
      <c r="G12" s="100"/>
      <c r="H12" s="100"/>
      <c r="I12" s="100"/>
      <c r="J12" s="100"/>
      <c r="K12" s="37"/>
    </row>
    <row r="13" spans="3:11" ht="58" x14ac:dyDescent="0.35">
      <c r="C13" s="93" t="s">
        <v>23</v>
      </c>
      <c r="D13" s="97" t="s">
        <v>33</v>
      </c>
      <c r="E13" s="97" t="s">
        <v>39</v>
      </c>
      <c r="K13" s="37"/>
    </row>
    <row r="14" spans="3:11" x14ac:dyDescent="0.35">
      <c r="C14" s="7">
        <f>SUMPRODUCT(D17:D20,F17:F20)</f>
        <v>30665380</v>
      </c>
      <c r="D14" s="7">
        <f>C15-H21</f>
        <v>-7960326.2400000021</v>
      </c>
      <c r="E14" s="34">
        <f>D14-J23-D29-1.2*SUM(D11:J11)-D15-F15</f>
        <v>-8049683.2379991766</v>
      </c>
      <c r="F14">
        <f>1.2*SUM(D11:J11)-D15</f>
        <v>-1353771.3120008237</v>
      </c>
      <c r="G14">
        <f>D14-J23-D29-1.2*SUM(D11:J11)</f>
        <v>-7348493.2379991766</v>
      </c>
    </row>
    <row r="15" spans="3:11" x14ac:dyDescent="0.35">
      <c r="C15">
        <f>1496000</f>
        <v>1496000</v>
      </c>
      <c r="D15">
        <f>343*630</f>
        <v>216090</v>
      </c>
      <c r="E15" t="s">
        <v>31</v>
      </c>
      <c r="F15">
        <f>770*630</f>
        <v>485100</v>
      </c>
    </row>
    <row r="16" spans="3:11" ht="117" customHeight="1" x14ac:dyDescent="0.35">
      <c r="C16" s="45"/>
      <c r="D16" s="46" t="s">
        <v>26</v>
      </c>
      <c r="E16" s="47"/>
      <c r="F16" s="46" t="s">
        <v>32</v>
      </c>
      <c r="G16" s="46" t="s">
        <v>24</v>
      </c>
      <c r="H16" s="46" t="s">
        <v>25</v>
      </c>
      <c r="I16" s="48" t="s">
        <v>34</v>
      </c>
      <c r="J16" s="46" t="s">
        <v>38</v>
      </c>
    </row>
    <row r="17" spans="3:11" ht="15" thickBot="1" x14ac:dyDescent="0.4">
      <c r="C17" s="84" t="s">
        <v>14</v>
      </c>
      <c r="D17" s="26">
        <v>55650</v>
      </c>
      <c r="E17" s="3" t="s">
        <v>19</v>
      </c>
      <c r="F17" s="33">
        <v>10</v>
      </c>
      <c r="G17" s="26">
        <f>SUMPRODUCT(D5:J5,$D$10:$J$10)</f>
        <v>22901.98</v>
      </c>
      <c r="H17" s="7">
        <f>G17*F17</f>
        <v>229019.8</v>
      </c>
      <c r="I17" s="39">
        <f>K5-G17</f>
        <v>32748.02</v>
      </c>
      <c r="J17" s="88">
        <f>D17/G17</f>
        <v>2.4299209064019793</v>
      </c>
      <c r="K17" s="90">
        <f>D9</f>
        <v>230</v>
      </c>
    </row>
    <row r="18" spans="3:11" ht="15" thickBot="1" x14ac:dyDescent="0.4">
      <c r="C18" s="84" t="s">
        <v>15</v>
      </c>
      <c r="D18" s="26">
        <v>44370</v>
      </c>
      <c r="E18" s="3" t="s">
        <v>20</v>
      </c>
      <c r="F18" s="33">
        <v>314.00000000000011</v>
      </c>
      <c r="G18" s="26">
        <f>SUMPRODUCT(D6:J6,$D$10:$J$10)</f>
        <v>16967.07</v>
      </c>
      <c r="H18" s="7">
        <f>G18*F18</f>
        <v>5327659.9800000014</v>
      </c>
      <c r="I18" s="39">
        <f>K6-G18</f>
        <v>27402.93</v>
      </c>
      <c r="J18" s="88">
        <f>D18/G18</f>
        <v>2.6150655357701713</v>
      </c>
      <c r="K18" s="90">
        <f>E9+(E11/E10)</f>
        <v>22.930000000006437</v>
      </c>
    </row>
    <row r="19" spans="3:11" ht="15" thickBot="1" x14ac:dyDescent="0.4">
      <c r="C19" s="84" t="s">
        <v>27</v>
      </c>
      <c r="D19" s="26">
        <v>33650</v>
      </c>
      <c r="E19" s="3" t="s">
        <v>21</v>
      </c>
      <c r="F19" s="33">
        <v>475.99999999999989</v>
      </c>
      <c r="G19" s="26">
        <f>SUMPRODUCT(D7:J7,$D$10:$J$10)</f>
        <v>8133.41</v>
      </c>
      <c r="H19" s="7">
        <f>G19*F19</f>
        <v>3871503.1599999992</v>
      </c>
      <c r="I19" s="39">
        <f>K7-G19</f>
        <v>25516.59</v>
      </c>
      <c r="J19" s="88">
        <f>D19/G19</f>
        <v>4.1372560832418381</v>
      </c>
      <c r="K19" s="90">
        <f>F9</f>
        <v>1.8</v>
      </c>
    </row>
    <row r="20" spans="3:11" ht="15" thickBot="1" x14ac:dyDescent="0.4">
      <c r="C20" s="84" t="s">
        <v>28</v>
      </c>
      <c r="D20" s="26">
        <v>15930</v>
      </c>
      <c r="E20" s="3" t="s">
        <v>22</v>
      </c>
      <c r="F20" s="33">
        <v>10</v>
      </c>
      <c r="G20" s="28">
        <f>SUMPRODUCT(D8:J8,$D$10:$J$10)</f>
        <v>2814.33</v>
      </c>
      <c r="H20" s="7">
        <f>G20*F20</f>
        <v>28143.3</v>
      </c>
      <c r="I20" s="39">
        <f>K8-G20</f>
        <v>13115.67</v>
      </c>
      <c r="J20" s="88">
        <f>D20/G20</f>
        <v>5.660317020392065</v>
      </c>
      <c r="K20" s="90">
        <f>G9</f>
        <v>30000</v>
      </c>
    </row>
    <row r="21" spans="3:11" ht="15" thickBot="1" x14ac:dyDescent="0.4">
      <c r="F21" s="32" t="s">
        <v>29</v>
      </c>
      <c r="G21" s="29">
        <f>SUM(G17:G20)</f>
        <v>50816.790000000008</v>
      </c>
      <c r="H21" s="30">
        <f>SUM(H17:H20)</f>
        <v>9456326.2400000021</v>
      </c>
      <c r="I21" s="40">
        <f>SUM(I17:I20)</f>
        <v>98783.209999999992</v>
      </c>
      <c r="J21" s="88">
        <f>SUM(J17:J20)</f>
        <v>14.842559545806054</v>
      </c>
      <c r="K21" s="91">
        <f>H9</f>
        <v>5</v>
      </c>
    </row>
    <row r="22" spans="3:11" x14ac:dyDescent="0.35">
      <c r="E22" s="108" t="s">
        <v>53</v>
      </c>
      <c r="F22" s="44">
        <f>SUM(F17:F20)</f>
        <v>810</v>
      </c>
      <c r="K22" s="92">
        <f>I9</f>
        <v>10</v>
      </c>
    </row>
    <row r="23" spans="3:11" ht="29" x14ac:dyDescent="0.35">
      <c r="C23" s="85" t="s">
        <v>36</v>
      </c>
      <c r="D23" s="27">
        <f>630*(D$9-SUMPRODUCT(D$5:D$8,$F$17:$F$20))</f>
        <v>-8190.0000000000355</v>
      </c>
      <c r="E23" s="27">
        <f>630*(E$9-SUMPRODUCT(E5:E8,$F$17:$F$20))</f>
        <v>36269.1</v>
      </c>
      <c r="F23" s="27">
        <f>630*(F$9-SUMPRODUCT(F5:F8,$F$17:$F$20))</f>
        <v>-301.14</v>
      </c>
      <c r="G23" s="27"/>
      <c r="H23" s="27">
        <f>85*(H$9-SUMPRODUCT(H5:H8,$F$17:$F$20))</f>
        <v>-2621.3999999999992</v>
      </c>
      <c r="I23" s="27">
        <f>85*(I$9-SUMPRODUCT(I5:I8,$F$17:$F$20))</f>
        <v>-208.25000000000009</v>
      </c>
      <c r="J23" s="89">
        <f>SUM(D23:I23)+900</f>
        <v>25848.309999999965</v>
      </c>
      <c r="K23" s="92">
        <f>J9</f>
        <v>68500</v>
      </c>
    </row>
    <row r="25" spans="3:11" ht="29" x14ac:dyDescent="0.35">
      <c r="C25" s="85" t="s">
        <v>30</v>
      </c>
      <c r="D25" s="7">
        <f t="shared" ref="D25:J25" si="0">SUMPRODUCT(D5:D8,$F$17:$F$20)-(D11/D10)</f>
        <v>230.00000000002748</v>
      </c>
      <c r="E25" s="7">
        <f t="shared" si="0"/>
        <v>80.499999999993562</v>
      </c>
      <c r="F25" s="7">
        <f t="shared" si="0"/>
        <v>1.8000000000000049</v>
      </c>
      <c r="G25" s="7">
        <f t="shared" si="0"/>
        <v>30000.000000000007</v>
      </c>
      <c r="H25" s="7">
        <f t="shared" si="0"/>
        <v>5.0000000000000213</v>
      </c>
      <c r="I25" s="7">
        <f t="shared" si="0"/>
        <v>9.999999999999984</v>
      </c>
      <c r="J25" s="7">
        <f t="shared" si="0"/>
        <v>68499.999999991865</v>
      </c>
    </row>
    <row r="27" spans="3:11" x14ac:dyDescent="0.35">
      <c r="E27" t="s">
        <v>40</v>
      </c>
      <c r="F27" t="s">
        <v>41</v>
      </c>
      <c r="G27" t="s">
        <v>42</v>
      </c>
    </row>
    <row r="28" spans="3:11" x14ac:dyDescent="0.35">
      <c r="E28" s="44">
        <f>F17+F18</f>
        <v>324.00000000000011</v>
      </c>
      <c r="F28" s="44">
        <f>SUM(F17:F20)</f>
        <v>810</v>
      </c>
      <c r="G28">
        <f>0.4*F28</f>
        <v>324</v>
      </c>
    </row>
    <row r="29" spans="3:11" x14ac:dyDescent="0.35">
      <c r="C29" s="86" t="s">
        <v>37</v>
      </c>
      <c r="D29" s="43">
        <v>500000</v>
      </c>
    </row>
    <row r="31" spans="3:11" x14ac:dyDescent="0.35">
      <c r="D31" s="1">
        <f t="shared" ref="D31:J31" si="1">D23*(D9+(D11/D10)-D25)</f>
        <v>-106469.99999955074</v>
      </c>
      <c r="E31" s="1">
        <f t="shared" si="1"/>
        <v>-2088012.086999533</v>
      </c>
      <c r="F31" s="1">
        <f t="shared" si="1"/>
        <v>-143.94491999999704</v>
      </c>
      <c r="G31" s="1">
        <f t="shared" si="1"/>
        <v>0</v>
      </c>
      <c r="H31" s="1">
        <f t="shared" si="1"/>
        <v>-80843.975999999835</v>
      </c>
      <c r="I31" s="1">
        <f t="shared" si="1"/>
        <v>-510.21250000000708</v>
      </c>
      <c r="J31" s="1">
        <f t="shared" si="1"/>
        <v>-926041554.05957818</v>
      </c>
    </row>
    <row r="32" spans="3:11" x14ac:dyDescent="0.35">
      <c r="C32" s="87" t="s">
        <v>45</v>
      </c>
      <c r="D32">
        <f>900</f>
        <v>900</v>
      </c>
    </row>
  </sheetData>
  <mergeCells count="3">
    <mergeCell ref="D1:D3"/>
    <mergeCell ref="G1:G3"/>
    <mergeCell ref="H1:H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K28"/>
  <sheetViews>
    <sheetView zoomScale="91" zoomScaleNormal="91" workbookViewId="0">
      <selection activeCell="F12" sqref="F12"/>
    </sheetView>
  </sheetViews>
  <sheetFormatPr defaultRowHeight="14.5" x14ac:dyDescent="0.35"/>
  <cols>
    <col min="1" max="2" width="2.1796875" customWidth="1"/>
    <col min="3" max="3" width="20.453125" customWidth="1"/>
    <col min="4" max="4" width="13.453125" bestFit="1" customWidth="1"/>
    <col min="5" max="5" width="17.81640625" customWidth="1"/>
    <col min="6" max="6" width="13.54296875" customWidth="1"/>
    <col min="7" max="7" width="12.7265625" customWidth="1"/>
    <col min="8" max="8" width="16.54296875" customWidth="1"/>
    <col min="9" max="9" width="14.26953125" customWidth="1"/>
    <col min="10" max="10" width="17.81640625" customWidth="1"/>
    <col min="11" max="11" width="13.7265625" customWidth="1"/>
    <col min="12" max="12" width="18.54296875" customWidth="1"/>
    <col min="13" max="13" width="14" bestFit="1" customWidth="1"/>
    <col min="14" max="14" width="11.453125" bestFit="1" customWidth="1"/>
    <col min="15" max="15" width="18.453125" bestFit="1" customWidth="1"/>
  </cols>
  <sheetData>
    <row r="1" spans="3:11" ht="26" x14ac:dyDescent="0.35">
      <c r="C1" s="71" t="s">
        <v>0</v>
      </c>
      <c r="D1" s="144" t="s">
        <v>2</v>
      </c>
      <c r="E1" s="72" t="s">
        <v>3</v>
      </c>
      <c r="F1" s="72" t="s">
        <v>5</v>
      </c>
      <c r="G1" s="144" t="s">
        <v>6</v>
      </c>
      <c r="H1" s="144" t="s">
        <v>7</v>
      </c>
      <c r="I1" s="72" t="s">
        <v>8</v>
      </c>
      <c r="J1" s="72" t="s">
        <v>10</v>
      </c>
      <c r="K1" s="81" t="s">
        <v>12</v>
      </c>
    </row>
    <row r="2" spans="3:11" x14ac:dyDescent="0.35">
      <c r="C2" s="73"/>
      <c r="D2" s="145"/>
      <c r="E2" s="74" t="s">
        <v>4</v>
      </c>
      <c r="F2" s="74" t="s">
        <v>4</v>
      </c>
      <c r="G2" s="145"/>
      <c r="H2" s="145"/>
      <c r="I2" s="74" t="s">
        <v>9</v>
      </c>
      <c r="J2" s="74" t="s">
        <v>11</v>
      </c>
      <c r="K2" s="82" t="s">
        <v>13</v>
      </c>
    </row>
    <row r="3" spans="3:11" ht="15" thickBot="1" x14ac:dyDescent="0.4">
      <c r="C3" s="75" t="s">
        <v>1</v>
      </c>
      <c r="D3" s="146"/>
      <c r="E3" s="76"/>
      <c r="F3" s="76"/>
      <c r="G3" s="146"/>
      <c r="H3" s="146"/>
      <c r="I3" s="76"/>
      <c r="J3" s="76"/>
      <c r="K3" s="83"/>
    </row>
    <row r="4" spans="3:11" ht="15" thickBot="1" x14ac:dyDescent="0.4">
      <c r="C4" s="61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6">
        <v>9</v>
      </c>
    </row>
    <row r="5" spans="3:11" ht="15" thickBot="1" x14ac:dyDescent="0.4">
      <c r="C5" s="61" t="s">
        <v>14</v>
      </c>
      <c r="D5" s="19">
        <v>0.6</v>
      </c>
      <c r="E5" s="20">
        <v>0.08</v>
      </c>
      <c r="F5" s="20">
        <v>6.0000000000000001E-3</v>
      </c>
      <c r="G5" s="20">
        <v>10</v>
      </c>
      <c r="H5" s="20">
        <v>5.0000000000000001E-3</v>
      </c>
      <c r="I5" s="20">
        <v>0.02</v>
      </c>
      <c r="J5" s="20">
        <v>55</v>
      </c>
      <c r="K5" s="35">
        <v>4.2603786020611878E-5</v>
      </c>
    </row>
    <row r="6" spans="3:11" ht="15" thickBot="1" x14ac:dyDescent="0.4">
      <c r="C6" s="61" t="s">
        <v>15</v>
      </c>
      <c r="D6" s="17">
        <v>0.45</v>
      </c>
      <c r="E6" s="15">
        <v>0.04</v>
      </c>
      <c r="F6" s="15">
        <v>4.0000000000000001E-3</v>
      </c>
      <c r="G6" s="15">
        <v>20</v>
      </c>
      <c r="H6" s="15">
        <v>5.0000000000000001E-3</v>
      </c>
      <c r="I6" s="15">
        <v>1.4999999999999999E-2</v>
      </c>
      <c r="J6" s="15">
        <v>44</v>
      </c>
      <c r="K6" s="35">
        <v>771.801640928236</v>
      </c>
    </row>
    <row r="7" spans="3:11" ht="15" thickBot="1" x14ac:dyDescent="0.4">
      <c r="C7" s="61" t="s">
        <v>16</v>
      </c>
      <c r="D7" s="17">
        <v>0.2</v>
      </c>
      <c r="E7" s="15">
        <v>0.02</v>
      </c>
      <c r="F7" s="15">
        <v>2E-3</v>
      </c>
      <c r="G7" s="15">
        <v>80</v>
      </c>
      <c r="H7" s="15">
        <v>7.0000000000000007E-2</v>
      </c>
      <c r="I7" s="15">
        <v>1.4999999999999999E-2</v>
      </c>
      <c r="J7" s="15">
        <v>38</v>
      </c>
      <c r="K7" s="35">
        <v>317.88412014876951</v>
      </c>
    </row>
    <row r="8" spans="3:11" ht="15" thickBot="1" x14ac:dyDescent="0.4">
      <c r="C8" s="61" t="s">
        <v>17</v>
      </c>
      <c r="D8" s="21">
        <v>0.05</v>
      </c>
      <c r="E8" s="22">
        <v>5.0000000000000001E-3</v>
      </c>
      <c r="F8" s="22">
        <v>1E-3</v>
      </c>
      <c r="G8" s="22">
        <v>120</v>
      </c>
      <c r="H8" s="22">
        <v>0.09</v>
      </c>
      <c r="I8" s="22">
        <v>0.04</v>
      </c>
      <c r="J8" s="22">
        <v>22</v>
      </c>
      <c r="K8" s="35">
        <v>0</v>
      </c>
    </row>
    <row r="9" spans="3:11" ht="15" thickBot="1" x14ac:dyDescent="0.4">
      <c r="C9" s="23" t="s">
        <v>35</v>
      </c>
      <c r="D9" s="24">
        <v>230</v>
      </c>
      <c r="E9" s="24">
        <v>80.5</v>
      </c>
      <c r="F9" s="24">
        <v>1.8</v>
      </c>
      <c r="G9" s="24">
        <v>30000</v>
      </c>
      <c r="H9" s="24">
        <v>5</v>
      </c>
      <c r="I9" s="24">
        <v>10</v>
      </c>
      <c r="J9" s="24">
        <v>68500</v>
      </c>
      <c r="K9" s="15"/>
    </row>
    <row r="10" spans="3:11" ht="15" thickBot="1" x14ac:dyDescent="0.4">
      <c r="C10" s="25" t="s">
        <v>18</v>
      </c>
      <c r="D10" s="35">
        <v>34000</v>
      </c>
      <c r="E10" s="35">
        <v>13000</v>
      </c>
      <c r="F10" s="35">
        <v>21330</v>
      </c>
      <c r="G10" s="35">
        <v>0.4</v>
      </c>
      <c r="H10" s="35">
        <v>1000</v>
      </c>
      <c r="I10" s="35">
        <v>11250</v>
      </c>
      <c r="J10" s="35">
        <v>20</v>
      </c>
      <c r="K10" s="22"/>
    </row>
    <row r="11" spans="3:11" ht="58" x14ac:dyDescent="0.35">
      <c r="C11" s="80" t="s">
        <v>23</v>
      </c>
      <c r="D11" s="80" t="s">
        <v>33</v>
      </c>
      <c r="E11" s="80" t="s">
        <v>39</v>
      </c>
      <c r="F11" s="104" t="s">
        <v>46</v>
      </c>
      <c r="K11" s="37"/>
    </row>
    <row r="12" spans="3:11" x14ac:dyDescent="0.35">
      <c r="C12" s="7">
        <f>SUMPRODUCT(D15:D18,F15:F18)</f>
        <v>32993618.330113564</v>
      </c>
      <c r="D12" s="7">
        <f>C12-H19</f>
        <v>21481592.356627978</v>
      </c>
      <c r="E12" s="34">
        <f>D12-J21-D28</f>
        <v>20994301.333033241</v>
      </c>
      <c r="F12" s="49">
        <f>G19+J21+D28</f>
        <v>538107.81359473651</v>
      </c>
      <c r="G12">
        <f>F15*K5+F16*K6+F17*K7+F18*K8</f>
        <v>511506.62722372561</v>
      </c>
      <c r="H12" s="105">
        <f>G12/F12</f>
        <v>0.95056532222918999</v>
      </c>
    </row>
    <row r="13" spans="3:11" x14ac:dyDescent="0.35">
      <c r="E13" t="s">
        <v>31</v>
      </c>
    </row>
    <row r="14" spans="3:11" ht="117" customHeight="1" x14ac:dyDescent="0.35">
      <c r="C14" s="77"/>
      <c r="D14" s="63" t="s">
        <v>26</v>
      </c>
      <c r="E14" s="78"/>
      <c r="F14" s="63" t="s">
        <v>32</v>
      </c>
      <c r="G14" s="63" t="s">
        <v>24</v>
      </c>
      <c r="H14" s="63" t="s">
        <v>25</v>
      </c>
      <c r="I14" s="79" t="s">
        <v>34</v>
      </c>
      <c r="J14" s="63" t="s">
        <v>38</v>
      </c>
    </row>
    <row r="15" spans="3:11" ht="15" thickBot="1" x14ac:dyDescent="0.4">
      <c r="C15" s="62" t="s">
        <v>14</v>
      </c>
      <c r="D15" s="26">
        <v>55650</v>
      </c>
      <c r="E15" s="3" t="s">
        <v>19</v>
      </c>
      <c r="F15" s="33">
        <v>0</v>
      </c>
      <c r="G15" s="26">
        <f>SUMPRODUCT(D5:J5,$D$10:$J$10)</f>
        <v>22901.98</v>
      </c>
      <c r="H15" s="7">
        <f>G15*F15</f>
        <v>0</v>
      </c>
      <c r="I15" s="39">
        <f>K5-G15</f>
        <v>-22901.979957396212</v>
      </c>
      <c r="J15" s="41">
        <f>D15/G15</f>
        <v>2.4299209064019793</v>
      </c>
      <c r="K15" s="36"/>
    </row>
    <row r="16" spans="3:11" ht="15" thickBot="1" x14ac:dyDescent="0.4">
      <c r="C16" s="62" t="s">
        <v>15</v>
      </c>
      <c r="D16" s="26">
        <v>44370</v>
      </c>
      <c r="E16" s="3" t="s">
        <v>20</v>
      </c>
      <c r="F16" s="33">
        <v>566.63634200413173</v>
      </c>
      <c r="G16" s="26">
        <f>SUMPRODUCT(D6:J6,$D$10:$J$10)</f>
        <v>16967.07</v>
      </c>
      <c r="H16" s="7">
        <f>G16*F16</f>
        <v>9614158.4793280438</v>
      </c>
      <c r="I16" s="39">
        <f>K6-G16</f>
        <v>-16195.268359071764</v>
      </c>
      <c r="J16" s="41">
        <f>D16/G16</f>
        <v>2.6150655357701713</v>
      </c>
      <c r="K16" s="36"/>
    </row>
    <row r="17" spans="3:11" ht="15" thickBot="1" x14ac:dyDescent="0.4">
      <c r="C17" s="62" t="s">
        <v>27</v>
      </c>
      <c r="D17" s="26">
        <v>33650</v>
      </c>
      <c r="E17" s="3" t="s">
        <v>21</v>
      </c>
      <c r="F17" s="33">
        <v>233.34216449896704</v>
      </c>
      <c r="G17" s="26">
        <f>SUMPRODUCT(D7:J7,$D$10:$J$10)</f>
        <v>8133.41</v>
      </c>
      <c r="H17" s="7">
        <f>G17*F17</f>
        <v>1897867.4941575434</v>
      </c>
      <c r="I17" s="39">
        <f>K7-G17</f>
        <v>-7815.5258798512305</v>
      </c>
      <c r="J17" s="41">
        <f>D17/G17</f>
        <v>4.1372560832418381</v>
      </c>
      <c r="K17" s="36"/>
    </row>
    <row r="18" spans="3:11" ht="15" thickBot="1" x14ac:dyDescent="0.4">
      <c r="C18" s="62" t="s">
        <v>28</v>
      </c>
      <c r="D18" s="26">
        <v>15930</v>
      </c>
      <c r="E18" s="3" t="s">
        <v>22</v>
      </c>
      <c r="F18" s="33">
        <v>0</v>
      </c>
      <c r="G18" s="28">
        <f>SUMPRODUCT(D8:J8,$D$10:$J$10)</f>
        <v>2814.33</v>
      </c>
      <c r="H18" s="7">
        <f>G18*F18</f>
        <v>0</v>
      </c>
      <c r="I18" s="39">
        <f>K8-G18</f>
        <v>-2814.33</v>
      </c>
      <c r="J18" s="41">
        <f>D18/G18</f>
        <v>5.660317020392065</v>
      </c>
      <c r="K18" s="36"/>
    </row>
    <row r="19" spans="3:11" ht="15" thickBot="1" x14ac:dyDescent="0.4">
      <c r="F19" s="32" t="s">
        <v>29</v>
      </c>
      <c r="G19" s="29">
        <f>SUM(G15:G18)</f>
        <v>50816.790000000008</v>
      </c>
      <c r="H19" s="30">
        <f>SUM(H15:H18)</f>
        <v>11512025.973485587</v>
      </c>
      <c r="I19" s="40">
        <f>SUM(I15:I18)</f>
        <v>-49727.104196319204</v>
      </c>
      <c r="J19" s="41">
        <f>SUM(J15:J18)</f>
        <v>14.842559545806054</v>
      </c>
    </row>
    <row r="20" spans="3:11" x14ac:dyDescent="0.35">
      <c r="F20" s="44">
        <f>SUM(F15:F18)</f>
        <v>799.97850650309874</v>
      </c>
    </row>
    <row r="21" spans="3:11" ht="29" x14ac:dyDescent="0.35">
      <c r="C21" s="63" t="s">
        <v>36</v>
      </c>
      <c r="D21" s="27">
        <f>630*(D$9-SUMPRODUCT(D$5:D$8,$F$15:$F$18))</f>
        <v>-45142.515685041188</v>
      </c>
      <c r="E21" s="27">
        <f>630*(E$9-SUMPRODUCT(E5:E8,$F$15:$F$18))</f>
        <v>33495.652908808894</v>
      </c>
      <c r="F21" s="27">
        <f>630*(F$9-SUMPRODUCT(F5:F8,$F$15:$F$18))</f>
        <v>-587.93470911911038</v>
      </c>
      <c r="G21" s="27"/>
      <c r="H21" s="27">
        <f>85*(H$9-SUMPRODUCT(H5:H8,$F$15:$F$18))</f>
        <v>-1204.2063241206099</v>
      </c>
      <c r="I21" s="27">
        <f>85*(I$9-SUMPRODUCT(I5:I8,$F$15:$F$18))</f>
        <v>-169.9725957914508</v>
      </c>
      <c r="J21" s="31">
        <f>SUM(D21:I21)+900</f>
        <v>-12708.976405263465</v>
      </c>
    </row>
    <row r="24" spans="3:11" ht="29" x14ac:dyDescent="0.35">
      <c r="C24" s="63" t="s">
        <v>30</v>
      </c>
      <c r="D24" s="7">
        <f>SUMPRODUCT(D5:D8,$F$15:$F$18)</f>
        <v>301.65478680165268</v>
      </c>
      <c r="E24" s="7">
        <f t="shared" ref="E24:J24" si="0">SUMPRODUCT(E5:E8,$F$15:$F$18)</f>
        <v>27.332296970144611</v>
      </c>
      <c r="F24" s="7">
        <f t="shared" si="0"/>
        <v>2.7332296970144609</v>
      </c>
      <c r="G24" s="7">
        <f t="shared" si="0"/>
        <v>30000.1</v>
      </c>
      <c r="H24" s="7">
        <f t="shared" si="0"/>
        <v>19.167133224948351</v>
      </c>
      <c r="I24" s="7">
        <f t="shared" si="0"/>
        <v>11.99967759754648</v>
      </c>
      <c r="J24" s="7">
        <f t="shared" si="0"/>
        <v>33799.001299142546</v>
      </c>
    </row>
    <row r="26" spans="3:11" x14ac:dyDescent="0.35">
      <c r="E26" s="103" t="s">
        <v>40</v>
      </c>
      <c r="F26" s="103" t="s">
        <v>41</v>
      </c>
      <c r="G26" s="103" t="s">
        <v>42</v>
      </c>
    </row>
    <row r="27" spans="3:11" x14ac:dyDescent="0.35">
      <c r="E27" s="44">
        <f>F15+F16</f>
        <v>566.63634200413173</v>
      </c>
      <c r="F27" s="44">
        <f>SUM(F15:F18)</f>
        <v>799.97850650309874</v>
      </c>
      <c r="G27">
        <f>0.4*F27</f>
        <v>319.99140260123954</v>
      </c>
    </row>
    <row r="28" spans="3:11" x14ac:dyDescent="0.35">
      <c r="C28" s="64" t="s">
        <v>37</v>
      </c>
      <c r="D28" s="43">
        <v>500000</v>
      </c>
    </row>
  </sheetData>
  <mergeCells count="3">
    <mergeCell ref="D1:D3"/>
    <mergeCell ref="G1:G3"/>
    <mergeCell ref="H1:H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K29"/>
  <sheetViews>
    <sheetView zoomScale="91" zoomScaleNormal="91" workbookViewId="0">
      <selection activeCell="O20" sqref="O20"/>
    </sheetView>
  </sheetViews>
  <sheetFormatPr defaultRowHeight="14.5" x14ac:dyDescent="0.35"/>
  <cols>
    <col min="1" max="2" width="2.1796875" customWidth="1"/>
    <col min="3" max="3" width="20.453125" customWidth="1"/>
    <col min="4" max="4" width="13.453125" bestFit="1" customWidth="1"/>
    <col min="5" max="5" width="17.81640625" customWidth="1"/>
    <col min="6" max="6" width="13.54296875" customWidth="1"/>
    <col min="7" max="7" width="12.7265625" customWidth="1"/>
    <col min="8" max="8" width="16.54296875" customWidth="1"/>
    <col min="9" max="9" width="14.26953125" customWidth="1"/>
    <col min="10" max="10" width="17.81640625" customWidth="1"/>
    <col min="11" max="11" width="13.7265625" customWidth="1"/>
    <col min="12" max="12" width="18.54296875" customWidth="1"/>
    <col min="13" max="13" width="14" bestFit="1" customWidth="1"/>
    <col min="14" max="14" width="11.453125" bestFit="1" customWidth="1"/>
    <col min="15" max="15" width="18.453125" bestFit="1" customWidth="1"/>
  </cols>
  <sheetData>
    <row r="1" spans="3:11" ht="26" x14ac:dyDescent="0.35">
      <c r="C1" s="71" t="s">
        <v>0</v>
      </c>
      <c r="D1" s="144" t="s">
        <v>2</v>
      </c>
      <c r="E1" s="72" t="s">
        <v>3</v>
      </c>
      <c r="F1" s="72" t="s">
        <v>5</v>
      </c>
      <c r="G1" s="144" t="s">
        <v>6</v>
      </c>
      <c r="H1" s="144" t="s">
        <v>7</v>
      </c>
      <c r="I1" s="72" t="s">
        <v>8</v>
      </c>
      <c r="J1" s="72" t="s">
        <v>10</v>
      </c>
      <c r="K1" s="81" t="s">
        <v>12</v>
      </c>
    </row>
    <row r="2" spans="3:11" x14ac:dyDescent="0.35">
      <c r="C2" s="73"/>
      <c r="D2" s="145"/>
      <c r="E2" s="74" t="s">
        <v>4</v>
      </c>
      <c r="F2" s="74" t="s">
        <v>4</v>
      </c>
      <c r="G2" s="145"/>
      <c r="H2" s="145"/>
      <c r="I2" s="74" t="s">
        <v>9</v>
      </c>
      <c r="J2" s="74" t="s">
        <v>11</v>
      </c>
      <c r="K2" s="82" t="s">
        <v>13</v>
      </c>
    </row>
    <row r="3" spans="3:11" ht="15" thickBot="1" x14ac:dyDescent="0.4">
      <c r="C3" s="75" t="s">
        <v>1</v>
      </c>
      <c r="D3" s="146"/>
      <c r="E3" s="76"/>
      <c r="F3" s="76"/>
      <c r="G3" s="146"/>
      <c r="H3" s="146"/>
      <c r="I3" s="76"/>
      <c r="J3" s="76"/>
      <c r="K3" s="83"/>
    </row>
    <row r="4" spans="3:11" ht="15" thickBot="1" x14ac:dyDescent="0.4">
      <c r="C4" s="61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6">
        <v>9</v>
      </c>
    </row>
    <row r="5" spans="3:11" ht="15" thickBot="1" x14ac:dyDescent="0.4">
      <c r="C5" s="61" t="s">
        <v>14</v>
      </c>
      <c r="D5" s="19">
        <v>0.6</v>
      </c>
      <c r="E5" s="20">
        <v>0.08</v>
      </c>
      <c r="F5" s="20">
        <v>6.0000000000000001E-3</v>
      </c>
      <c r="G5" s="20">
        <v>10</v>
      </c>
      <c r="H5" s="20">
        <v>5.0000000000000001E-3</v>
      </c>
      <c r="I5" s="20">
        <v>0.02</v>
      </c>
      <c r="J5" s="20">
        <v>55</v>
      </c>
      <c r="K5" s="35">
        <v>4.2603786020611878E-5</v>
      </c>
    </row>
    <row r="6" spans="3:11" ht="15" thickBot="1" x14ac:dyDescent="0.4">
      <c r="C6" s="61" t="s">
        <v>15</v>
      </c>
      <c r="D6" s="17">
        <v>0.45</v>
      </c>
      <c r="E6" s="15">
        <v>0.04</v>
      </c>
      <c r="F6" s="15">
        <v>4.0000000000000001E-3</v>
      </c>
      <c r="G6" s="15">
        <v>20</v>
      </c>
      <c r="H6" s="15">
        <v>5.0000000000000001E-3</v>
      </c>
      <c r="I6" s="15">
        <v>1.4999999999999999E-2</v>
      </c>
      <c r="J6" s="15">
        <v>44</v>
      </c>
      <c r="K6" s="35">
        <v>771.801640928236</v>
      </c>
    </row>
    <row r="7" spans="3:11" ht="15" thickBot="1" x14ac:dyDescent="0.4">
      <c r="C7" s="61" t="s">
        <v>16</v>
      </c>
      <c r="D7" s="17">
        <v>0.2</v>
      </c>
      <c r="E7" s="15">
        <v>0.02</v>
      </c>
      <c r="F7" s="15">
        <v>2E-3</v>
      </c>
      <c r="G7" s="15">
        <v>80</v>
      </c>
      <c r="H7" s="15">
        <v>7.0000000000000007E-2</v>
      </c>
      <c r="I7" s="15">
        <v>1.4999999999999999E-2</v>
      </c>
      <c r="J7" s="15">
        <v>38</v>
      </c>
      <c r="K7" s="35">
        <v>317.88412014876951</v>
      </c>
    </row>
    <row r="8" spans="3:11" ht="15" thickBot="1" x14ac:dyDescent="0.4">
      <c r="C8" s="61" t="s">
        <v>17</v>
      </c>
      <c r="D8" s="21">
        <v>0.05</v>
      </c>
      <c r="E8" s="22">
        <v>5.0000000000000001E-3</v>
      </c>
      <c r="F8" s="22">
        <v>1E-3</v>
      </c>
      <c r="G8" s="22">
        <v>120</v>
      </c>
      <c r="H8" s="22">
        <v>0.09</v>
      </c>
      <c r="I8" s="22">
        <v>0.04</v>
      </c>
      <c r="J8" s="22">
        <v>22</v>
      </c>
      <c r="K8" s="35">
        <v>0</v>
      </c>
    </row>
    <row r="9" spans="3:11" ht="15" thickBot="1" x14ac:dyDescent="0.4">
      <c r="C9" s="23" t="s">
        <v>35</v>
      </c>
      <c r="D9" s="24">
        <v>230</v>
      </c>
      <c r="E9" s="24">
        <v>80.5</v>
      </c>
      <c r="F9" s="24">
        <v>1.8</v>
      </c>
      <c r="G9" s="24">
        <v>30000</v>
      </c>
      <c r="H9" s="24">
        <v>5</v>
      </c>
      <c r="I9" s="24">
        <v>10</v>
      </c>
      <c r="J9" s="24">
        <v>68500</v>
      </c>
      <c r="K9" s="15"/>
    </row>
    <row r="10" spans="3:11" ht="15" thickBot="1" x14ac:dyDescent="0.4">
      <c r="C10" s="25" t="s">
        <v>18</v>
      </c>
      <c r="D10" s="35">
        <v>34000</v>
      </c>
      <c r="E10" s="35">
        <v>13000</v>
      </c>
      <c r="F10" s="35">
        <v>21330</v>
      </c>
      <c r="G10" s="35">
        <f>0.4+0.4*0.5</f>
        <v>0.60000000000000009</v>
      </c>
      <c r="H10" s="35">
        <v>1000</v>
      </c>
      <c r="I10" s="35">
        <v>11250</v>
      </c>
      <c r="J10" s="35">
        <f>20+20*1</f>
        <v>40</v>
      </c>
      <c r="K10" s="22"/>
    </row>
    <row r="11" spans="3:11" x14ac:dyDescent="0.35">
      <c r="K11" s="37"/>
    </row>
    <row r="12" spans="3:11" ht="58" x14ac:dyDescent="0.35">
      <c r="C12" s="80" t="s">
        <v>23</v>
      </c>
      <c r="D12" s="80" t="s">
        <v>33</v>
      </c>
      <c r="E12" s="80" t="s">
        <v>39</v>
      </c>
      <c r="F12" s="104" t="s">
        <v>46</v>
      </c>
      <c r="K12" s="37"/>
    </row>
    <row r="13" spans="3:11" x14ac:dyDescent="0.35">
      <c r="C13" s="7">
        <f>SUMPRODUCT(D16:D19,F16:F19)</f>
        <v>32993618.330113564</v>
      </c>
      <c r="D13" s="7">
        <f>C13-H20</f>
        <v>20799612.310645126</v>
      </c>
      <c r="E13" s="34">
        <f>D13-J22-D29</f>
        <v>20312321.287050389</v>
      </c>
      <c r="F13" s="49">
        <f>G20+J22+D29</f>
        <v>541333.81359473651</v>
      </c>
      <c r="G13">
        <f>F16*K5+F17*K6+F18*K7+F19*K8</f>
        <v>511506.62722372561</v>
      </c>
      <c r="H13" s="105">
        <f>G13/F13</f>
        <v>0.9449005666707887</v>
      </c>
    </row>
    <row r="14" spans="3:11" x14ac:dyDescent="0.35">
      <c r="E14" t="s">
        <v>31</v>
      </c>
    </row>
    <row r="15" spans="3:11" ht="117" customHeight="1" x14ac:dyDescent="0.35">
      <c r="C15" s="77"/>
      <c r="D15" s="63" t="s">
        <v>26</v>
      </c>
      <c r="E15" s="78"/>
      <c r="F15" s="63" t="s">
        <v>32</v>
      </c>
      <c r="G15" s="63" t="s">
        <v>24</v>
      </c>
      <c r="H15" s="63" t="s">
        <v>25</v>
      </c>
      <c r="I15" s="79" t="s">
        <v>34</v>
      </c>
      <c r="J15" s="63" t="s">
        <v>38</v>
      </c>
    </row>
    <row r="16" spans="3:11" ht="15" thickBot="1" x14ac:dyDescent="0.4">
      <c r="C16" s="62" t="s">
        <v>14</v>
      </c>
      <c r="D16" s="26">
        <v>55650</v>
      </c>
      <c r="E16" s="3" t="s">
        <v>19</v>
      </c>
      <c r="F16" s="33">
        <v>0</v>
      </c>
      <c r="G16" s="26">
        <f>SUMPRODUCT(D5:J5,$D$10:$J$10)</f>
        <v>24003.98</v>
      </c>
      <c r="H16" s="7">
        <f>G16*F16</f>
        <v>0</v>
      </c>
      <c r="I16" s="39">
        <f>K5-G16</f>
        <v>-24003.979957396212</v>
      </c>
      <c r="J16" s="41">
        <f>D16/G16</f>
        <v>2.3183655377149957</v>
      </c>
      <c r="K16" s="36"/>
    </row>
    <row r="17" spans="3:11" ht="15" thickBot="1" x14ac:dyDescent="0.4">
      <c r="C17" s="62" t="s">
        <v>15</v>
      </c>
      <c r="D17" s="26">
        <v>44370</v>
      </c>
      <c r="E17" s="3" t="s">
        <v>20</v>
      </c>
      <c r="F17" s="33">
        <v>566.63634200413173</v>
      </c>
      <c r="G17" s="26">
        <f>SUMPRODUCT(D6:J6,$D$10:$J$10)</f>
        <v>17851.07</v>
      </c>
      <c r="H17" s="7">
        <f>G17*F17</f>
        <v>10115065.005659696</v>
      </c>
      <c r="I17" s="39">
        <f>K6-G17</f>
        <v>-17079.268359071764</v>
      </c>
      <c r="J17" s="41">
        <f>D17/G17</f>
        <v>2.4855652910441783</v>
      </c>
      <c r="K17" s="36"/>
    </row>
    <row r="18" spans="3:11" ht="15" thickBot="1" x14ac:dyDescent="0.4">
      <c r="C18" s="62" t="s">
        <v>27</v>
      </c>
      <c r="D18" s="26">
        <v>33650</v>
      </c>
      <c r="E18" s="3" t="s">
        <v>21</v>
      </c>
      <c r="F18" s="33">
        <v>233.34216449896704</v>
      </c>
      <c r="G18" s="26">
        <f>SUMPRODUCT(D7:J7,$D$10:$J$10)</f>
        <v>8909.41</v>
      </c>
      <c r="H18" s="7">
        <f>G18*F18</f>
        <v>2078941.0138087419</v>
      </c>
      <c r="I18" s="39">
        <f>K7-G18</f>
        <v>-8591.5258798512295</v>
      </c>
      <c r="J18" s="41">
        <f>D18/G18</f>
        <v>3.7769055414443828</v>
      </c>
      <c r="K18" s="36"/>
    </row>
    <row r="19" spans="3:11" ht="15" thickBot="1" x14ac:dyDescent="0.4">
      <c r="C19" s="62" t="s">
        <v>28</v>
      </c>
      <c r="D19" s="26">
        <v>15930</v>
      </c>
      <c r="E19" s="3" t="s">
        <v>22</v>
      </c>
      <c r="F19" s="33">
        <v>0</v>
      </c>
      <c r="G19" s="28">
        <f>SUMPRODUCT(D8:J8,$D$10:$J$10)</f>
        <v>3278.33</v>
      </c>
      <c r="H19" s="7">
        <f>G19*F19</f>
        <v>0</v>
      </c>
      <c r="I19" s="39">
        <f>K8-G19</f>
        <v>-3278.33</v>
      </c>
      <c r="J19" s="41">
        <f>D19/G19</f>
        <v>4.8591813514807844</v>
      </c>
      <c r="K19" s="36"/>
    </row>
    <row r="20" spans="3:11" ht="15" thickBot="1" x14ac:dyDescent="0.4">
      <c r="F20" s="32" t="s">
        <v>29</v>
      </c>
      <c r="G20" s="29">
        <f>SUM(G16:G19)</f>
        <v>54042.790000000008</v>
      </c>
      <c r="H20" s="30">
        <f>SUM(H16:H19)</f>
        <v>12194006.019468438</v>
      </c>
      <c r="I20" s="40">
        <f>SUM(I16:I19)</f>
        <v>-52953.104196319204</v>
      </c>
      <c r="J20" s="41">
        <f>SUM(J16:J19)</f>
        <v>13.440017721684342</v>
      </c>
    </row>
    <row r="21" spans="3:11" x14ac:dyDescent="0.35">
      <c r="F21" s="44">
        <f>SUM(F16:F19)</f>
        <v>799.97850650309874</v>
      </c>
    </row>
    <row r="22" spans="3:11" ht="29" x14ac:dyDescent="0.35">
      <c r="C22" s="63" t="s">
        <v>36</v>
      </c>
      <c r="D22" s="27">
        <f>630*(D$9-SUMPRODUCT(D$5:D$8,$F$16:$F$19))</f>
        <v>-45142.515685041188</v>
      </c>
      <c r="E22" s="27">
        <f>630*(E$9-SUMPRODUCT(E5:E8,$F$16:$F$19))</f>
        <v>33495.652908808894</v>
      </c>
      <c r="F22" s="27">
        <f>630*(F$9-SUMPRODUCT(F5:F8,$F$16:$F$19))</f>
        <v>-587.93470911911038</v>
      </c>
      <c r="G22" s="27"/>
      <c r="H22" s="27">
        <f>85*(H$9-SUMPRODUCT(H5:H8,$F$16:$F$19))</f>
        <v>-1204.2063241206099</v>
      </c>
      <c r="I22" s="27">
        <f>85*(I$9-SUMPRODUCT(I5:I8,$F$16:$F$19))</f>
        <v>-169.9725957914508</v>
      </c>
      <c r="J22" s="31">
        <f>SUM(D22:I22)+900</f>
        <v>-12708.976405263465</v>
      </c>
    </row>
    <row r="25" spans="3:11" ht="29" x14ac:dyDescent="0.35">
      <c r="C25" s="63" t="s">
        <v>30</v>
      </c>
      <c r="D25" s="7">
        <f>SUMPRODUCT(D5:D8,$F$16:$F$19)</f>
        <v>301.65478680165268</v>
      </c>
      <c r="E25" s="7">
        <f t="shared" ref="E25:J25" si="0">SUMPRODUCT(E5:E8,$F$16:$F$19)</f>
        <v>27.332296970144611</v>
      </c>
      <c r="F25" s="7">
        <f t="shared" si="0"/>
        <v>2.7332296970144609</v>
      </c>
      <c r="G25" s="7">
        <f t="shared" si="0"/>
        <v>30000.1</v>
      </c>
      <c r="H25" s="7">
        <f t="shared" si="0"/>
        <v>19.167133224948351</v>
      </c>
      <c r="I25" s="7">
        <f t="shared" si="0"/>
        <v>11.99967759754648</v>
      </c>
      <c r="J25" s="7">
        <f t="shared" si="0"/>
        <v>33799.001299142546</v>
      </c>
    </row>
    <row r="27" spans="3:11" x14ac:dyDescent="0.35">
      <c r="E27" s="103" t="s">
        <v>40</v>
      </c>
      <c r="F27" s="103" t="s">
        <v>41</v>
      </c>
      <c r="G27" s="103" t="s">
        <v>42</v>
      </c>
    </row>
    <row r="28" spans="3:11" x14ac:dyDescent="0.35">
      <c r="E28" s="44">
        <f>F16+F17</f>
        <v>566.63634200413173</v>
      </c>
      <c r="F28" s="44">
        <f>SUM(F16:F19)</f>
        <v>799.97850650309874</v>
      </c>
      <c r="G28">
        <f>0.4*F28</f>
        <v>319.99140260123954</v>
      </c>
    </row>
    <row r="29" spans="3:11" x14ac:dyDescent="0.35">
      <c r="C29" s="64" t="s">
        <v>37</v>
      </c>
      <c r="D29" s="43">
        <v>500000</v>
      </c>
    </row>
  </sheetData>
  <mergeCells count="3">
    <mergeCell ref="D1:D3"/>
    <mergeCell ref="G1:G3"/>
    <mergeCell ref="H1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1(по 10)</vt:lpstr>
      <vt:lpstr>2_2</vt:lpstr>
      <vt:lpstr>1</vt:lpstr>
      <vt:lpstr>3</vt:lpstr>
      <vt:lpstr>4</vt:lpstr>
      <vt:lpstr>4 (2)</vt:lpstr>
      <vt:lpstr>6(a)</vt:lpstr>
      <vt:lpstr>6(б)</vt:lpstr>
      <vt:lpstr>8</vt:lpstr>
      <vt:lpstr>4(new)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DerbV</dc:creator>
  <cp:lastModifiedBy>User</cp:lastModifiedBy>
  <dcterms:created xsi:type="dcterms:W3CDTF">2014-04-01T09:54:41Z</dcterms:created>
  <dcterms:modified xsi:type="dcterms:W3CDTF">2018-12-12T19:33:32Z</dcterms:modified>
</cp:coreProperties>
</file>