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-15" windowWidth="19095" windowHeight="6810" firstSheet="1" activeTab="4"/>
  </bookViews>
  <sheets>
    <sheet name="Отчет о результатах 1" sheetId="2" r:id="rId1"/>
    <sheet name="1" sheetId="1" r:id="rId2"/>
    <sheet name="2-3" sheetId="3" r:id="rId3"/>
    <sheet name="5" sheetId="4" r:id="rId4"/>
    <sheet name="8" sheetId="5" r:id="rId5"/>
  </sheets>
  <definedNames>
    <definedName name="solver_adj" localSheetId="1" hidden="1">'1'!$F$20:$F$23</definedName>
    <definedName name="solver_adj" localSheetId="2" hidden="1">'2-3'!$F$20:$F$23</definedName>
    <definedName name="solver_adj" localSheetId="3" hidden="1">'5'!$F$20:$F$23,'5'!$F$31:$F$37</definedName>
    <definedName name="solver_adj" localSheetId="4" hidden="1">'8'!$F$20:$F$23,'8'!$M$20:$M$23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100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'1'!$C$33</definedName>
    <definedName name="solver_lhs1" localSheetId="2" hidden="1">'2-3'!$C$32</definedName>
    <definedName name="solver_lhs1" localSheetId="3" hidden="1">'5'!$C$33</definedName>
    <definedName name="solver_lhs1" localSheetId="4" hidden="1">'8'!$F$20:$F$23</definedName>
    <definedName name="solver_lhs2" localSheetId="1" hidden="1">'1'!$C$32</definedName>
    <definedName name="solver_lhs2" localSheetId="2" hidden="1">'2-3'!$C$33</definedName>
    <definedName name="solver_lhs2" localSheetId="3" hidden="1">'5'!$F$20:$F$23</definedName>
    <definedName name="solver_lhs2" localSheetId="4" hidden="1">'8'!$F$20:$F$23</definedName>
    <definedName name="solver_lhs3" localSheetId="1" hidden="1">'1'!$D$29:$J$29</definedName>
    <definedName name="solver_lhs3" localSheetId="2" hidden="1">'2-3'!$D$26:$I$26</definedName>
    <definedName name="solver_lhs3" localSheetId="3" hidden="1">'5'!$F$20:$F$23</definedName>
    <definedName name="solver_lhs3" localSheetId="4" hidden="1">'8'!$N$20:$N$23</definedName>
    <definedName name="solver_lhs4" localSheetId="1" hidden="1">'1'!$F$20:$F$23</definedName>
    <definedName name="solver_lhs4" localSheetId="2" hidden="1">'2-3'!$D$29</definedName>
    <definedName name="solver_lhs4" localSheetId="3" hidden="1">'5'!$D$29:$J$29</definedName>
    <definedName name="solver_lhs5" localSheetId="2" hidden="1">'2-3'!$D$29:$G$29</definedName>
    <definedName name="solver_lhs5" localSheetId="3" hidden="1">'5'!$F$31:$F$37</definedName>
    <definedName name="solver_lhs6" localSheetId="2" hidden="1">'2-3'!$E$15</definedName>
    <definedName name="solver_lhs6" localSheetId="3" hidden="1">'5'!$F$20:$F$23</definedName>
    <definedName name="solver_lhs7" localSheetId="2" hidden="1">'2-3'!$E$29</definedName>
    <definedName name="solver_lhs7" localSheetId="3" hidden="1">'5'!$F$31:$F$37</definedName>
    <definedName name="solver_lhs8" localSheetId="2" hidden="1">'2-3'!$F$29</definedName>
    <definedName name="solver_lhs9" localSheetId="2" hidden="1">'2-3'!$H$29</definedName>
    <definedName name="solver_lin" localSheetId="1" hidden="1">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2</definedName>
    <definedName name="solver_neg" localSheetId="2" hidden="1">2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4</definedName>
    <definedName name="solver_num" localSheetId="2" hidden="1">9</definedName>
    <definedName name="solver_num" localSheetId="3" hidden="1">6</definedName>
    <definedName name="solver_num" localSheetId="4" hidden="1">3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'1'!$E$15</definedName>
    <definedName name="solver_opt" localSheetId="2" hidden="1">'2-3'!$E$15</definedName>
    <definedName name="solver_opt" localSheetId="3" hidden="1">'5'!$E$15</definedName>
    <definedName name="solver_opt" localSheetId="4" hidden="1">'8'!$E$15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4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3" localSheetId="1" hidden="1">1</definedName>
    <definedName name="solver_rel3" localSheetId="2" hidden="1">1</definedName>
    <definedName name="solver_rel3" localSheetId="3" hidden="1">3</definedName>
    <definedName name="solver_rel3" localSheetId="4" hidden="1">2</definedName>
    <definedName name="solver_rel4" localSheetId="1" hidden="1">3</definedName>
    <definedName name="solver_rel4" localSheetId="2" hidden="1">1</definedName>
    <definedName name="solver_rel4" localSheetId="3" hidden="1">1</definedName>
    <definedName name="solver_rel5" localSheetId="2" hidden="1">1</definedName>
    <definedName name="solver_rel5" localSheetId="3" hidden="1">1</definedName>
    <definedName name="solver_rel6" localSheetId="2" hidden="1">2</definedName>
    <definedName name="solver_rel6" localSheetId="3" hidden="1">3</definedName>
    <definedName name="solver_rel7" localSheetId="2" hidden="1">1</definedName>
    <definedName name="solver_rel7" localSheetId="3" hidden="1">1</definedName>
    <definedName name="solver_rel8" localSheetId="2" hidden="1">1</definedName>
    <definedName name="solver_rel9" localSheetId="2" hidden="1">1</definedName>
    <definedName name="solver_rhs1" localSheetId="1" hidden="1">'1'!$D$33</definedName>
    <definedName name="solver_rhs1" localSheetId="2" hidden="1">'2-3'!$D$32</definedName>
    <definedName name="solver_rhs1" localSheetId="3" hidden="1">'5'!$D$33</definedName>
    <definedName name="solver_rhs1" localSheetId="4" hidden="1">500</definedName>
    <definedName name="solver_rhs2" localSheetId="1" hidden="1">'1'!$D$32</definedName>
    <definedName name="solver_rhs2" localSheetId="2" hidden="1">'2-3'!$D$33</definedName>
    <definedName name="solver_rhs2" localSheetId="3" hidden="1">'5'!$H$32</definedName>
    <definedName name="solver_rhs2" localSheetId="4" hidden="1">400</definedName>
    <definedName name="solver_rhs3" localSheetId="1" hidden="1">'1'!$D$11:$J$11</definedName>
    <definedName name="solver_rhs3" localSheetId="2" hidden="1">580</definedName>
    <definedName name="solver_rhs3" localSheetId="3" hidden="1">'5'!$H$32</definedName>
    <definedName name="solver_rhs3" localSheetId="4" hidden="1">0.3</definedName>
    <definedName name="solver_rhs4" localSheetId="1" hidden="1">20</definedName>
    <definedName name="solver_rhs4" localSheetId="2" hidden="1">580</definedName>
    <definedName name="solver_rhs4" localSheetId="3" hidden="1">'5'!$D$11:$J$11</definedName>
    <definedName name="solver_rhs5" localSheetId="2" hidden="1">'2-3'!$D$11:$G$11</definedName>
    <definedName name="solver_rhs5" localSheetId="3" hidden="1">'5'!$D$11:$J$11</definedName>
    <definedName name="solver_rhs6" localSheetId="2" hidden="1">0</definedName>
    <definedName name="solver_rhs6" localSheetId="3" hidden="1">20</definedName>
    <definedName name="solver_rhs7" localSheetId="2" hidden="1">20</definedName>
    <definedName name="solver_rhs7" localSheetId="3" hidden="1">'5'!$D$11:$J$11</definedName>
    <definedName name="solver_rhs8" localSheetId="2" hidden="1">25</definedName>
    <definedName name="solver_rhs9" localSheetId="2" hidden="1">19</definedName>
    <definedName name="solver_rlx" localSheetId="1" hidden="1">1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0.05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3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0.3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45621"/>
</workbook>
</file>

<file path=xl/calcChain.xml><?xml version="1.0" encoding="utf-8"?>
<calcChain xmlns="http://schemas.openxmlformats.org/spreadsheetml/2006/main">
  <c r="N20" i="5" l="1" a="1"/>
  <c r="C33" i="5"/>
  <c r="C32" i="5"/>
  <c r="J29" i="5"/>
  <c r="I29" i="5"/>
  <c r="H29" i="5"/>
  <c r="G29" i="5"/>
  <c r="F29" i="5"/>
  <c r="E29" i="5"/>
  <c r="D29" i="5"/>
  <c r="I26" i="5"/>
  <c r="H26" i="5"/>
  <c r="F26" i="5"/>
  <c r="E26" i="5"/>
  <c r="D26" i="5"/>
  <c r="D24" i="5"/>
  <c r="I23" i="5"/>
  <c r="H23" i="5"/>
  <c r="G23" i="5"/>
  <c r="J23" i="5" s="1"/>
  <c r="K23" i="5" s="1"/>
  <c r="J22" i="5"/>
  <c r="K22" i="5" s="1"/>
  <c r="I22" i="5"/>
  <c r="G22" i="5"/>
  <c r="H22" i="5" s="1"/>
  <c r="J21" i="5"/>
  <c r="K21" i="5" s="1"/>
  <c r="G21" i="5"/>
  <c r="I21" i="5" s="1"/>
  <c r="G20" i="5"/>
  <c r="J20" i="5" s="1"/>
  <c r="C15" i="5"/>
  <c r="J26" i="5" l="1"/>
  <c r="K29" i="5"/>
  <c r="J24" i="5"/>
  <c r="K20" i="5"/>
  <c r="G24" i="5"/>
  <c r="I20" i="5"/>
  <c r="I24" i="5" s="1"/>
  <c r="H21" i="5"/>
  <c r="H20" i="5"/>
  <c r="E26" i="4" a="1"/>
  <c r="E26" i="4" s="1"/>
  <c r="D29" i="4"/>
  <c r="H32" i="4"/>
  <c r="H29" i="4"/>
  <c r="J29" i="4"/>
  <c r="I29" i="4"/>
  <c r="G29" i="4"/>
  <c r="F29" i="4"/>
  <c r="E29" i="4"/>
  <c r="C33" i="4"/>
  <c r="C32" i="4"/>
  <c r="I26" i="4"/>
  <c r="H26" i="4"/>
  <c r="F26" i="4"/>
  <c r="D26" i="4"/>
  <c r="D24" i="4"/>
  <c r="G23" i="4"/>
  <c r="H23" i="4" s="1"/>
  <c r="J22" i="4"/>
  <c r="K22" i="4" s="1"/>
  <c r="I22" i="4"/>
  <c r="H22" i="4"/>
  <c r="G22" i="4"/>
  <c r="J21" i="4"/>
  <c r="K21" i="4" s="1"/>
  <c r="I21" i="4"/>
  <c r="G21" i="4"/>
  <c r="H21" i="4" s="1"/>
  <c r="G20" i="4"/>
  <c r="J20" i="4" s="1"/>
  <c r="C15" i="4"/>
  <c r="H24" i="5" l="1"/>
  <c r="D15" i="5" s="1"/>
  <c r="E15" i="5" s="1"/>
  <c r="N20" i="5" s="1"/>
  <c r="K29" i="4"/>
  <c r="J26" i="4"/>
  <c r="K20" i="4"/>
  <c r="G24" i="4"/>
  <c r="H20" i="4"/>
  <c r="H24" i="4" s="1"/>
  <c r="D15" i="4" s="1"/>
  <c r="I23" i="4"/>
  <c r="I20" i="4"/>
  <c r="I24" i="4" s="1"/>
  <c r="J23" i="4"/>
  <c r="K23" i="4" s="1"/>
  <c r="C33" i="3"/>
  <c r="C32" i="3"/>
  <c r="J29" i="3"/>
  <c r="I29" i="3"/>
  <c r="H29" i="3"/>
  <c r="G29" i="3"/>
  <c r="F29" i="3"/>
  <c r="E29" i="3"/>
  <c r="D29" i="3"/>
  <c r="I26" i="3"/>
  <c r="H26" i="3"/>
  <c r="F26" i="3"/>
  <c r="E26" i="3"/>
  <c r="D26" i="3"/>
  <c r="H23" i="3"/>
  <c r="G23" i="3"/>
  <c r="J23" i="3" s="1"/>
  <c r="K23" i="3" s="1"/>
  <c r="J22" i="3"/>
  <c r="K22" i="3" s="1"/>
  <c r="I22" i="3"/>
  <c r="H22" i="3"/>
  <c r="G22" i="3"/>
  <c r="J21" i="3"/>
  <c r="K21" i="3" s="1"/>
  <c r="G21" i="3"/>
  <c r="I21" i="3" s="1"/>
  <c r="G20" i="3"/>
  <c r="J20" i="3" s="1"/>
  <c r="C15" i="3"/>
  <c r="K29" i="1"/>
  <c r="J29" i="1"/>
  <c r="D29" i="1"/>
  <c r="H20" i="1"/>
  <c r="G20" i="1"/>
  <c r="K23" i="1"/>
  <c r="K21" i="1"/>
  <c r="K22" i="1"/>
  <c r="K20" i="1"/>
  <c r="C32" i="1"/>
  <c r="D24" i="1"/>
  <c r="E15" i="4" l="1"/>
  <c r="N23" i="5"/>
  <c r="N22" i="5"/>
  <c r="N21" i="5"/>
  <c r="J24" i="4"/>
  <c r="J26" i="3"/>
  <c r="K29" i="3"/>
  <c r="K20" i="3"/>
  <c r="J24" i="3"/>
  <c r="I23" i="3"/>
  <c r="G24" i="3"/>
  <c r="I20" i="3"/>
  <c r="H21" i="3"/>
  <c r="H20" i="3"/>
  <c r="E26" i="1"/>
  <c r="D26" i="1"/>
  <c r="F26" i="1"/>
  <c r="C15" i="1"/>
  <c r="I26" i="1"/>
  <c r="H26" i="1"/>
  <c r="G21" i="1"/>
  <c r="I20" i="1"/>
  <c r="C33" i="1"/>
  <c r="G23" i="1"/>
  <c r="J23" i="1" s="1"/>
  <c r="E29" i="1"/>
  <c r="F29" i="1"/>
  <c r="G29" i="1"/>
  <c r="H29" i="1"/>
  <c r="I29" i="1"/>
  <c r="J20" i="1"/>
  <c r="J21" i="1"/>
  <c r="G22" i="1"/>
  <c r="H22" i="1" s="1"/>
  <c r="I23" i="1"/>
  <c r="H24" i="3" l="1"/>
  <c r="D15" i="3" s="1"/>
  <c r="E15" i="3" s="1"/>
  <c r="I24" i="3"/>
  <c r="J26" i="1"/>
  <c r="I22" i="1"/>
  <c r="J22" i="1"/>
  <c r="J24" i="1" s="1"/>
  <c r="I21" i="1"/>
  <c r="I24" i="1" s="1"/>
  <c r="G24" i="1"/>
  <c r="H21" i="1"/>
  <c r="H23" i="1"/>
  <c r="H24" i="1" s="1"/>
  <c r="D15" i="1" s="1"/>
  <c r="E15" i="1" s="1"/>
</calcChain>
</file>

<file path=xl/sharedStrings.xml><?xml version="1.0" encoding="utf-8"?>
<sst xmlns="http://schemas.openxmlformats.org/spreadsheetml/2006/main" count="293" uniqueCount="119">
  <si>
    <t>Ресурс</t>
  </si>
  <si>
    <t>Продукція</t>
  </si>
  <si>
    <t>Концентровані соки, т</t>
  </si>
  <si>
    <t>Сироп,</t>
  </si>
  <si>
    <t>т</t>
  </si>
  <si>
    <t>Емульсії,</t>
  </si>
  <si>
    <t>Електроенергія, кВт/год.</t>
  </si>
  <si>
    <t>Вуглекислий газ, т</t>
  </si>
  <si>
    <t>Пакувальні</t>
  </si>
  <si>
    <t>матеріали,т</t>
  </si>
  <si>
    <t>Норма часу,</t>
  </si>
  <si>
    <t>год.</t>
  </si>
  <si>
    <t>Ціна реалізації,</t>
  </si>
  <si>
    <t>грн.</t>
  </si>
  <si>
    <t>Ціна придбання, грн.</t>
  </si>
  <si>
    <t>x1</t>
  </si>
  <si>
    <t>x2</t>
  </si>
  <si>
    <t>x3</t>
  </si>
  <si>
    <t>x4</t>
  </si>
  <si>
    <t>Вал_прибуток</t>
  </si>
  <si>
    <t>собівартість одиниці</t>
  </si>
  <si>
    <t>собівартість випуску</t>
  </si>
  <si>
    <t>ціна реалізації</t>
  </si>
  <si>
    <t>сума</t>
  </si>
  <si>
    <t>Обмеження на ресурси</t>
  </si>
  <si>
    <t>обмеження на обсяг виробництва</t>
  </si>
  <si>
    <t>ЦІЛЬОВА КОМІРКА</t>
  </si>
  <si>
    <t>Обсяг виробництва</t>
  </si>
  <si>
    <t>Валовий прибуток мінус собівартість</t>
  </si>
  <si>
    <t>Умовно-чистий прибуток одиниці випуску</t>
  </si>
  <si>
    <t>Запас ресурсу</t>
  </si>
  <si>
    <t>Витрати на зберігання, грн</t>
  </si>
  <si>
    <t>Постійні витрати,грн.</t>
  </si>
  <si>
    <t>Рентабельність одиниці продукції (відношення ціни реалізації одиці продукції до її собівартості)</t>
  </si>
  <si>
    <t>Чистий прибуток</t>
  </si>
  <si>
    <t>1. Фасадна плитка, т</t>
  </si>
  <si>
    <t>2. Плитка д/внутріш ніх робіт, т</t>
  </si>
  <si>
    <t>3. Плитка д/ підлоги, т</t>
  </si>
  <si>
    <t>4. Черепи ця, т</t>
  </si>
  <si>
    <t>Microsoft Excel 14.0 Отчет о результатах</t>
  </si>
  <si>
    <t>Лист: [LAB.xlsx]Лист1</t>
  </si>
  <si>
    <t>Отчет создан: 2018/11/13 9:46:22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</si>
  <si>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</si>
  <si>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</si>
  <si>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линейных задач симплекс-методом</t>
  </si>
  <si>
    <t>Время решения: 0 секунд.</t>
  </si>
  <si>
    <t>Число итераций: 4 Число подзадач: 0</t>
  </si>
  <si>
    <t>Параметры поиска решения</t>
  </si>
  <si>
    <t>Максимальное время 100 с,  Число итераций 100,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</si>
  <si>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5%, Решение без целочисленных ограничений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</si>
  <si>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</si>
  <si>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</si>
  <si>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</si>
  <si>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</si>
  <si>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</si>
  <si>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</si>
  <si>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</si>
  <si>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</si>
  <si>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</si>
  <si>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</si>
  <si>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</si>
  <si>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</si>
  <si>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$E$15</t>
  </si>
  <si>
    <t>$F$20</t>
  </si>
  <si>
    <t>x1 Обсяг виробництва</t>
  </si>
  <si>
    <t>Продолжить</t>
  </si>
  <si>
    <t>$F$21</t>
  </si>
  <si>
    <t>x2 Обсяг виробництва</t>
  </si>
  <si>
    <t>$F$22</t>
  </si>
  <si>
    <t>x3 Обсяг виробництва</t>
  </si>
  <si>
    <t>$F$23</t>
  </si>
  <si>
    <t>x4 Обсяг виробництва</t>
  </si>
  <si>
    <t>$C$33</t>
  </si>
  <si>
    <t>$C$33&gt;=$D$33</t>
  </si>
  <si>
    <t>Без привязки</t>
  </si>
  <si>
    <t>$C$32</t>
  </si>
  <si>
    <t>$C$32&gt;=$D$32</t>
  </si>
  <si>
    <t>Привязка</t>
  </si>
  <si>
    <t>$D$29</t>
  </si>
  <si>
    <t>Обмеження на ресурси ціна реалізації</t>
  </si>
  <si>
    <t>$D$29&lt;=$D$11</t>
  </si>
  <si>
    <t>$E$29</t>
  </si>
  <si>
    <t>Обмеження на ресурси x4</t>
  </si>
  <si>
    <t>$E$29&lt;=$E$11</t>
  </si>
  <si>
    <t>$F$29</t>
  </si>
  <si>
    <t>Обмеження на ресурси сума</t>
  </si>
  <si>
    <t>$F$29&lt;=$F$11</t>
  </si>
  <si>
    <t>$G$29</t>
  </si>
  <si>
    <t>Обмеження на ресурси собівартість одиниці</t>
  </si>
  <si>
    <t>$G$29&lt;=$G$11</t>
  </si>
  <si>
    <t>$H$29</t>
  </si>
  <si>
    <t>Обмеження на ресурси собівартість випуску</t>
  </si>
  <si>
    <t>$H$29&lt;=$H$11</t>
  </si>
  <si>
    <t>$I$29</t>
  </si>
  <si>
    <t>Обмеження на ресурси Умовно-чистий прибуток одиниці випуску</t>
  </si>
  <si>
    <t>$I$29&lt;=$I$11</t>
  </si>
  <si>
    <t>$J$29</t>
  </si>
  <si>
    <t>Обмеження на ресурси Рентабельність одиниці продукції (відношення ціни реалізації одиці продукції до її собівартості)</t>
  </si>
  <si>
    <t>$J$29&lt;=$J$11</t>
  </si>
  <si>
    <t>$F$20&gt;=20</t>
  </si>
  <si>
    <t>$F$21&gt;=20</t>
  </si>
  <si>
    <t>$F$22&gt;=20</t>
  </si>
  <si>
    <t>$F$23&gt;=20</t>
  </si>
  <si>
    <t>розрахувати обсяг кредиту на придбання ресурсів</t>
  </si>
  <si>
    <t>точку беззбитковості</t>
  </si>
  <si>
    <t>Cума</t>
  </si>
  <si>
    <t>k1</t>
  </si>
  <si>
    <t>k2</t>
  </si>
  <si>
    <t>k3</t>
  </si>
  <si>
    <t>k4</t>
  </si>
  <si>
    <t>k5</t>
  </si>
  <si>
    <t>k6</t>
  </si>
  <si>
    <t>k7</t>
  </si>
  <si>
    <t>с1</t>
  </si>
  <si>
    <t>с2</t>
  </si>
  <si>
    <t>с3</t>
  </si>
  <si>
    <t>с4</t>
  </si>
  <si>
    <t>Ціна реалізації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</si>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</sst>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indexed="1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/>
      <diagonal style="thin">
        <color indexed="64"/>
      </diagonal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1">
      <left style="medium">
        <color indexed="64"/>
      </left>
      <right style="medium">
        <color indexed="64"/>
      </right>
      <top/>
      <bottom style="medium">
        <color rgb="FF000000"/>
      </bottom>
      <diagonal style="thin">
        <color indexed="64"/>
      </diagonal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1" fillId="4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/>
    <xf numFmtId="3" fontId="0" fillId="0" borderId="1" xfId="0" applyNumberForma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0" fontId="8" fillId="0" borderId="16" xfId="0" applyFont="1" applyBorder="1" applyAlignment="1">
      <alignment horizontal="center" vertical="center" wrapText="1"/>
    </xf>
    <xf numFmtId="3" fontId="9" fillId="0" borderId="16" xfId="0" applyNumberFormat="1" applyFont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3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3" fontId="1" fillId="6" borderId="9" xfId="0" applyNumberFormat="1" applyFont="1" applyFill="1" applyBorder="1" applyAlignment="1">
      <alignment horizontal="center"/>
    </xf>
    <xf numFmtId="3" fontId="1" fillId="6" borderId="10" xfId="0" applyNumberFormat="1" applyFont="1" applyFill="1" applyBorder="1" applyAlignment="1">
      <alignment horizontal="center"/>
    </xf>
    <xf numFmtId="3" fontId="1" fillId="6" borderId="12" xfId="0" applyNumberFormat="1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 wrapText="1"/>
    </xf>
    <xf numFmtId="0" fontId="1" fillId="0" borderId="0" xfId="0" applyFont="1"/>
    <xf numFmtId="0" fontId="0" fillId="0" borderId="19" xfId="0" applyFill="1" applyBorder="1" applyAlignment="1"/>
    <xf numFmtId="0" fontId="10" fillId="0" borderId="18" xfId="0" applyFont="1" applyFill="1" applyBorder="1" applyAlignment="1">
      <alignment horizontal="center"/>
    </xf>
    <xf numFmtId="0" fontId="0" fillId="0" borderId="20" xfId="0" applyFill="1" applyBorder="1" applyAlignment="1"/>
    <xf numFmtId="164" fontId="0" fillId="0" borderId="19" xfId="0" applyNumberFormat="1" applyFill="1" applyBorder="1" applyAlignment="1"/>
    <xf numFmtId="164" fontId="0" fillId="0" borderId="20" xfId="0" applyNumberFormat="1" applyFill="1" applyBorder="1" applyAlignment="1"/>
    <xf numFmtId="3" fontId="0" fillId="0" borderId="0" xfId="0" applyNumberFormat="1"/>
    <xf numFmtId="0" fontId="12" fillId="0" borderId="0" xfId="0" applyFont="1" applyAlignment="1">
      <alignment wrapText="1"/>
    </xf>
    <xf numFmtId="0" fontId="12" fillId="0" borderId="1" xfId="0" applyFont="1" applyBorder="1" applyAlignment="1">
      <alignment horizontal="center" wrapText="1"/>
    </xf>
    <xf numFmtId="9" fontId="0" fillId="0" borderId="1" xfId="1" applyFont="1" applyBorder="1"/>
    <xf numFmtId="0" fontId="1" fillId="7" borderId="1" xfId="0" applyFont="1" applyFill="1" applyBorder="1" applyAlignment="1">
      <alignment horizontal="center"/>
    </xf>
    <xf numFmtId="0" fontId="0" fillId="0" borderId="11" xfId="0" applyBorder="1"/>
    <xf numFmtId="3" fontId="0" fillId="0" borderId="11" xfId="0" applyNumberFormat="1" applyBorder="1"/>
    <xf numFmtId="0" fontId="1" fillId="0" borderId="1" xfId="0" applyFont="1" applyBorder="1" applyAlignment="1">
      <alignment horizontal="right"/>
    </xf>
    <xf numFmtId="0" fontId="0" fillId="7" borderId="1" xfId="0" applyFill="1" applyBorder="1"/>
    <xf numFmtId="0" fontId="13" fillId="0" borderId="1" xfId="0" applyFont="1" applyBorder="1" applyAlignment="1">
      <alignment horizontal="center" wrapText="1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114.42578125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45" t="s">
        <v>39</v>
      </c>
    </row>
    <row r="2" spans="1:5" x14ac:dyDescent="0.25">
      <c r="A2" s="45" t="s">
        <v>40</v>
      </c>
    </row>
    <row r="3" spans="1:5" x14ac:dyDescent="0.25">
      <c r="A3" s="45" t="s">
        <v>41</v>
      </c>
    </row>
    <row r="4" spans="1:5" x14ac:dyDescent="0.25">
      <c r="A4" s="45" t="s">
        <v>42</v>
      </c>
    </row>
    <row r="5" spans="1:5" x14ac:dyDescent="0.25">
      <c r="A5" s="45" t="s">
        <v>43</v>
      </c>
    </row>
    <row r="6" spans="1:5" x14ac:dyDescent="0.25">
      <c r="A6" s="45"/>
      <c r="B6" t="s">
        <v>44</v>
      </c>
    </row>
    <row r="7" spans="1:5" x14ac:dyDescent="0.25">
      <c r="A7" s="45"/>
      <c r="B7" t="s">
        <v>45</v>
      </c>
    </row>
    <row r="8" spans="1:5" x14ac:dyDescent="0.25">
      <c r="A8" s="45"/>
      <c r="B8" t="s">
        <v>46</v>
      </c>
    </row>
    <row r="9" spans="1:5" x14ac:dyDescent="0.25">
      <c r="A9" s="45" t="s">
        <v>47</v>
      </c>
    </row>
    <row r="10" spans="1:5" x14ac:dyDescent="0.25">
      <c r="B10" t="s">
        <v>48</v>
      </c>
    </row>
    <row r="11" spans="1:5" x14ac:dyDescent="0.25">
      <c r="B11" t="s">
        <v>49</v>
      </c>
    </row>
    <row r="14" spans="1:5" ht="15.75" thickBot="1" x14ac:dyDescent="0.3">
      <c r="A14" t="s">
        <v>50</v>
      </c>
    </row>
    <row r="15" spans="1:5" ht="15.75" thickBot="1" x14ac:dyDescent="0.3">
      <c r="B15" s="47" t="s">
        <v>51</v>
      </c>
      <c r="C15" s="47" t="s">
        <v>52</v>
      </c>
      <c r="D15" s="47" t="s">
        <v>53</v>
      </c>
      <c r="E15" s="47" t="s">
        <v>54</v>
      </c>
    </row>
    <row r="16" spans="1:5" ht="15.75" thickBot="1" x14ac:dyDescent="0.3">
      <c r="B16" s="46" t="s">
        <v>62</v>
      </c>
      <c r="C16" s="46" t="s">
        <v>34</v>
      </c>
      <c r="D16" s="49">
        <v>-247531.05882352946</v>
      </c>
      <c r="E16" s="49">
        <v>-203618.80630630639</v>
      </c>
    </row>
    <row r="19" spans="1:7" ht="15.75" thickBot="1" x14ac:dyDescent="0.3">
      <c r="A19" t="s">
        <v>55</v>
      </c>
    </row>
    <row r="20" spans="1:7" ht="15.75" thickBot="1" x14ac:dyDescent="0.3">
      <c r="B20" s="47" t="s">
        <v>51</v>
      </c>
      <c r="C20" s="47" t="s">
        <v>52</v>
      </c>
      <c r="D20" s="47" t="s">
        <v>53</v>
      </c>
      <c r="E20" s="47" t="s">
        <v>54</v>
      </c>
      <c r="F20" s="47" t="s">
        <v>56</v>
      </c>
    </row>
    <row r="21" spans="1:7" x14ac:dyDescent="0.25">
      <c r="B21" s="48" t="s">
        <v>63</v>
      </c>
      <c r="C21" s="48" t="s">
        <v>64</v>
      </c>
      <c r="D21" s="50">
        <v>62.352941176470573</v>
      </c>
      <c r="E21" s="50">
        <v>40</v>
      </c>
      <c r="F21" s="48" t="s">
        <v>65</v>
      </c>
    </row>
    <row r="22" spans="1:7" x14ac:dyDescent="0.25">
      <c r="B22" s="48" t="s">
        <v>66</v>
      </c>
      <c r="C22" s="48" t="s">
        <v>67</v>
      </c>
      <c r="D22" s="50">
        <v>20</v>
      </c>
      <c r="E22" s="50">
        <v>20</v>
      </c>
      <c r="F22" s="48" t="s">
        <v>65</v>
      </c>
    </row>
    <row r="23" spans="1:7" x14ac:dyDescent="0.25">
      <c r="B23" s="48" t="s">
        <v>68</v>
      </c>
      <c r="C23" s="48" t="s">
        <v>69</v>
      </c>
      <c r="D23" s="50">
        <v>20</v>
      </c>
      <c r="E23" s="50">
        <v>25.405405405405421</v>
      </c>
      <c r="F23" s="48" t="s">
        <v>65</v>
      </c>
    </row>
    <row r="24" spans="1:7" ht="15.75" thickBot="1" x14ac:dyDescent="0.3">
      <c r="B24" s="46" t="s">
        <v>70</v>
      </c>
      <c r="C24" s="46" t="s">
        <v>71</v>
      </c>
      <c r="D24" s="49">
        <v>20</v>
      </c>
      <c r="E24" s="49">
        <v>48.063063063063012</v>
      </c>
      <c r="F24" s="46" t="s">
        <v>65</v>
      </c>
    </row>
    <row r="27" spans="1:7" ht="15.75" thickBot="1" x14ac:dyDescent="0.3">
      <c r="A27" t="s">
        <v>57</v>
      </c>
    </row>
    <row r="28" spans="1:7" ht="15.75" thickBot="1" x14ac:dyDescent="0.3">
      <c r="B28" s="47" t="s">
        <v>51</v>
      </c>
      <c r="C28" s="47" t="s">
        <v>52</v>
      </c>
      <c r="D28" s="47" t="s">
        <v>58</v>
      </c>
      <c r="E28" s="47" t="s">
        <v>59</v>
      </c>
      <c r="F28" s="47" t="s">
        <v>60</v>
      </c>
      <c r="G28" s="47" t="s">
        <v>61</v>
      </c>
    </row>
    <row r="29" spans="1:7" x14ac:dyDescent="0.25">
      <c r="B29" s="48" t="s">
        <v>72</v>
      </c>
      <c r="C29" s="48" t="s">
        <v>25</v>
      </c>
      <c r="D29" s="50">
        <v>53.46846846846843</v>
      </c>
      <c r="E29" s="48" t="s">
        <v>73</v>
      </c>
      <c r="F29" s="48" t="s">
        <v>74</v>
      </c>
      <c r="G29" s="50">
        <v>53.46846846846843</v>
      </c>
    </row>
    <row r="30" spans="1:7" x14ac:dyDescent="0.25">
      <c r="B30" s="48" t="s">
        <v>75</v>
      </c>
      <c r="C30" s="48" t="s">
        <v>25</v>
      </c>
      <c r="D30" s="50">
        <v>20</v>
      </c>
      <c r="E30" s="48" t="s">
        <v>76</v>
      </c>
      <c r="F30" s="48" t="s">
        <v>77</v>
      </c>
      <c r="G30" s="50">
        <v>0</v>
      </c>
    </row>
    <row r="31" spans="1:7" x14ac:dyDescent="0.25">
      <c r="B31" s="48" t="s">
        <v>78</v>
      </c>
      <c r="C31" s="48" t="s">
        <v>79</v>
      </c>
      <c r="D31" s="50">
        <v>71.528828828828793</v>
      </c>
      <c r="E31" s="48" t="s">
        <v>80</v>
      </c>
      <c r="F31" s="48" t="s">
        <v>74</v>
      </c>
      <c r="G31" s="48">
        <v>508.47117117117119</v>
      </c>
    </row>
    <row r="32" spans="1:7" x14ac:dyDescent="0.25">
      <c r="B32" s="48" t="s">
        <v>81</v>
      </c>
      <c r="C32" s="48" t="s">
        <v>82</v>
      </c>
      <c r="D32" s="50">
        <v>10.375225225225226</v>
      </c>
      <c r="E32" s="48" t="s">
        <v>83</v>
      </c>
      <c r="F32" s="48" t="s">
        <v>74</v>
      </c>
      <c r="G32" s="48">
        <v>9.6247747747747745</v>
      </c>
    </row>
    <row r="33" spans="2:7" x14ac:dyDescent="0.25">
      <c r="B33" s="48" t="s">
        <v>84</v>
      </c>
      <c r="C33" s="48" t="s">
        <v>85</v>
      </c>
      <c r="D33" s="50">
        <v>25</v>
      </c>
      <c r="E33" s="48" t="s">
        <v>86</v>
      </c>
      <c r="F33" s="48" t="s">
        <v>77</v>
      </c>
      <c r="G33" s="48">
        <v>0</v>
      </c>
    </row>
    <row r="34" spans="2:7" x14ac:dyDescent="0.25">
      <c r="B34" s="48" t="s">
        <v>87</v>
      </c>
      <c r="C34" s="48" t="s">
        <v>88</v>
      </c>
      <c r="D34" s="50">
        <v>17178.378378378373</v>
      </c>
      <c r="E34" s="48" t="s">
        <v>89</v>
      </c>
      <c r="F34" s="48" t="s">
        <v>74</v>
      </c>
      <c r="G34" s="48">
        <v>77821.621621621627</v>
      </c>
    </row>
    <row r="35" spans="2:7" x14ac:dyDescent="0.25">
      <c r="B35" s="48" t="s">
        <v>90</v>
      </c>
      <c r="C35" s="48" t="s">
        <v>91</v>
      </c>
      <c r="D35" s="50">
        <v>18.999999999999996</v>
      </c>
      <c r="E35" s="48" t="s">
        <v>92</v>
      </c>
      <c r="F35" s="48" t="s">
        <v>77</v>
      </c>
      <c r="G35" s="48">
        <v>0</v>
      </c>
    </row>
    <row r="36" spans="2:7" x14ac:dyDescent="0.25">
      <c r="B36" s="48" t="s">
        <v>93</v>
      </c>
      <c r="C36" s="48" t="s">
        <v>94</v>
      </c>
      <c r="D36" s="50">
        <v>5.6207207207207208</v>
      </c>
      <c r="E36" s="48" t="s">
        <v>95</v>
      </c>
      <c r="F36" s="48" t="s">
        <v>74</v>
      </c>
      <c r="G36" s="48">
        <v>3.3792792792792792</v>
      </c>
    </row>
    <row r="37" spans="2:7" x14ac:dyDescent="0.25">
      <c r="B37" s="48" t="s">
        <v>96</v>
      </c>
      <c r="C37" s="48" t="s">
        <v>97</v>
      </c>
      <c r="D37" s="50">
        <v>17225.225225225222</v>
      </c>
      <c r="E37" s="48" t="s">
        <v>98</v>
      </c>
      <c r="F37" s="48" t="s">
        <v>74</v>
      </c>
      <c r="G37" s="48">
        <v>38774.774774774778</v>
      </c>
    </row>
    <row r="38" spans="2:7" x14ac:dyDescent="0.25">
      <c r="B38" s="48" t="s">
        <v>63</v>
      </c>
      <c r="C38" s="48" t="s">
        <v>64</v>
      </c>
      <c r="D38" s="50">
        <v>40</v>
      </c>
      <c r="E38" s="48" t="s">
        <v>99</v>
      </c>
      <c r="F38" s="48" t="s">
        <v>74</v>
      </c>
      <c r="G38" s="50">
        <v>20</v>
      </c>
    </row>
    <row r="39" spans="2:7" x14ac:dyDescent="0.25">
      <c r="B39" s="48" t="s">
        <v>66</v>
      </c>
      <c r="C39" s="48" t="s">
        <v>67</v>
      </c>
      <c r="D39" s="50">
        <v>20</v>
      </c>
      <c r="E39" s="48" t="s">
        <v>100</v>
      </c>
      <c r="F39" s="48" t="s">
        <v>77</v>
      </c>
      <c r="G39" s="50">
        <v>0</v>
      </c>
    </row>
    <row r="40" spans="2:7" x14ac:dyDescent="0.25">
      <c r="B40" s="48" t="s">
        <v>68</v>
      </c>
      <c r="C40" s="48" t="s">
        <v>69</v>
      </c>
      <c r="D40" s="50">
        <v>25.405405405405421</v>
      </c>
      <c r="E40" s="48" t="s">
        <v>101</v>
      </c>
      <c r="F40" s="48" t="s">
        <v>74</v>
      </c>
      <c r="G40" s="50">
        <v>5.4054054054054212</v>
      </c>
    </row>
    <row r="41" spans="2:7" ht="15.75" thickBot="1" x14ac:dyDescent="0.3">
      <c r="B41" s="46" t="s">
        <v>70</v>
      </c>
      <c r="C41" s="46" t="s">
        <v>71</v>
      </c>
      <c r="D41" s="49">
        <v>48.063063063063012</v>
      </c>
      <c r="E41" s="46" t="s">
        <v>102</v>
      </c>
      <c r="F41" s="46" t="s">
        <v>74</v>
      </c>
      <c r="G41" s="49">
        <v>28.063063063063012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5"/>
  <sheetViews>
    <sheetView topLeftCell="C11" zoomScale="91" zoomScaleNormal="91" workbookViewId="0">
      <selection activeCell="N29" sqref="N29"/>
    </sheetView>
  </sheetViews>
  <sheetFormatPr defaultRowHeight="15" x14ac:dyDescent="0.25"/>
  <cols>
    <col min="1" max="2" width="2.140625" customWidth="1"/>
    <col min="3" max="3" width="22.140625" bestFit="1" customWidth="1"/>
    <col min="4" max="4" width="14.7109375" bestFit="1" customWidth="1"/>
    <col min="5" max="5" width="17.85546875" customWidth="1"/>
    <col min="6" max="6" width="12.85546875" bestFit="1" customWidth="1"/>
    <col min="7" max="7" width="15.140625" bestFit="1" customWidth="1"/>
    <col min="8" max="8" width="16.5703125" customWidth="1"/>
    <col min="9" max="9" width="15.7109375" bestFit="1" customWidth="1"/>
    <col min="10" max="10" width="17.5703125" bestFit="1" customWidth="1"/>
    <col min="11" max="11" width="13.7109375" customWidth="1"/>
    <col min="12" max="12" width="18.5703125" customWidth="1"/>
    <col min="13" max="13" width="14" bestFit="1" customWidth="1"/>
    <col min="14" max="14" width="11.42578125" bestFit="1" customWidth="1"/>
    <col min="15" max="15" width="18.42578125" bestFit="1" customWidth="1"/>
  </cols>
  <sheetData>
    <row r="2" spans="3:11" ht="15.75" thickBot="1" x14ac:dyDescent="0.3"/>
    <row r="3" spans="3:11" ht="28.5" x14ac:dyDescent="0.25">
      <c r="C3" s="20" t="s">
        <v>0</v>
      </c>
      <c r="D3" s="63" t="s">
        <v>2</v>
      </c>
      <c r="E3" s="21" t="s">
        <v>3</v>
      </c>
      <c r="F3" s="21" t="s">
        <v>5</v>
      </c>
      <c r="G3" s="63" t="s">
        <v>6</v>
      </c>
      <c r="H3" s="63" t="s">
        <v>7</v>
      </c>
      <c r="I3" s="21" t="s">
        <v>8</v>
      </c>
      <c r="J3" s="21" t="s">
        <v>10</v>
      </c>
      <c r="K3" s="22" t="s">
        <v>12</v>
      </c>
    </row>
    <row r="4" spans="3:11" x14ac:dyDescent="0.25">
      <c r="C4" s="23"/>
      <c r="D4" s="64"/>
      <c r="E4" s="24" t="s">
        <v>4</v>
      </c>
      <c r="F4" s="24" t="s">
        <v>4</v>
      </c>
      <c r="G4" s="64"/>
      <c r="H4" s="64"/>
      <c r="I4" s="24" t="s">
        <v>9</v>
      </c>
      <c r="J4" s="24" t="s">
        <v>11</v>
      </c>
      <c r="K4" s="25" t="s">
        <v>13</v>
      </c>
    </row>
    <row r="5" spans="3:11" ht="15.75" thickBot="1" x14ac:dyDescent="0.3">
      <c r="C5" s="26" t="s">
        <v>1</v>
      </c>
      <c r="D5" s="65"/>
      <c r="E5" s="27"/>
      <c r="F5" s="27"/>
      <c r="G5" s="65"/>
      <c r="H5" s="65"/>
      <c r="I5" s="27"/>
      <c r="J5" s="27"/>
      <c r="K5" s="28"/>
    </row>
    <row r="6" spans="3:11" ht="15.75" thickBot="1" x14ac:dyDescent="0.3">
      <c r="C6" s="38">
        <v>1</v>
      </c>
      <c r="D6" s="39">
        <v>2</v>
      </c>
      <c r="E6" s="39">
        <v>3</v>
      </c>
      <c r="F6" s="39">
        <v>4</v>
      </c>
      <c r="G6" s="39">
        <v>5</v>
      </c>
      <c r="H6" s="39">
        <v>6</v>
      </c>
      <c r="I6" s="39">
        <v>7</v>
      </c>
      <c r="J6" s="39">
        <v>8</v>
      </c>
      <c r="K6" s="28">
        <v>9</v>
      </c>
    </row>
    <row r="7" spans="3:11" ht="15.75" thickBot="1" x14ac:dyDescent="0.3">
      <c r="C7" s="29" t="s">
        <v>35</v>
      </c>
      <c r="D7" s="30">
        <v>0.6</v>
      </c>
      <c r="E7" s="30">
        <v>0</v>
      </c>
      <c r="F7" s="30">
        <v>0.14000000000000001</v>
      </c>
      <c r="G7" s="30">
        <v>130</v>
      </c>
      <c r="H7" s="30">
        <v>0.17</v>
      </c>
      <c r="I7" s="30">
        <v>0.03</v>
      </c>
      <c r="J7" s="30">
        <v>145</v>
      </c>
      <c r="K7" s="31">
        <v>7050</v>
      </c>
    </row>
    <row r="8" spans="3:11" ht="30.75" thickBot="1" x14ac:dyDescent="0.3">
      <c r="C8" s="29" t="s">
        <v>36</v>
      </c>
      <c r="D8" s="30">
        <v>0.56000000000000005</v>
      </c>
      <c r="E8" s="30">
        <v>0.16</v>
      </c>
      <c r="F8" s="30">
        <v>0.11</v>
      </c>
      <c r="G8" s="30">
        <v>120</v>
      </c>
      <c r="H8" s="30">
        <v>0.22</v>
      </c>
      <c r="I8" s="30">
        <v>6.5000000000000002E-2</v>
      </c>
      <c r="J8" s="30">
        <v>115</v>
      </c>
      <c r="K8" s="31">
        <v>8070</v>
      </c>
    </row>
    <row r="9" spans="3:11" ht="15.75" thickBot="1" x14ac:dyDescent="0.3">
      <c r="C9" s="29" t="s">
        <v>37</v>
      </c>
      <c r="D9" s="30">
        <v>0.03</v>
      </c>
      <c r="E9" s="30">
        <v>0.15</v>
      </c>
      <c r="F9" s="30">
        <v>0.45</v>
      </c>
      <c r="G9" s="30">
        <v>150</v>
      </c>
      <c r="H9" s="30">
        <v>0.08</v>
      </c>
      <c r="I9" s="30">
        <v>8.5000000000000006E-2</v>
      </c>
      <c r="J9" s="30">
        <v>170</v>
      </c>
      <c r="K9" s="31">
        <v>10750</v>
      </c>
    </row>
    <row r="10" spans="3:11" ht="15.75" thickBot="1" x14ac:dyDescent="0.3">
      <c r="C10" s="29" t="s">
        <v>38</v>
      </c>
      <c r="D10" s="30">
        <v>0.74</v>
      </c>
      <c r="E10" s="30">
        <v>7.0000000000000007E-2</v>
      </c>
      <c r="F10" s="30">
        <v>0.12</v>
      </c>
      <c r="G10" s="30">
        <v>120</v>
      </c>
      <c r="H10" s="30">
        <v>0.12</v>
      </c>
      <c r="I10" s="30">
        <v>0.02</v>
      </c>
      <c r="J10" s="30">
        <v>100</v>
      </c>
      <c r="K10" s="31">
        <v>6610</v>
      </c>
    </row>
    <row r="11" spans="3:11" ht="15.75" thickBot="1" x14ac:dyDescent="0.3">
      <c r="C11" s="32" t="s">
        <v>30</v>
      </c>
      <c r="D11" s="33">
        <v>580</v>
      </c>
      <c r="E11" s="33">
        <v>20</v>
      </c>
      <c r="F11" s="33">
        <v>25</v>
      </c>
      <c r="G11" s="31">
        <v>95000</v>
      </c>
      <c r="H11" s="33">
        <v>19</v>
      </c>
      <c r="I11" s="33">
        <v>9</v>
      </c>
      <c r="J11" s="31">
        <v>56000</v>
      </c>
      <c r="K11" s="30"/>
    </row>
    <row r="12" spans="3:11" ht="30.75" thickBot="1" x14ac:dyDescent="0.3">
      <c r="C12" s="34" t="s">
        <v>14</v>
      </c>
      <c r="D12" s="35">
        <v>1300</v>
      </c>
      <c r="E12" s="36">
        <v>1200</v>
      </c>
      <c r="F12" s="36">
        <v>2730</v>
      </c>
      <c r="G12" s="36">
        <v>1.4</v>
      </c>
      <c r="H12" s="35">
        <v>1070</v>
      </c>
      <c r="I12" s="35">
        <v>21250</v>
      </c>
      <c r="J12" s="36">
        <v>30</v>
      </c>
      <c r="K12" s="37"/>
    </row>
    <row r="13" spans="3:11" x14ac:dyDescent="0.25">
      <c r="K13" s="14"/>
    </row>
    <row r="14" spans="3:11" ht="60" x14ac:dyDescent="0.25">
      <c r="C14" s="4" t="s">
        <v>19</v>
      </c>
      <c r="D14" s="4" t="s">
        <v>28</v>
      </c>
      <c r="E14" s="4" t="s">
        <v>34</v>
      </c>
      <c r="K14" s="14"/>
    </row>
    <row r="15" spans="3:11" x14ac:dyDescent="0.25">
      <c r="C15" s="6">
        <f>SUMPRODUCT(D20:D23,F20:F23)</f>
        <v>1034204.9549549548</v>
      </c>
      <c r="D15" s="6">
        <f>C15-H24</f>
        <v>179940.40540540533</v>
      </c>
      <c r="E15" s="13">
        <f>D15-J26-D35</f>
        <v>-198618.80630630639</v>
      </c>
    </row>
    <row r="16" spans="3:11" x14ac:dyDescent="0.25">
      <c r="E16" t="s">
        <v>26</v>
      </c>
    </row>
    <row r="19" spans="3:12" ht="117" customHeight="1" x14ac:dyDescent="0.25">
      <c r="C19" s="3"/>
      <c r="D19" s="4" t="s">
        <v>22</v>
      </c>
      <c r="E19" s="1"/>
      <c r="F19" s="4" t="s">
        <v>27</v>
      </c>
      <c r="G19" s="5" t="s">
        <v>20</v>
      </c>
      <c r="H19" s="5" t="s">
        <v>21</v>
      </c>
      <c r="I19" s="15" t="s">
        <v>29</v>
      </c>
      <c r="J19" s="5" t="s">
        <v>33</v>
      </c>
      <c r="K19" s="53" t="s">
        <v>103</v>
      </c>
      <c r="L19" s="52" t="s">
        <v>104</v>
      </c>
    </row>
    <row r="20" spans="3:12" ht="15.75" thickBot="1" x14ac:dyDescent="0.3">
      <c r="C20" s="29" t="s">
        <v>35</v>
      </c>
      <c r="D20" s="31">
        <v>7050</v>
      </c>
      <c r="E20" s="2" t="s">
        <v>15</v>
      </c>
      <c r="F20" s="44">
        <v>40</v>
      </c>
      <c r="G20" s="7">
        <f>SUMPRODUCT(D7:J7,$D$12:$J$12)</f>
        <v>6513.6</v>
      </c>
      <c r="H20" s="6">
        <f>G20*F20</f>
        <v>260544</v>
      </c>
      <c r="I20" s="16">
        <f>K7-G20</f>
        <v>536.39999999999964</v>
      </c>
      <c r="J20" s="17">
        <f>D20/G20</f>
        <v>1.0823507737656595</v>
      </c>
      <c r="K20" s="54">
        <f>J20*20%</f>
        <v>0.21647015475313192</v>
      </c>
      <c r="L20" s="51"/>
    </row>
    <row r="21" spans="3:12" ht="30.75" thickBot="1" x14ac:dyDescent="0.3">
      <c r="C21" s="29" t="s">
        <v>36</v>
      </c>
      <c r="D21" s="31">
        <v>8070</v>
      </c>
      <c r="E21" s="2" t="s">
        <v>16</v>
      </c>
      <c r="F21" s="44">
        <v>20</v>
      </c>
      <c r="G21" s="7">
        <f>SUMPRODUCT(D8:J8,$D$12:$J$12)</f>
        <v>6454.9500000000007</v>
      </c>
      <c r="H21" s="6">
        <f>G21*F21</f>
        <v>129099.00000000001</v>
      </c>
      <c r="I21" s="16">
        <f>K8-G21</f>
        <v>1615.0499999999993</v>
      </c>
      <c r="J21" s="17">
        <f>D21/G21</f>
        <v>1.2502033323263539</v>
      </c>
      <c r="K21" s="54">
        <f t="shared" ref="K21:K22" si="0">J21*20%</f>
        <v>0.25004066646527079</v>
      </c>
      <c r="L21" s="51"/>
    </row>
    <row r="22" spans="3:12" ht="15.75" thickBot="1" x14ac:dyDescent="0.3">
      <c r="C22" s="29" t="s">
        <v>37</v>
      </c>
      <c r="D22" s="31">
        <v>10750</v>
      </c>
      <c r="E22" s="2" t="s">
        <v>17</v>
      </c>
      <c r="F22" s="44">
        <v>25.405405405405421</v>
      </c>
      <c r="G22" s="7">
        <f>SUMPRODUCT(D9:J9,$D$12:$J$12)</f>
        <v>8649.35</v>
      </c>
      <c r="H22" s="6">
        <f>G22*F22</f>
        <v>219740.2432432434</v>
      </c>
      <c r="I22" s="16">
        <f>K9-G22</f>
        <v>2100.6499999999996</v>
      </c>
      <c r="J22" s="17">
        <f>D22/G22</f>
        <v>1.2428679611762734</v>
      </c>
      <c r="K22" s="54">
        <f t="shared" si="0"/>
        <v>0.24857359223525469</v>
      </c>
      <c r="L22" s="51"/>
    </row>
    <row r="23" spans="3:12" ht="15.75" thickBot="1" x14ac:dyDescent="0.3">
      <c r="C23" s="29" t="s">
        <v>38</v>
      </c>
      <c r="D23" s="31">
        <v>6610</v>
      </c>
      <c r="E23" s="2" t="s">
        <v>18</v>
      </c>
      <c r="F23" s="44">
        <v>48.063063063063012</v>
      </c>
      <c r="G23" s="9">
        <f>SUMPRODUCT(D10:J10,$D$12:$J$12)</f>
        <v>5095</v>
      </c>
      <c r="H23" s="6">
        <f>G23*F23</f>
        <v>244881.30630630604</v>
      </c>
      <c r="I23" s="16">
        <f>K10-G23</f>
        <v>1515</v>
      </c>
      <c r="J23" s="17">
        <f>D23/G23</f>
        <v>1.2973503434739941</v>
      </c>
      <c r="K23" s="54">
        <f>J23*30%</f>
        <v>0.38920510304219824</v>
      </c>
      <c r="L23" s="51"/>
    </row>
    <row r="24" spans="3:12" ht="15.75" thickBot="1" x14ac:dyDescent="0.3">
      <c r="D24" s="51">
        <f>SUM(D20:D23)</f>
        <v>32480</v>
      </c>
      <c r="F24" s="11" t="s">
        <v>23</v>
      </c>
      <c r="G24" s="40">
        <f>SUM(G20:G23)</f>
        <v>26712.9</v>
      </c>
      <c r="H24" s="41">
        <f>SUM(H20:H23)</f>
        <v>854264.54954954947</v>
      </c>
      <c r="I24" s="42">
        <f>SUM(I20:I23)</f>
        <v>5767.0999999999985</v>
      </c>
      <c r="J24" s="43">
        <f>SUM(J20:J23)</f>
        <v>4.8727724107422805</v>
      </c>
    </row>
    <row r="26" spans="3:12" ht="30" x14ac:dyDescent="0.25">
      <c r="C26" s="4" t="s">
        <v>31</v>
      </c>
      <c r="D26" s="8">
        <f>150*(D$11-SUMPRODUCT(D$7:D$10,$F$20:$F$23))</f>
        <v>76270.67567567568</v>
      </c>
      <c r="E26" s="8">
        <f>150*(E$11-SUMPRODUCT(E7:E10,$F$20:$F$23))</f>
        <v>1443.7162162162163</v>
      </c>
      <c r="F26" s="8">
        <f>150*(F$11-SUMPRODUCT(F7:F10,$F$20:$F$23))</f>
        <v>0</v>
      </c>
      <c r="G26" s="8"/>
      <c r="H26" s="8">
        <f>150*(H$11-SUMPRODUCT(H7:H10,$F$20:$F$23))</f>
        <v>5.3290705182007514E-13</v>
      </c>
      <c r="I26" s="8">
        <f>250*(I$11-SUMPRODUCT(I7:I10,$F$20:$F$23))</f>
        <v>844.81981981981983</v>
      </c>
      <c r="J26" s="10">
        <f>SUM(D26:I26)</f>
        <v>78559.211711711716</v>
      </c>
    </row>
    <row r="28" spans="3:12" x14ac:dyDescent="0.25">
      <c r="K28" s="2" t="s">
        <v>23</v>
      </c>
    </row>
    <row r="29" spans="3:12" ht="30" x14ac:dyDescent="0.25">
      <c r="C29" s="4" t="s">
        <v>24</v>
      </c>
      <c r="D29" s="6">
        <f>SUMPRODUCT(D7:D10,$F$20:$F$23)</f>
        <v>71.528828828828793</v>
      </c>
      <c r="E29" s="6">
        <f t="shared" ref="E29:I29" si="1">SUMPRODUCT(E7:E10,$F$20:$F$23)</f>
        <v>10.375225225225226</v>
      </c>
      <c r="F29" s="6">
        <f t="shared" si="1"/>
        <v>25</v>
      </c>
      <c r="G29" s="6">
        <f t="shared" si="1"/>
        <v>17178.378378378373</v>
      </c>
      <c r="H29" s="6">
        <f t="shared" si="1"/>
        <v>18.999999999999996</v>
      </c>
      <c r="I29" s="6">
        <f t="shared" si="1"/>
        <v>5.6207207207207208</v>
      </c>
      <c r="J29" s="16">
        <f>SUMPRODUCT(J7:J10,$F$20:$F$23)</f>
        <v>17225.225225225222</v>
      </c>
      <c r="K29" s="12">
        <f>SUM(D29:J29)</f>
        <v>34535.128378378373</v>
      </c>
    </row>
    <row r="31" spans="3:12" ht="30" x14ac:dyDescent="0.25">
      <c r="C31" s="4" t="s">
        <v>25</v>
      </c>
      <c r="D31" s="1"/>
    </row>
    <row r="32" spans="3:12" x14ac:dyDescent="0.25">
      <c r="C32" s="12">
        <f>F20-F21</f>
        <v>20</v>
      </c>
      <c r="D32" s="1">
        <v>20</v>
      </c>
    </row>
    <row r="33" spans="3:4" x14ac:dyDescent="0.25">
      <c r="C33" s="12">
        <f>F22+F23-F21</f>
        <v>53.46846846846843</v>
      </c>
      <c r="D33" s="1">
        <v>0</v>
      </c>
    </row>
    <row r="35" spans="3:4" x14ac:dyDescent="0.25">
      <c r="C35" s="18" t="s">
        <v>32</v>
      </c>
      <c r="D35" s="19">
        <v>300000</v>
      </c>
    </row>
  </sheetData>
  <mergeCells count="3">
    <mergeCell ref="D3:D5"/>
    <mergeCell ref="G3:G5"/>
    <mergeCell ref="H3:H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5"/>
  <sheetViews>
    <sheetView topLeftCell="A13" workbookViewId="0">
      <selection activeCell="E15" sqref="E15"/>
    </sheetView>
  </sheetViews>
  <sheetFormatPr defaultRowHeight="15" x14ac:dyDescent="0.25"/>
  <cols>
    <col min="1" max="2" width="2.140625" customWidth="1"/>
    <col min="3" max="3" width="22.140625" bestFit="1" customWidth="1"/>
    <col min="4" max="4" width="14.7109375" bestFit="1" customWidth="1"/>
    <col min="5" max="5" width="17.85546875" customWidth="1"/>
    <col min="6" max="6" width="12.85546875" bestFit="1" customWidth="1"/>
    <col min="7" max="7" width="15.140625" bestFit="1" customWidth="1"/>
    <col min="8" max="8" width="16.5703125" customWidth="1"/>
    <col min="9" max="9" width="15.7109375" bestFit="1" customWidth="1"/>
    <col min="10" max="10" width="17.5703125" bestFit="1" customWidth="1"/>
    <col min="11" max="11" width="13.7109375" customWidth="1"/>
    <col min="12" max="12" width="18.5703125" customWidth="1"/>
    <col min="13" max="13" width="14" bestFit="1" customWidth="1"/>
    <col min="14" max="14" width="11.42578125" bestFit="1" customWidth="1"/>
    <col min="15" max="15" width="18.42578125" bestFit="1" customWidth="1"/>
  </cols>
  <sheetData>
    <row r="2" spans="3:11" ht="15.75" thickBot="1" x14ac:dyDescent="0.3"/>
    <row r="3" spans="3:11" ht="28.5" x14ac:dyDescent="0.25">
      <c r="C3" s="20" t="s">
        <v>0</v>
      </c>
      <c r="D3" s="63" t="s">
        <v>2</v>
      </c>
      <c r="E3" s="21" t="s">
        <v>3</v>
      </c>
      <c r="F3" s="21" t="s">
        <v>5</v>
      </c>
      <c r="G3" s="63" t="s">
        <v>6</v>
      </c>
      <c r="H3" s="63" t="s">
        <v>7</v>
      </c>
      <c r="I3" s="21" t="s">
        <v>8</v>
      </c>
      <c r="J3" s="21" t="s">
        <v>10</v>
      </c>
      <c r="K3" s="22" t="s">
        <v>12</v>
      </c>
    </row>
    <row r="4" spans="3:11" x14ac:dyDescent="0.25">
      <c r="C4" s="23"/>
      <c r="D4" s="64"/>
      <c r="E4" s="24" t="s">
        <v>4</v>
      </c>
      <c r="F4" s="24" t="s">
        <v>4</v>
      </c>
      <c r="G4" s="64"/>
      <c r="H4" s="64"/>
      <c r="I4" s="24" t="s">
        <v>9</v>
      </c>
      <c r="J4" s="24" t="s">
        <v>11</v>
      </c>
      <c r="K4" s="25" t="s">
        <v>13</v>
      </c>
    </row>
    <row r="5" spans="3:11" ht="15.75" thickBot="1" x14ac:dyDescent="0.3">
      <c r="C5" s="26" t="s">
        <v>1</v>
      </c>
      <c r="D5" s="65"/>
      <c r="E5" s="27"/>
      <c r="F5" s="27"/>
      <c r="G5" s="65"/>
      <c r="H5" s="65"/>
      <c r="I5" s="27"/>
      <c r="J5" s="27"/>
      <c r="K5" s="28"/>
    </row>
    <row r="6" spans="3:11" ht="15.75" thickBot="1" x14ac:dyDescent="0.3">
      <c r="C6" s="38">
        <v>1</v>
      </c>
      <c r="D6" s="39">
        <v>2</v>
      </c>
      <c r="E6" s="39">
        <v>3</v>
      </c>
      <c r="F6" s="39">
        <v>4</v>
      </c>
      <c r="G6" s="39">
        <v>5</v>
      </c>
      <c r="H6" s="39">
        <v>6</v>
      </c>
      <c r="I6" s="39">
        <v>7</v>
      </c>
      <c r="J6" s="39">
        <v>8</v>
      </c>
      <c r="K6" s="28">
        <v>9</v>
      </c>
    </row>
    <row r="7" spans="3:11" ht="15.75" thickBot="1" x14ac:dyDescent="0.3">
      <c r="C7" s="29" t="s">
        <v>35</v>
      </c>
      <c r="D7" s="30">
        <v>0.6</v>
      </c>
      <c r="E7" s="30">
        <v>0</v>
      </c>
      <c r="F7" s="30">
        <v>0.14000000000000001</v>
      </c>
      <c r="G7" s="30">
        <v>130</v>
      </c>
      <c r="H7" s="30">
        <v>0.17</v>
      </c>
      <c r="I7" s="30">
        <v>0.03</v>
      </c>
      <c r="J7" s="30">
        <v>145</v>
      </c>
      <c r="K7" s="31">
        <v>7050</v>
      </c>
    </row>
    <row r="8" spans="3:11" ht="30.75" thickBot="1" x14ac:dyDescent="0.3">
      <c r="C8" s="29" t="s">
        <v>36</v>
      </c>
      <c r="D8" s="30">
        <v>0.56000000000000005</v>
      </c>
      <c r="E8" s="30">
        <v>0.16</v>
      </c>
      <c r="F8" s="30">
        <v>0.11</v>
      </c>
      <c r="G8" s="30">
        <v>120</v>
      </c>
      <c r="H8" s="30">
        <v>0.22</v>
      </c>
      <c r="I8" s="30">
        <v>6.5000000000000002E-2</v>
      </c>
      <c r="J8" s="30">
        <v>115</v>
      </c>
      <c r="K8" s="31">
        <v>8070</v>
      </c>
    </row>
    <row r="9" spans="3:11" ht="15.75" thickBot="1" x14ac:dyDescent="0.3">
      <c r="C9" s="29" t="s">
        <v>37</v>
      </c>
      <c r="D9" s="30">
        <v>0.03</v>
      </c>
      <c r="E9" s="30">
        <v>0.15</v>
      </c>
      <c r="F9" s="30">
        <v>0.45</v>
      </c>
      <c r="G9" s="30">
        <v>150</v>
      </c>
      <c r="H9" s="30">
        <v>0.08</v>
      </c>
      <c r="I9" s="30">
        <v>8.5000000000000006E-2</v>
      </c>
      <c r="J9" s="30">
        <v>170</v>
      </c>
      <c r="K9" s="31">
        <v>10750</v>
      </c>
    </row>
    <row r="10" spans="3:11" ht="15.75" thickBot="1" x14ac:dyDescent="0.3">
      <c r="C10" s="29" t="s">
        <v>38</v>
      </c>
      <c r="D10" s="30">
        <v>0.74</v>
      </c>
      <c r="E10" s="30">
        <v>7.0000000000000007E-2</v>
      </c>
      <c r="F10" s="30">
        <v>0.12</v>
      </c>
      <c r="G10" s="30">
        <v>120</v>
      </c>
      <c r="H10" s="30">
        <v>0.12</v>
      </c>
      <c r="I10" s="30">
        <v>0.02</v>
      </c>
      <c r="J10" s="30">
        <v>100</v>
      </c>
      <c r="K10" s="31">
        <v>6610</v>
      </c>
    </row>
    <row r="11" spans="3:11" ht="15.75" thickBot="1" x14ac:dyDescent="0.3">
      <c r="C11" s="32" t="s">
        <v>30</v>
      </c>
      <c r="D11" s="33">
        <v>580</v>
      </c>
      <c r="E11" s="33">
        <v>20</v>
      </c>
      <c r="F11" s="33">
        <v>25</v>
      </c>
      <c r="G11" s="31">
        <v>95000</v>
      </c>
      <c r="H11" s="33">
        <v>19</v>
      </c>
      <c r="I11" s="33">
        <v>9</v>
      </c>
      <c r="J11" s="31">
        <v>56000</v>
      </c>
      <c r="K11" s="30"/>
    </row>
    <row r="12" spans="3:11" ht="30.75" thickBot="1" x14ac:dyDescent="0.3">
      <c r="C12" s="34" t="s">
        <v>14</v>
      </c>
      <c r="D12" s="35">
        <v>1300</v>
      </c>
      <c r="E12" s="36">
        <v>1200</v>
      </c>
      <c r="F12" s="36">
        <v>2730</v>
      </c>
      <c r="G12" s="36">
        <v>1.4</v>
      </c>
      <c r="H12" s="35">
        <v>1070</v>
      </c>
      <c r="I12" s="35">
        <v>21250</v>
      </c>
      <c r="J12" s="36">
        <v>30</v>
      </c>
      <c r="K12" s="37"/>
    </row>
    <row r="13" spans="3:11" x14ac:dyDescent="0.25">
      <c r="K13" s="14"/>
    </row>
    <row r="14" spans="3:11" ht="60" x14ac:dyDescent="0.25">
      <c r="C14" s="4" t="s">
        <v>19</v>
      </c>
      <c r="D14" s="4" t="s">
        <v>28</v>
      </c>
      <c r="E14" s="4" t="s">
        <v>34</v>
      </c>
      <c r="K14" s="14"/>
    </row>
    <row r="15" spans="3:11" x14ac:dyDescent="0.25">
      <c r="C15" s="6">
        <f>SUMPRODUCT(D20:D23,F20:F23)</f>
        <v>1940884.7576409755</v>
      </c>
      <c r="D15" s="6">
        <f>C15-H24</f>
        <v>321711.91752442159</v>
      </c>
      <c r="E15" s="13">
        <f>D15-J26-D35</f>
        <v>-2.0081643015146255E-8</v>
      </c>
    </row>
    <row r="16" spans="3:11" x14ac:dyDescent="0.25">
      <c r="E16" t="s">
        <v>26</v>
      </c>
    </row>
    <row r="19" spans="3:12" ht="117" customHeight="1" x14ac:dyDescent="0.25">
      <c r="C19" s="3"/>
      <c r="D19" s="4" t="s">
        <v>22</v>
      </c>
      <c r="E19" s="1"/>
      <c r="F19" s="4" t="s">
        <v>27</v>
      </c>
      <c r="G19" s="5" t="s">
        <v>20</v>
      </c>
      <c r="H19" s="5" t="s">
        <v>21</v>
      </c>
      <c r="I19" s="15" t="s">
        <v>29</v>
      </c>
      <c r="J19" s="5" t="s">
        <v>33</v>
      </c>
      <c r="K19" s="53" t="s">
        <v>103</v>
      </c>
      <c r="L19" s="52"/>
    </row>
    <row r="20" spans="3:12" ht="15.75" thickBot="1" x14ac:dyDescent="0.3">
      <c r="C20" s="29" t="s">
        <v>35</v>
      </c>
      <c r="D20" s="31">
        <v>7050</v>
      </c>
      <c r="E20" s="2" t="s">
        <v>15</v>
      </c>
      <c r="F20" s="44">
        <v>311.87658905071515</v>
      </c>
      <c r="G20" s="7">
        <f>SUMPRODUCT(D7:J7,$D$12:$J$12)</f>
        <v>6513.6</v>
      </c>
      <c r="H20" s="6">
        <f>G20*F20</f>
        <v>2031439.3504407383</v>
      </c>
      <c r="I20" s="16">
        <f>K7-G20</f>
        <v>536.39999999999964</v>
      </c>
      <c r="J20" s="17">
        <f>D20/G20</f>
        <v>1.0823507737656595</v>
      </c>
      <c r="K20" s="54">
        <f>J20*20%</f>
        <v>0.21647015475313192</v>
      </c>
      <c r="L20" s="51"/>
    </row>
    <row r="21" spans="3:12" ht="30.75" thickBot="1" x14ac:dyDescent="0.3">
      <c r="C21" s="29" t="s">
        <v>36</v>
      </c>
      <c r="D21" s="31">
        <v>8070</v>
      </c>
      <c r="E21" s="2" t="s">
        <v>16</v>
      </c>
      <c r="F21" s="44">
        <v>-656.21767415934789</v>
      </c>
      <c r="G21" s="7">
        <f>SUMPRODUCT(D8:J8,$D$12:$J$12)</f>
        <v>6454.9500000000007</v>
      </c>
      <c r="H21" s="6">
        <f>G21*F21</f>
        <v>-4235852.2758148834</v>
      </c>
      <c r="I21" s="16">
        <f>K8-G21</f>
        <v>1615.0499999999993</v>
      </c>
      <c r="J21" s="17">
        <f>D21/G21</f>
        <v>1.2502033323263539</v>
      </c>
      <c r="K21" s="54">
        <f t="shared" ref="K21:K22" si="0">J21*20%</f>
        <v>0.25004066646527079</v>
      </c>
      <c r="L21" s="51"/>
    </row>
    <row r="22" spans="3:12" ht="15.75" thickBot="1" x14ac:dyDescent="0.3">
      <c r="C22" s="29" t="s">
        <v>37</v>
      </c>
      <c r="D22" s="31">
        <v>10750</v>
      </c>
      <c r="E22" s="2" t="s">
        <v>17</v>
      </c>
      <c r="F22" s="44">
        <v>-164.03868419641472</v>
      </c>
      <c r="G22" s="7">
        <f>SUMPRODUCT(D9:J9,$D$12:$J$12)</f>
        <v>8649.35</v>
      </c>
      <c r="H22" s="6">
        <f>G22*F22</f>
        <v>-1418827.9931542596</v>
      </c>
      <c r="I22" s="16">
        <f>K9-G22</f>
        <v>2100.6499999999996</v>
      </c>
      <c r="J22" s="17">
        <f>D22/G22</f>
        <v>1.2428679611762734</v>
      </c>
      <c r="K22" s="54">
        <f t="shared" si="0"/>
        <v>0.24857359223525469</v>
      </c>
      <c r="L22" s="51"/>
    </row>
    <row r="23" spans="3:12" ht="15.75" thickBot="1" x14ac:dyDescent="0.3">
      <c r="C23" s="29" t="s">
        <v>38</v>
      </c>
      <c r="D23" s="31">
        <v>6610</v>
      </c>
      <c r="E23" s="2" t="s">
        <v>18</v>
      </c>
      <c r="F23" s="44">
        <v>1028.9330242679016</v>
      </c>
      <c r="G23" s="9">
        <f>SUMPRODUCT(D10:J10,$D$12:$J$12)</f>
        <v>5095</v>
      </c>
      <c r="H23" s="6">
        <f>G23*F23</f>
        <v>5242413.758644959</v>
      </c>
      <c r="I23" s="16">
        <f>K10-G23</f>
        <v>1515</v>
      </c>
      <c r="J23" s="17">
        <f>D23/G23</f>
        <v>1.2973503434739941</v>
      </c>
      <c r="K23" s="54">
        <f>J23*30%</f>
        <v>0.38920510304219824</v>
      </c>
      <c r="L23" s="51"/>
    </row>
    <row r="24" spans="3:12" ht="15.75" thickBot="1" x14ac:dyDescent="0.3">
      <c r="D24" s="51"/>
      <c r="F24" s="11" t="s">
        <v>23</v>
      </c>
      <c r="G24" s="40">
        <f>SUM(G20:G23)</f>
        <v>26712.9</v>
      </c>
      <c r="H24" s="41">
        <f>SUM(H20:H23)</f>
        <v>1619172.8401165539</v>
      </c>
      <c r="I24" s="42">
        <f>SUM(I20:I23)</f>
        <v>5767.0999999999985</v>
      </c>
      <c r="J24" s="43">
        <f>SUM(J20:J23)</f>
        <v>4.8727724107422805</v>
      </c>
    </row>
    <row r="26" spans="3:12" ht="30" x14ac:dyDescent="0.25">
      <c r="C26" s="4" t="s">
        <v>31</v>
      </c>
      <c r="D26" s="8">
        <f>150*(D$11-SUMPRODUCT(D$7:D$10,$F$20:$F$23))</f>
        <v>579.99999996765155</v>
      </c>
      <c r="E26" s="8">
        <f>150*(E$11-SUMPRODUCT(E7:E10,$F$20:$F$23))</f>
        <v>11636.297819430712</v>
      </c>
      <c r="F26" s="8">
        <f>150*(F$11-SUMPRODUCT(F7:F10,$F$20:$F$23))</f>
        <v>579.9999999999884</v>
      </c>
      <c r="G26" s="8">
        <v>0</v>
      </c>
      <c r="H26" s="8">
        <f>150*(H$11-SUMPRODUCT(H7:H10,$F$20:$F$23))</f>
        <v>-6.3948846218409017E-12</v>
      </c>
      <c r="I26" s="8">
        <f>250*(I$11-SUMPRODUCT(I7:I10,$F$20:$F$23))</f>
        <v>8915.6197050433439</v>
      </c>
      <c r="J26" s="10">
        <f>SUM(D26:I26)</f>
        <v>21711.917524441691</v>
      </c>
    </row>
    <row r="28" spans="3:12" x14ac:dyDescent="0.25">
      <c r="K28" s="55" t="s">
        <v>105</v>
      </c>
    </row>
    <row r="29" spans="3:12" ht="30" x14ac:dyDescent="0.25">
      <c r="C29" s="4" t="s">
        <v>24</v>
      </c>
      <c r="D29" s="6">
        <f>SUMPRODUCT(D7:D10,$F$20:$F$23)</f>
        <v>576.13333333354899</v>
      </c>
      <c r="E29" s="6">
        <f t="shared" ref="E29:I29" si="1">SUMPRODUCT(E7:E10,$F$20:$F$23)</f>
        <v>-57.575318796204755</v>
      </c>
      <c r="F29" s="6">
        <f t="shared" si="1"/>
        <v>21.133333333333411</v>
      </c>
      <c r="G29" s="6">
        <f t="shared" si="1"/>
        <v>60663.995960157205</v>
      </c>
      <c r="H29" s="6">
        <f t="shared" si="1"/>
        <v>19.000000000000043</v>
      </c>
      <c r="I29" s="6">
        <f t="shared" si="1"/>
        <v>-26.66247882017338</v>
      </c>
      <c r="J29" s="16">
        <f>SUMPRODUCT(J7:J10,$F$20:$F$23)</f>
        <v>44763.798997428341</v>
      </c>
      <c r="K29" s="12">
        <f>SUM(D29:J29)</f>
        <v>105959.82382663604</v>
      </c>
    </row>
    <row r="31" spans="3:12" ht="30" x14ac:dyDescent="0.25">
      <c r="C31" s="4" t="s">
        <v>25</v>
      </c>
      <c r="D31" s="1"/>
    </row>
    <row r="32" spans="3:12" x14ac:dyDescent="0.25">
      <c r="C32" s="12">
        <f>F20-F21</f>
        <v>968.09426321006299</v>
      </c>
      <c r="D32" s="1">
        <v>20</v>
      </c>
    </row>
    <row r="33" spans="3:4" x14ac:dyDescent="0.25">
      <c r="C33" s="12">
        <f>F22+F23-F21</f>
        <v>1521.1120142308348</v>
      </c>
      <c r="D33" s="1">
        <v>0</v>
      </c>
    </row>
    <row r="35" spans="3:4" x14ac:dyDescent="0.25">
      <c r="C35" s="18" t="s">
        <v>32</v>
      </c>
      <c r="D35" s="19">
        <v>300000</v>
      </c>
    </row>
  </sheetData>
  <mergeCells count="3">
    <mergeCell ref="D3:D5"/>
    <mergeCell ref="G3:G5"/>
    <mergeCell ref="H3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7"/>
  <sheetViews>
    <sheetView topLeftCell="A13" workbookViewId="0">
      <selection activeCell="J14" sqref="J14"/>
    </sheetView>
  </sheetViews>
  <sheetFormatPr defaultRowHeight="15" x14ac:dyDescent="0.25"/>
  <cols>
    <col min="1" max="2" width="2.140625" customWidth="1"/>
    <col min="3" max="3" width="22.140625" bestFit="1" customWidth="1"/>
    <col min="4" max="4" width="14.7109375" bestFit="1" customWidth="1"/>
    <col min="5" max="5" width="17.85546875" customWidth="1"/>
    <col min="6" max="6" width="12.85546875" bestFit="1" customWidth="1"/>
    <col min="7" max="7" width="15.140625" bestFit="1" customWidth="1"/>
    <col min="8" max="8" width="16.5703125" customWidth="1"/>
    <col min="9" max="9" width="15.7109375" bestFit="1" customWidth="1"/>
    <col min="10" max="10" width="17.5703125" bestFit="1" customWidth="1"/>
    <col min="11" max="11" width="13.7109375" customWidth="1"/>
    <col min="12" max="12" width="18.5703125" customWidth="1"/>
    <col min="13" max="13" width="14" bestFit="1" customWidth="1"/>
    <col min="14" max="14" width="11.42578125" bestFit="1" customWidth="1"/>
    <col min="15" max="15" width="18.42578125" bestFit="1" customWidth="1"/>
  </cols>
  <sheetData>
    <row r="2" spans="3:11" ht="15.75" thickBot="1" x14ac:dyDescent="0.3"/>
    <row r="3" spans="3:11" ht="28.5" x14ac:dyDescent="0.25">
      <c r="C3" s="20" t="s">
        <v>0</v>
      </c>
      <c r="D3" s="63" t="s">
        <v>2</v>
      </c>
      <c r="E3" s="21" t="s">
        <v>3</v>
      </c>
      <c r="F3" s="21" t="s">
        <v>5</v>
      </c>
      <c r="G3" s="63" t="s">
        <v>6</v>
      </c>
      <c r="H3" s="63" t="s">
        <v>7</v>
      </c>
      <c r="I3" s="21" t="s">
        <v>8</v>
      </c>
      <c r="J3" s="21" t="s">
        <v>10</v>
      </c>
      <c r="K3" s="22" t="s">
        <v>12</v>
      </c>
    </row>
    <row r="4" spans="3:11" x14ac:dyDescent="0.25">
      <c r="C4" s="23"/>
      <c r="D4" s="64"/>
      <c r="E4" s="24" t="s">
        <v>4</v>
      </c>
      <c r="F4" s="24" t="s">
        <v>4</v>
      </c>
      <c r="G4" s="64"/>
      <c r="H4" s="64"/>
      <c r="I4" s="24" t="s">
        <v>9</v>
      </c>
      <c r="J4" s="24" t="s">
        <v>11</v>
      </c>
      <c r="K4" s="25" t="s">
        <v>13</v>
      </c>
    </row>
    <row r="5" spans="3:11" ht="15.75" thickBot="1" x14ac:dyDescent="0.3">
      <c r="C5" s="26" t="s">
        <v>1</v>
      </c>
      <c r="D5" s="65"/>
      <c r="E5" s="27"/>
      <c r="F5" s="27"/>
      <c r="G5" s="65"/>
      <c r="H5" s="65"/>
      <c r="I5" s="27"/>
      <c r="J5" s="27"/>
      <c r="K5" s="28"/>
    </row>
    <row r="6" spans="3:11" ht="15.75" thickBot="1" x14ac:dyDescent="0.3">
      <c r="C6" s="38">
        <v>1</v>
      </c>
      <c r="D6" s="39">
        <v>2</v>
      </c>
      <c r="E6" s="39">
        <v>3</v>
      </c>
      <c r="F6" s="39">
        <v>4</v>
      </c>
      <c r="G6" s="39">
        <v>5</v>
      </c>
      <c r="H6" s="39">
        <v>6</v>
      </c>
      <c r="I6" s="39">
        <v>7</v>
      </c>
      <c r="J6" s="39">
        <v>8</v>
      </c>
      <c r="K6" s="28">
        <v>9</v>
      </c>
    </row>
    <row r="7" spans="3:11" ht="15.75" thickBot="1" x14ac:dyDescent="0.3">
      <c r="C7" s="29" t="s">
        <v>35</v>
      </c>
      <c r="D7" s="30">
        <v>0.6</v>
      </c>
      <c r="E7" s="30">
        <v>0</v>
      </c>
      <c r="F7" s="30">
        <v>0.14000000000000001</v>
      </c>
      <c r="G7" s="30">
        <v>130</v>
      </c>
      <c r="H7" s="30">
        <v>0.17</v>
      </c>
      <c r="I7" s="30">
        <v>0.03</v>
      </c>
      <c r="J7" s="30">
        <v>145</v>
      </c>
      <c r="K7" s="31">
        <v>7050</v>
      </c>
    </row>
    <row r="8" spans="3:11" ht="30.75" thickBot="1" x14ac:dyDescent="0.3">
      <c r="C8" s="29" t="s">
        <v>36</v>
      </c>
      <c r="D8" s="30">
        <v>0.56000000000000005</v>
      </c>
      <c r="E8" s="30">
        <v>0.16</v>
      </c>
      <c r="F8" s="30">
        <v>0.11</v>
      </c>
      <c r="G8" s="30">
        <v>120</v>
      </c>
      <c r="H8" s="30">
        <v>0.22</v>
      </c>
      <c r="I8" s="30">
        <v>6.5000000000000002E-2</v>
      </c>
      <c r="J8" s="30">
        <v>115</v>
      </c>
      <c r="K8" s="31">
        <v>8070</v>
      </c>
    </row>
    <row r="9" spans="3:11" ht="15.75" thickBot="1" x14ac:dyDescent="0.3">
      <c r="C9" s="29" t="s">
        <v>37</v>
      </c>
      <c r="D9" s="30">
        <v>0.03</v>
      </c>
      <c r="E9" s="30">
        <v>0.15</v>
      </c>
      <c r="F9" s="30">
        <v>0.45</v>
      </c>
      <c r="G9" s="30">
        <v>150</v>
      </c>
      <c r="H9" s="30">
        <v>0.08</v>
      </c>
      <c r="I9" s="30">
        <v>8.5000000000000006E-2</v>
      </c>
      <c r="J9" s="30">
        <v>170</v>
      </c>
      <c r="K9" s="31">
        <v>10750</v>
      </c>
    </row>
    <row r="10" spans="3:11" ht="15.75" thickBot="1" x14ac:dyDescent="0.3">
      <c r="C10" s="29" t="s">
        <v>38</v>
      </c>
      <c r="D10" s="30">
        <v>0.74</v>
      </c>
      <c r="E10" s="30">
        <v>7.0000000000000007E-2</v>
      </c>
      <c r="F10" s="30">
        <v>0.12</v>
      </c>
      <c r="G10" s="30">
        <v>120</v>
      </c>
      <c r="H10" s="30">
        <v>0.12</v>
      </c>
      <c r="I10" s="30">
        <v>0.02</v>
      </c>
      <c r="J10" s="30">
        <v>100</v>
      </c>
      <c r="K10" s="31">
        <v>6610</v>
      </c>
    </row>
    <row r="11" spans="3:11" ht="15.75" thickBot="1" x14ac:dyDescent="0.3">
      <c r="C11" s="32" t="s">
        <v>30</v>
      </c>
      <c r="D11" s="33">
        <v>580</v>
      </c>
      <c r="E11" s="33">
        <v>20</v>
      </c>
      <c r="F11" s="33">
        <v>25</v>
      </c>
      <c r="G11" s="31">
        <v>95000</v>
      </c>
      <c r="H11" s="33">
        <v>19</v>
      </c>
      <c r="I11" s="33">
        <v>9</v>
      </c>
      <c r="J11" s="31">
        <v>56000</v>
      </c>
      <c r="K11" s="30"/>
    </row>
    <row r="12" spans="3:11" ht="30.75" thickBot="1" x14ac:dyDescent="0.3">
      <c r="C12" s="34" t="s">
        <v>14</v>
      </c>
      <c r="D12" s="35">
        <v>1300</v>
      </c>
      <c r="E12" s="36">
        <v>1200</v>
      </c>
      <c r="F12" s="36">
        <v>2730</v>
      </c>
      <c r="G12" s="36">
        <v>1.4</v>
      </c>
      <c r="H12" s="35">
        <v>1070</v>
      </c>
      <c r="I12" s="35">
        <v>21250</v>
      </c>
      <c r="J12" s="36">
        <v>30</v>
      </c>
      <c r="K12" s="37"/>
    </row>
    <row r="13" spans="3:11" x14ac:dyDescent="0.25">
      <c r="K13" s="14"/>
    </row>
    <row r="14" spans="3:11" ht="60" x14ac:dyDescent="0.25">
      <c r="C14" s="4" t="s">
        <v>19</v>
      </c>
      <c r="D14" s="4" t="s">
        <v>28</v>
      </c>
      <c r="E14" s="4" t="s">
        <v>34</v>
      </c>
      <c r="K14" s="14"/>
    </row>
    <row r="15" spans="3:11" x14ac:dyDescent="0.25">
      <c r="C15" s="6">
        <f>SUMPRODUCT(D20:D23,F20:F23)</f>
        <v>8120000</v>
      </c>
      <c r="D15" s="6">
        <f>C15-H24</f>
        <v>1441775</v>
      </c>
      <c r="E15" s="13">
        <f>D15-J26-D35-1.2*SUM(F31:F37)</f>
        <v>1013637.4</v>
      </c>
    </row>
    <row r="16" spans="3:11" x14ac:dyDescent="0.25">
      <c r="E16" t="s">
        <v>26</v>
      </c>
    </row>
    <row r="19" spans="3:12" ht="117" customHeight="1" x14ac:dyDescent="0.25">
      <c r="C19" s="3"/>
      <c r="D19" s="4" t="s">
        <v>22</v>
      </c>
      <c r="E19" s="1"/>
      <c r="F19" s="4" t="s">
        <v>27</v>
      </c>
      <c r="G19" s="5" t="s">
        <v>20</v>
      </c>
      <c r="H19" s="5" t="s">
        <v>21</v>
      </c>
      <c r="I19" s="15" t="s">
        <v>29</v>
      </c>
      <c r="J19" s="5" t="s">
        <v>33</v>
      </c>
      <c r="K19" s="53" t="s">
        <v>103</v>
      </c>
      <c r="L19" s="52"/>
    </row>
    <row r="20" spans="3:12" ht="15.75" thickBot="1" x14ac:dyDescent="0.3">
      <c r="C20" s="29" t="s">
        <v>35</v>
      </c>
      <c r="D20" s="31">
        <v>7050</v>
      </c>
      <c r="E20" s="2" t="s">
        <v>15</v>
      </c>
      <c r="F20" s="44">
        <v>250</v>
      </c>
      <c r="G20" s="7">
        <f>SUMPRODUCT(D7:J7,$D$12:$J$12)</f>
        <v>6513.6</v>
      </c>
      <c r="H20" s="6">
        <f>G20*F20</f>
        <v>1628400</v>
      </c>
      <c r="I20" s="16">
        <f>K7-G20</f>
        <v>536.39999999999964</v>
      </c>
      <c r="J20" s="17">
        <f>D20/G20</f>
        <v>1.0823507737656595</v>
      </c>
      <c r="K20" s="54">
        <f>J20*20%</f>
        <v>0.21647015475313192</v>
      </c>
      <c r="L20" s="51"/>
    </row>
    <row r="21" spans="3:12" ht="30.75" thickBot="1" x14ac:dyDescent="0.3">
      <c r="C21" s="29" t="s">
        <v>36</v>
      </c>
      <c r="D21" s="31">
        <v>8070</v>
      </c>
      <c r="E21" s="2" t="s">
        <v>16</v>
      </c>
      <c r="F21" s="44">
        <v>250</v>
      </c>
      <c r="G21" s="7">
        <f>SUMPRODUCT(D8:J8,$D$12:$J$12)</f>
        <v>6454.9500000000007</v>
      </c>
      <c r="H21" s="6">
        <f>G21*F21</f>
        <v>1613737.5000000002</v>
      </c>
      <c r="I21" s="16">
        <f>K8-G21</f>
        <v>1615.0499999999993</v>
      </c>
      <c r="J21" s="17">
        <f>D21/G21</f>
        <v>1.2502033323263539</v>
      </c>
      <c r="K21" s="54">
        <f t="shared" ref="K21:K22" si="0">J21*20%</f>
        <v>0.25004066646527079</v>
      </c>
      <c r="L21" s="51"/>
    </row>
    <row r="22" spans="3:12" ht="15.75" thickBot="1" x14ac:dyDescent="0.3">
      <c r="C22" s="29" t="s">
        <v>37</v>
      </c>
      <c r="D22" s="31">
        <v>10750</v>
      </c>
      <c r="E22" s="2" t="s">
        <v>17</v>
      </c>
      <c r="F22" s="44">
        <v>250</v>
      </c>
      <c r="G22" s="7">
        <f>SUMPRODUCT(D9:J9,$D$12:$J$12)</f>
        <v>8649.35</v>
      </c>
      <c r="H22" s="6">
        <f>G22*F22</f>
        <v>2162337.5</v>
      </c>
      <c r="I22" s="16">
        <f>K9-G22</f>
        <v>2100.6499999999996</v>
      </c>
      <c r="J22" s="17">
        <f>D22/G22</f>
        <v>1.2428679611762734</v>
      </c>
      <c r="K22" s="54">
        <f t="shared" si="0"/>
        <v>0.24857359223525469</v>
      </c>
      <c r="L22" s="51"/>
    </row>
    <row r="23" spans="3:12" ht="15.75" thickBot="1" x14ac:dyDescent="0.3">
      <c r="C23" s="29" t="s">
        <v>38</v>
      </c>
      <c r="D23" s="31">
        <v>6610</v>
      </c>
      <c r="E23" s="2" t="s">
        <v>18</v>
      </c>
      <c r="F23" s="44">
        <v>250</v>
      </c>
      <c r="G23" s="9">
        <f>SUMPRODUCT(D10:J10,$D$12:$J$12)</f>
        <v>5095</v>
      </c>
      <c r="H23" s="6">
        <f>G23*F23</f>
        <v>1273750</v>
      </c>
      <c r="I23" s="16">
        <f>K10-G23</f>
        <v>1515</v>
      </c>
      <c r="J23" s="17">
        <f>D23/G23</f>
        <v>1.2973503434739941</v>
      </c>
      <c r="K23" s="54">
        <f>J23*30%</f>
        <v>0.38920510304219824</v>
      </c>
      <c r="L23" s="51"/>
    </row>
    <row r="24" spans="3:12" ht="15.75" thickBot="1" x14ac:dyDescent="0.3">
      <c r="D24" s="51">
        <f>SUM(D20:D23)</f>
        <v>32480</v>
      </c>
      <c r="F24" s="11" t="s">
        <v>23</v>
      </c>
      <c r="G24" s="40">
        <f>SUM(G20:G23)</f>
        <v>26712.9</v>
      </c>
      <c r="H24" s="41">
        <f>SUM(H20:H23)</f>
        <v>6678225</v>
      </c>
      <c r="I24" s="42">
        <f>SUM(I20:I23)</f>
        <v>5767.0999999999985</v>
      </c>
      <c r="J24" s="43">
        <f>SUM(J20:J23)</f>
        <v>4.8727724107422805</v>
      </c>
    </row>
    <row r="26" spans="3:12" ht="30" x14ac:dyDescent="0.25">
      <c r="C26" s="4" t="s">
        <v>31</v>
      </c>
      <c r="D26" s="8">
        <f>150*(D$11-SUMPRODUCT(D$7:D$10,$F$20:$F$23))</f>
        <v>14625</v>
      </c>
      <c r="E26" s="8">
        <f t="array" ref="E26">150*(E$11-SUMPRODUCT(E7:E10,$F$20:$F$23))</f>
        <v>-11250</v>
      </c>
      <c r="F26" s="8">
        <f>150*(F$11-SUMPRODUCT(F7:F10,$F$20:$F$23))</f>
        <v>-27000</v>
      </c>
      <c r="G26" s="8"/>
      <c r="H26" s="8">
        <f>150*(H$11-SUMPRODUCT(H7:H10,$F$20:$F$23))</f>
        <v>-19275</v>
      </c>
      <c r="I26" s="8">
        <f>250*(I$11-SUMPRODUCT(I7:I10,$F$20:$F$23))</f>
        <v>-10250</v>
      </c>
      <c r="J26" s="10">
        <f>SUM(D26:I26)</f>
        <v>-53150</v>
      </c>
    </row>
    <row r="28" spans="3:12" x14ac:dyDescent="0.25">
      <c r="K28" s="2" t="s">
        <v>23</v>
      </c>
    </row>
    <row r="29" spans="3:12" ht="30" x14ac:dyDescent="0.25">
      <c r="C29" s="4" t="s">
        <v>24</v>
      </c>
      <c r="D29" s="16">
        <f>SUMPRODUCT(D7:D10,$F$20:$F$23)-F31/D11</f>
        <v>482.5</v>
      </c>
      <c r="E29" s="16">
        <f>SUMPRODUCT(E7:E10,$F$20:$F$23)-F32/E11</f>
        <v>94</v>
      </c>
      <c r="F29" s="16">
        <f>SUMPRODUCT(F7:F10,$F$20:$F$23)-F33/F11</f>
        <v>204</v>
      </c>
      <c r="G29" s="16">
        <f>SUMPRODUCT(G7:G10,$F$20:$F$23)-F34/G11</f>
        <v>129999</v>
      </c>
      <c r="H29" s="16">
        <f>SUMPRODUCT(H7:H10,$F$20:$F$23)-F35/H11</f>
        <v>146.5</v>
      </c>
      <c r="I29" s="16">
        <f>SUMPRODUCT(I7:I10,$F$20:$F$23)-F36/I11</f>
        <v>49</v>
      </c>
      <c r="J29" s="16">
        <f>SUMPRODUCT(J7:J10,$F$20:$F$23)-F37/J11</f>
        <v>132499</v>
      </c>
      <c r="K29" s="12">
        <f>SUM(D29:J29)</f>
        <v>263474</v>
      </c>
    </row>
    <row r="31" spans="3:12" ht="30" x14ac:dyDescent="0.25">
      <c r="C31" s="4" t="s">
        <v>25</v>
      </c>
      <c r="D31" s="56"/>
      <c r="E31" s="58" t="s">
        <v>106</v>
      </c>
      <c r="F31" s="59">
        <v>0</v>
      </c>
    </row>
    <row r="32" spans="3:12" x14ac:dyDescent="0.25">
      <c r="C32" s="12">
        <f>F20-F21</f>
        <v>0</v>
      </c>
      <c r="D32" s="56">
        <v>20</v>
      </c>
      <c r="E32" s="58" t="s">
        <v>107</v>
      </c>
      <c r="F32" s="59">
        <v>20</v>
      </c>
      <c r="H32" s="1">
        <f>0.5*500</f>
        <v>250</v>
      </c>
    </row>
    <row r="33" spans="3:6" x14ac:dyDescent="0.25">
      <c r="C33" s="12">
        <f>F22+F23-F21</f>
        <v>250</v>
      </c>
      <c r="D33" s="56">
        <v>0</v>
      </c>
      <c r="E33" s="58" t="s">
        <v>108</v>
      </c>
      <c r="F33" s="59">
        <v>25</v>
      </c>
    </row>
    <row r="34" spans="3:6" x14ac:dyDescent="0.25">
      <c r="E34" s="58" t="s">
        <v>109</v>
      </c>
      <c r="F34" s="59">
        <v>95000</v>
      </c>
    </row>
    <row r="35" spans="3:6" x14ac:dyDescent="0.25">
      <c r="C35" s="18" t="s">
        <v>32</v>
      </c>
      <c r="D35" s="57">
        <v>300000</v>
      </c>
      <c r="E35" s="58" t="s">
        <v>110</v>
      </c>
      <c r="F35" s="59">
        <v>19</v>
      </c>
    </row>
    <row r="36" spans="3:6" x14ac:dyDescent="0.25">
      <c r="E36" s="58" t="s">
        <v>111</v>
      </c>
      <c r="F36" s="59">
        <v>9</v>
      </c>
    </row>
    <row r="37" spans="3:6" x14ac:dyDescent="0.25">
      <c r="E37" s="58" t="s">
        <v>112</v>
      </c>
      <c r="F37" s="59">
        <v>56000</v>
      </c>
    </row>
  </sheetData>
  <mergeCells count="3">
    <mergeCell ref="D3:D5"/>
    <mergeCell ref="G3:G5"/>
    <mergeCell ref="H3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5"/>
  <sheetViews>
    <sheetView tabSelected="1" workbookViewId="0">
      <selection activeCell="N23" sqref="N23"/>
    </sheetView>
  </sheetViews>
  <sheetFormatPr defaultRowHeight="15" x14ac:dyDescent="0.25"/>
  <cols>
    <col min="1" max="2" width="2.140625" customWidth="1"/>
    <col min="3" max="3" width="22.140625" bestFit="1" customWidth="1"/>
    <col min="4" max="4" width="14.7109375" bestFit="1" customWidth="1"/>
    <col min="5" max="5" width="17.85546875" customWidth="1"/>
    <col min="6" max="6" width="12.85546875" bestFit="1" customWidth="1"/>
    <col min="7" max="7" width="15.140625" bestFit="1" customWidth="1"/>
    <col min="8" max="8" width="16.5703125" customWidth="1"/>
    <col min="9" max="9" width="15.7109375" bestFit="1" customWidth="1"/>
    <col min="10" max="10" width="17.5703125" bestFit="1" customWidth="1"/>
    <col min="11" max="11" width="13.7109375" customWidth="1"/>
    <col min="12" max="12" width="18.5703125" customWidth="1"/>
    <col min="13" max="13" width="14" bestFit="1" customWidth="1"/>
    <col min="14" max="14" width="11.42578125" bestFit="1" customWidth="1"/>
    <col min="15" max="15" width="18.42578125" bestFit="1" customWidth="1"/>
  </cols>
  <sheetData>
    <row r="2" spans="3:11" ht="15.75" thickBot="1" x14ac:dyDescent="0.3"/>
    <row r="3" spans="3:11" ht="28.5" x14ac:dyDescent="0.25">
      <c r="C3" s="20" t="s">
        <v>0</v>
      </c>
      <c r="D3" s="63" t="s">
        <v>2</v>
      </c>
      <c r="E3" s="21" t="s">
        <v>3</v>
      </c>
      <c r="F3" s="21" t="s">
        <v>5</v>
      </c>
      <c r="G3" s="63" t="s">
        <v>6</v>
      </c>
      <c r="H3" s="63" t="s">
        <v>7</v>
      </c>
      <c r="I3" s="21" t="s">
        <v>8</v>
      </c>
      <c r="J3" s="21" t="s">
        <v>10</v>
      </c>
      <c r="K3" s="22" t="s">
        <v>12</v>
      </c>
    </row>
    <row r="4" spans="3:11" x14ac:dyDescent="0.25">
      <c r="C4" s="23"/>
      <c r="D4" s="64"/>
      <c r="E4" s="24" t="s">
        <v>4</v>
      </c>
      <c r="F4" s="24" t="s">
        <v>4</v>
      </c>
      <c r="G4" s="64"/>
      <c r="H4" s="64"/>
      <c r="I4" s="24" t="s">
        <v>9</v>
      </c>
      <c r="J4" s="24" t="s">
        <v>11</v>
      </c>
      <c r="K4" s="25" t="s">
        <v>13</v>
      </c>
    </row>
    <row r="5" spans="3:11" ht="15.75" thickBot="1" x14ac:dyDescent="0.3">
      <c r="C5" s="26" t="s">
        <v>1</v>
      </c>
      <c r="D5" s="65"/>
      <c r="E5" s="27"/>
      <c r="F5" s="27"/>
      <c r="G5" s="65"/>
      <c r="H5" s="65"/>
      <c r="I5" s="27"/>
      <c r="J5" s="27"/>
      <c r="K5" s="28"/>
    </row>
    <row r="6" spans="3:11" ht="15.75" thickBot="1" x14ac:dyDescent="0.3">
      <c r="C6" s="38">
        <v>1</v>
      </c>
      <c r="D6" s="39">
        <v>2</v>
      </c>
      <c r="E6" s="39">
        <v>3</v>
      </c>
      <c r="F6" s="39">
        <v>4</v>
      </c>
      <c r="G6" s="39">
        <v>5</v>
      </c>
      <c r="H6" s="39">
        <v>6</v>
      </c>
      <c r="I6" s="39">
        <v>7</v>
      </c>
      <c r="J6" s="39">
        <v>8</v>
      </c>
      <c r="K6" s="28">
        <v>9</v>
      </c>
    </row>
    <row r="7" spans="3:11" ht="15.75" thickBot="1" x14ac:dyDescent="0.3">
      <c r="C7" s="29" t="s">
        <v>35</v>
      </c>
      <c r="D7" s="30">
        <v>0.6</v>
      </c>
      <c r="E7" s="30">
        <v>0</v>
      </c>
      <c r="F7" s="30">
        <v>0.14000000000000001</v>
      </c>
      <c r="G7" s="30">
        <v>130</v>
      </c>
      <c r="H7" s="30">
        <v>0.17</v>
      </c>
      <c r="I7" s="30">
        <v>0.03</v>
      </c>
      <c r="J7" s="30">
        <v>145</v>
      </c>
      <c r="K7" s="31">
        <v>7050</v>
      </c>
    </row>
    <row r="8" spans="3:11" ht="30.75" thickBot="1" x14ac:dyDescent="0.3">
      <c r="C8" s="29" t="s">
        <v>36</v>
      </c>
      <c r="D8" s="30">
        <v>0.56000000000000005</v>
      </c>
      <c r="E8" s="30">
        <v>0.16</v>
      </c>
      <c r="F8" s="30">
        <v>0.11</v>
      </c>
      <c r="G8" s="30">
        <v>120</v>
      </c>
      <c r="H8" s="30">
        <v>0.22</v>
      </c>
      <c r="I8" s="30">
        <v>6.5000000000000002E-2</v>
      </c>
      <c r="J8" s="30">
        <v>115</v>
      </c>
      <c r="K8" s="31">
        <v>8070</v>
      </c>
    </row>
    <row r="9" spans="3:11" ht="15.75" thickBot="1" x14ac:dyDescent="0.3">
      <c r="C9" s="29" t="s">
        <v>37</v>
      </c>
      <c r="D9" s="30">
        <v>0.03</v>
      </c>
      <c r="E9" s="30">
        <v>0.15</v>
      </c>
      <c r="F9" s="30">
        <v>0.45</v>
      </c>
      <c r="G9" s="30">
        <v>150</v>
      </c>
      <c r="H9" s="30">
        <v>0.08</v>
      </c>
      <c r="I9" s="30">
        <v>8.5000000000000006E-2</v>
      </c>
      <c r="J9" s="30">
        <v>170</v>
      </c>
      <c r="K9" s="31">
        <v>10750</v>
      </c>
    </row>
    <row r="10" spans="3:11" ht="15.75" thickBot="1" x14ac:dyDescent="0.3">
      <c r="C10" s="29" t="s">
        <v>38</v>
      </c>
      <c r="D10" s="30">
        <v>0.74</v>
      </c>
      <c r="E10" s="30">
        <v>7.0000000000000007E-2</v>
      </c>
      <c r="F10" s="30">
        <v>0.12</v>
      </c>
      <c r="G10" s="30">
        <v>120</v>
      </c>
      <c r="H10" s="30">
        <v>0.12</v>
      </c>
      <c r="I10" s="30">
        <v>0.02</v>
      </c>
      <c r="J10" s="30">
        <v>100</v>
      </c>
      <c r="K10" s="31">
        <v>6610</v>
      </c>
    </row>
    <row r="11" spans="3:11" ht="15.75" thickBot="1" x14ac:dyDescent="0.3">
      <c r="C11" s="32" t="s">
        <v>30</v>
      </c>
      <c r="D11" s="33">
        <v>580</v>
      </c>
      <c r="E11" s="33">
        <v>20</v>
      </c>
      <c r="F11" s="33">
        <v>25</v>
      </c>
      <c r="G11" s="31">
        <v>95000</v>
      </c>
      <c r="H11" s="33">
        <v>19</v>
      </c>
      <c r="I11" s="33">
        <v>9</v>
      </c>
      <c r="J11" s="31">
        <v>56000</v>
      </c>
      <c r="K11" s="30"/>
    </row>
    <row r="12" spans="3:11" ht="30.75" thickBot="1" x14ac:dyDescent="0.3">
      <c r="C12" s="34" t="s">
        <v>14</v>
      </c>
      <c r="D12" s="35">
        <v>1300</v>
      </c>
      <c r="E12" s="36">
        <v>1200</v>
      </c>
      <c r="F12" s="36">
        <v>2730</v>
      </c>
      <c r="G12" s="36">
        <v>1.4</v>
      </c>
      <c r="H12" s="35">
        <v>1070</v>
      </c>
      <c r="I12" s="35">
        <v>21250</v>
      </c>
      <c r="J12" s="36">
        <v>30</v>
      </c>
      <c r="K12" s="37"/>
    </row>
    <row r="13" spans="3:11" x14ac:dyDescent="0.25">
      <c r="K13" s="14"/>
    </row>
    <row r="14" spans="3:11" ht="60" x14ac:dyDescent="0.25">
      <c r="C14" s="4" t="s">
        <v>19</v>
      </c>
      <c r="D14" s="4" t="s">
        <v>28</v>
      </c>
      <c r="E14" s="4" t="s">
        <v>34</v>
      </c>
      <c r="K14" s="14"/>
    </row>
    <row r="15" spans="3:11" x14ac:dyDescent="0.25">
      <c r="C15" s="6">
        <f>SUMPRODUCT(D20:D23,F20:F23)</f>
        <v>12992000</v>
      </c>
      <c r="D15" s="6">
        <f>C15-H24</f>
        <v>2306840</v>
      </c>
      <c r="E15" s="13">
        <f>D15-J26-D35</f>
        <v>2151190</v>
      </c>
    </row>
    <row r="16" spans="3:11" x14ac:dyDescent="0.25">
      <c r="E16" t="s">
        <v>26</v>
      </c>
    </row>
    <row r="19" spans="3:14" ht="117" customHeight="1" x14ac:dyDescent="0.25">
      <c r="C19" s="3"/>
      <c r="D19" s="4" t="s">
        <v>22</v>
      </c>
      <c r="E19" s="1"/>
      <c r="F19" s="4" t="s">
        <v>27</v>
      </c>
      <c r="G19" s="5" t="s">
        <v>20</v>
      </c>
      <c r="H19" s="5" t="s">
        <v>21</v>
      </c>
      <c r="I19" s="15" t="s">
        <v>29</v>
      </c>
      <c r="J19" s="5" t="s">
        <v>33</v>
      </c>
      <c r="K19" s="60" t="s">
        <v>103</v>
      </c>
      <c r="L19" s="66" t="s">
        <v>117</v>
      </c>
      <c r="M19" s="67"/>
      <c r="N19" s="5" t="s">
        <v>118</v>
      </c>
    </row>
    <row r="20" spans="3:14" ht="15.75" thickBot="1" x14ac:dyDescent="0.3">
      <c r="C20" s="29" t="s">
        <v>35</v>
      </c>
      <c r="D20" s="31">
        <v>7050</v>
      </c>
      <c r="E20" s="2" t="s">
        <v>15</v>
      </c>
      <c r="F20" s="44">
        <v>400</v>
      </c>
      <c r="G20" s="7">
        <f>SUMPRODUCT(D7:J7,$D$12:$J$12)</f>
        <v>6513.6</v>
      </c>
      <c r="H20" s="6">
        <f>G20*F20</f>
        <v>2605440</v>
      </c>
      <c r="I20" s="16">
        <f>K7-G20</f>
        <v>536.39999999999964</v>
      </c>
      <c r="J20" s="17">
        <f>D20/G20</f>
        <v>1.0823507737656595</v>
      </c>
      <c r="K20" s="54">
        <f>J20*20%</f>
        <v>0.21647015475313192</v>
      </c>
      <c r="L20" s="61" t="s">
        <v>113</v>
      </c>
      <c r="M20" s="59">
        <v>160939.78779749997</v>
      </c>
      <c r="N20" s="62">
        <f t="array" ref="N20:N23">SUM(F20:F23,M20:M23)/E15</f>
        <v>0.30000099999999996</v>
      </c>
    </row>
    <row r="21" spans="3:14" ht="24.75" customHeight="1" thickBot="1" x14ac:dyDescent="0.3">
      <c r="C21" s="29" t="s">
        <v>36</v>
      </c>
      <c r="D21" s="31">
        <v>8070</v>
      </c>
      <c r="E21" s="2" t="s">
        <v>16</v>
      </c>
      <c r="F21" s="44">
        <v>400</v>
      </c>
      <c r="G21" s="7">
        <f>SUMPRODUCT(D8:J8,$D$12:$J$12)</f>
        <v>6454.9500000000007</v>
      </c>
      <c r="H21" s="6">
        <f>G21*F21</f>
        <v>2581980.0000000005</v>
      </c>
      <c r="I21" s="16">
        <f>K8-G21</f>
        <v>1615.0499999999993</v>
      </c>
      <c r="J21" s="17">
        <f>D21/G21</f>
        <v>1.2502033323263539</v>
      </c>
      <c r="K21" s="54">
        <f t="shared" ref="K21:K22" si="0">J21*20%</f>
        <v>0.25004066646527079</v>
      </c>
      <c r="L21" s="61" t="s">
        <v>114</v>
      </c>
      <c r="M21" s="59">
        <v>160939.78779749997</v>
      </c>
      <c r="N21" s="62">
        <v>0.30000099999999996</v>
      </c>
    </row>
    <row r="22" spans="3:14" ht="15.75" thickBot="1" x14ac:dyDescent="0.3">
      <c r="C22" s="29" t="s">
        <v>37</v>
      </c>
      <c r="D22" s="31">
        <v>10750</v>
      </c>
      <c r="E22" s="2" t="s">
        <v>17</v>
      </c>
      <c r="F22" s="44">
        <v>400</v>
      </c>
      <c r="G22" s="7">
        <f>SUMPRODUCT(D9:J9,$D$12:$J$12)</f>
        <v>8649.35</v>
      </c>
      <c r="H22" s="6">
        <f>G22*F22</f>
        <v>3459740</v>
      </c>
      <c r="I22" s="16">
        <f>K9-G22</f>
        <v>2100.6499999999996</v>
      </c>
      <c r="J22" s="17">
        <f>D22/G22</f>
        <v>1.2428679611762734</v>
      </c>
      <c r="K22" s="54">
        <f t="shared" si="0"/>
        <v>0.24857359223525469</v>
      </c>
      <c r="L22" s="61" t="s">
        <v>115</v>
      </c>
      <c r="M22" s="59">
        <v>160939.78779749997</v>
      </c>
      <c r="N22" s="62">
        <v>0.30000099999999996</v>
      </c>
    </row>
    <row r="23" spans="3:14" ht="15.75" thickBot="1" x14ac:dyDescent="0.3">
      <c r="C23" s="29" t="s">
        <v>38</v>
      </c>
      <c r="D23" s="31">
        <v>6610</v>
      </c>
      <c r="E23" s="2" t="s">
        <v>18</v>
      </c>
      <c r="F23" s="44">
        <v>400</v>
      </c>
      <c r="G23" s="9">
        <f>SUMPRODUCT(D10:J10,$D$12:$J$12)</f>
        <v>5095</v>
      </c>
      <c r="H23" s="6">
        <f>G23*F23</f>
        <v>2038000</v>
      </c>
      <c r="I23" s="16">
        <f>K10-G23</f>
        <v>1515</v>
      </c>
      <c r="J23" s="17">
        <f>D23/G23</f>
        <v>1.2973503434739941</v>
      </c>
      <c r="K23" s="54">
        <f>J23*30%</f>
        <v>0.38920510304219824</v>
      </c>
      <c r="L23" s="61" t="s">
        <v>116</v>
      </c>
      <c r="M23" s="59">
        <v>160939.78779749997</v>
      </c>
      <c r="N23" s="62">
        <v>0.30000099999999996</v>
      </c>
    </row>
    <row r="24" spans="3:14" ht="15.75" thickBot="1" x14ac:dyDescent="0.3">
      <c r="D24" s="51">
        <f>SUM(D20:D23)</f>
        <v>32480</v>
      </c>
      <c r="F24" s="11" t="s">
        <v>23</v>
      </c>
      <c r="G24" s="40">
        <f>SUM(G20:G23)</f>
        <v>26712.9</v>
      </c>
      <c r="H24" s="41">
        <f>SUM(H20:H23)</f>
        <v>10685160</v>
      </c>
      <c r="I24" s="42">
        <f>SUM(I20:I23)</f>
        <v>5767.0999999999985</v>
      </c>
      <c r="J24" s="43">
        <f>SUM(J20:J23)</f>
        <v>4.8727724107422805</v>
      </c>
    </row>
    <row r="26" spans="3:14" ht="30" x14ac:dyDescent="0.25">
      <c r="C26" s="4" t="s">
        <v>31</v>
      </c>
      <c r="D26" s="8">
        <f>150*(D$11-SUMPRODUCT(D$7:D$10,$F$20:$F$23))</f>
        <v>-28800</v>
      </c>
      <c r="E26" s="8">
        <f>150*(E$11-SUMPRODUCT(E7:E10,$F$20:$F$23))</f>
        <v>-19800</v>
      </c>
      <c r="F26" s="8">
        <f>150*(F$11-SUMPRODUCT(F7:F10,$F$20:$F$23))</f>
        <v>-45450</v>
      </c>
      <c r="G26" s="8"/>
      <c r="H26" s="8">
        <f>150*(H$11-SUMPRODUCT(H7:H10,$F$20:$F$23))</f>
        <v>-32550</v>
      </c>
      <c r="I26" s="8">
        <f>250*(I$11-SUMPRODUCT(I7:I10,$F$20:$F$23))</f>
        <v>-17750</v>
      </c>
      <c r="J26" s="10">
        <f>SUM(D26:I26)</f>
        <v>-144350</v>
      </c>
    </row>
    <row r="28" spans="3:14" x14ac:dyDescent="0.25">
      <c r="K28" s="2" t="s">
        <v>23</v>
      </c>
    </row>
    <row r="29" spans="3:14" ht="30" x14ac:dyDescent="0.25">
      <c r="C29" s="4" t="s">
        <v>24</v>
      </c>
      <c r="D29" s="6">
        <f>SUMPRODUCT(D7:D10,$F$20:$F$23)</f>
        <v>772</v>
      </c>
      <c r="E29" s="6">
        <f t="shared" ref="E29:I29" si="1">SUMPRODUCT(E7:E10,$F$20:$F$23)</f>
        <v>152</v>
      </c>
      <c r="F29" s="6">
        <f t="shared" si="1"/>
        <v>328</v>
      </c>
      <c r="G29" s="6">
        <f t="shared" si="1"/>
        <v>208000</v>
      </c>
      <c r="H29" s="6">
        <f t="shared" si="1"/>
        <v>236</v>
      </c>
      <c r="I29" s="6">
        <f t="shared" si="1"/>
        <v>80</v>
      </c>
      <c r="J29" s="16">
        <f>SUMPRODUCT(J7:J10,$F$20:$F$23)</f>
        <v>212000</v>
      </c>
      <c r="K29" s="12">
        <f>SUM(D29:J29)</f>
        <v>421568</v>
      </c>
    </row>
    <row r="31" spans="3:14" ht="30" x14ac:dyDescent="0.25">
      <c r="C31" s="4" t="s">
        <v>25</v>
      </c>
      <c r="D31" s="1"/>
    </row>
    <row r="32" spans="3:14" x14ac:dyDescent="0.25">
      <c r="C32" s="12">
        <f>F20-F21</f>
        <v>0</v>
      </c>
      <c r="D32" s="1">
        <v>20</v>
      </c>
    </row>
    <row r="33" spans="3:4" x14ac:dyDescent="0.25">
      <c r="C33" s="12">
        <f>F22+F23-F21</f>
        <v>400</v>
      </c>
      <c r="D33" s="1">
        <v>0</v>
      </c>
    </row>
    <row r="35" spans="3:4" x14ac:dyDescent="0.25">
      <c r="C35" s="18" t="s">
        <v>32</v>
      </c>
      <c r="D35" s="19">
        <v>300000</v>
      </c>
    </row>
  </sheetData>
  <mergeCells count="4">
    <mergeCell ref="D3:D5"/>
    <mergeCell ref="G3:G5"/>
    <mergeCell ref="H3:H5"/>
    <mergeCell ref="L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Отчет о результатах 1</vt:lpstr>
      <vt:lpstr>1</vt:lpstr>
      <vt:lpstr>2-3</vt:lpstr>
      <vt:lpstr>5</vt:lpstr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DerbV</dc:creator>
  <cp:lastModifiedBy>Michael Malysh</cp:lastModifiedBy>
  <dcterms:created xsi:type="dcterms:W3CDTF">2014-04-01T09:54:41Z</dcterms:created>
  <dcterms:modified xsi:type="dcterms:W3CDTF">2018-12-13T18:55:05Z</dcterms:modified>
</cp:coreProperties>
</file>