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77D97930-F208-4288-9FCB-C8DD9F96D1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0" l="1"/>
  <c r="H26" i="10"/>
  <c r="H25" i="10"/>
  <c r="H24" i="10"/>
  <c r="H23" i="10"/>
  <c r="C26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F9" i="10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5" i="10" l="1"/>
  <c r="D8" i="10"/>
  <c r="F14" i="10"/>
  <c r="Z3" i="1"/>
  <c r="F10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H12" i="10" s="1"/>
  <c r="F24" i="10"/>
  <c r="B6" i="15" s="1"/>
  <c r="C6" i="15" s="1"/>
  <c r="E6" i="15" s="1"/>
  <c r="D12" i="10"/>
  <c r="C32" i="10" s="1"/>
  <c r="D25" i="10"/>
  <c r="D18" i="10"/>
  <c r="D10" i="10"/>
  <c r="D11" i="10"/>
  <c r="C25" i="10"/>
  <c r="G25" i="10" s="1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23" i="10" l="1"/>
  <c r="G24" i="10"/>
  <c r="G19" i="10"/>
  <c r="H5" i="10"/>
  <c r="C15" i="10"/>
  <c r="F26" i="10"/>
  <c r="B5" i="15"/>
  <c r="D26" i="10"/>
  <c r="C7" i="10"/>
  <c r="C16" i="10"/>
  <c r="C17" i="10"/>
  <c r="C10" i="10"/>
  <c r="C13" i="10"/>
  <c r="C14" i="10"/>
  <c r="E26" i="10"/>
  <c r="C6" i="10"/>
  <c r="C11" i="10"/>
  <c r="C18" i="10"/>
  <c r="C12" i="10"/>
  <c r="B31" i="10" s="1"/>
  <c r="C9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<sst xmlns="http://schemas.openxmlformats.org/spreadsheetml/2006/main" count="12806" uniqueCount="2160">
  <si>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</si>
  <si>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</si>
  <si>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</si>
  <si>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</si>
  <si>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</si>
  <si>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</si>
  <si>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</si>
  <si>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</si>
  <si>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</si>
  <si>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</si>
  <si>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</si>
  <si>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</si>
  <si>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</si>
  <si>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</si>
  <si>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</si>
  <si>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</si>
  <si>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</si>
  <si>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</si>
  <si>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</si>
  <si>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</si>
  <si>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</si>
  <si>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</si>
  <si>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</si>
  <si>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</si>
  <si>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</si>
  <si>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</si>
  <si>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</si>
  <si>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</si>
  <si>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</si>
  <si>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</si>
  <si>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</si>
  <si>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</si>
  <si>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</si>
  <si>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</si>
  <si>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</si>
  <si>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</si>
  <si>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</si>
  <si>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</si>
  <si>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</si>
  <si>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</si>
  <si>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</si>
  <si>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</si>
  <si>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</si>
  <si>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</si>
  <si>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</si>
  <si>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</si>
  <si>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</si>
  <si>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</si>
  <si>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</si>
  <si>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</si>
  <si>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</si>
  <si>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</si>
  <si>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</si>
  <si>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</si>
  <si>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</si>
  <si>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</si>
  <si>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</si>
  <si>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</si>
  <si>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</si>
  <si>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</si>
  <si>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</si>
  <si>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</si>
  <si>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</si>
  <si>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</si>
  <si>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</si>
  <si>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</si>
  <si>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</si>
  <si>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</si>
  <si>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</si>
  <si>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</si>
  <si>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</si>
  <si>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</si>
  <si>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</si>
  <si>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</si>
  <si>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</si>
  <si>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</si>
  <si>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</si>
  <si>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</si>
  <si>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</si>
  <si>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</si>
  <si>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</si>
  <si>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</si>
  <si>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</si>
  <si>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</si>
  <si>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</si>
  <si>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</si>
  <si>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</si>
  <si>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</si>
  <si>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</si>
  <si>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</si>
  <si>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</si>
  <si>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</si>
  <si>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</si>
  <si>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</si>
  <si>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</si>
  <si>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</si>
  <si>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</si>
  <si>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</si>
  <si>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</si>
  <si>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</si>
  <si>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</si>
  <si>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</si>
  <si>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</si>
  <si>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</si>
  <si>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</si>
  <si>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</si>
  <si>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</si>
  <si>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</si>
  <si>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</si>
  <si>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</si>
  <si>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</si>
  <si>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</si>
  <si>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</si>
  <si>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</si>
  <si>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</si>
  <si>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</si>
  <si>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</si>
  <si>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</si>
  <si>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</si>
  <si>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</si>
  <si>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</si>
  <si>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</si>
  <si>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</si>
  <si>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</si>
  <si>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</si>
  <si>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</si>
  <si>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</si>
  <si>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</si>
  <si>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</si>
  <si>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</si>
  <si>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</si>
  <si>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</si>
  <si>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</si>
  <si>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</si>
  <si>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</si>
  <si>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</si>
  <si>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</si>
  <si>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</si>
  <si>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</si>
  <si>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</si>
  <si>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</si>
  <si>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</si>
  <si>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</si>
  <si>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</si>
  <si>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</si>
  <si>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</si>
  <si>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</si>
  <si>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</si>
  <si>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</si>
  <si>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</si>
  <si>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</si>
  <si>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</si>
  <si>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</si>
  <si>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</si>
  <si>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</si>
  <si>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</si>
  <si>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</si>
  <si>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</si>
  <si>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</si>
  <si>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</si>
  <si>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</si>
  <si>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</si>
  <si>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</si>
  <si>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</si>
  <si>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</si>
  <si>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</si>
  <si>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</si>
  <si>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</si>
  <si>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</si>
  <si>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</si>
  <si>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</si>
  <si>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</si>
  <si>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</si>
  <si>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</si>
  <si>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</si>
  <si>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</si>
  <si>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</si>
  <si>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</si>
  <si>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</si>
  <si>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</si>
  <si>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</si>
  <si>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</si>
  <si>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</si>
  <si>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</si>
  <si>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</si>
  <si>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</si>
  <si>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</si>
  <si>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</si>
  <si>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</si>
  <si>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</si>
  <si>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</si>
  <si>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</si>
  <si>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</si>
  <si>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</si>
  <si>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</si>
  <si>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</si>
  <si>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</si>
  <si>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</si>
  <si>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</si>
  <si>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</si>
  <si>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</si>
  <si>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</si>
  <si>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</si>
  <si>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</si>
  <si>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</si>
  <si>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</si>
  <si>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</si>
  <si>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</si>
  <si>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</si>
  <si>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</si>
  <si>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</si>
  <si>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</si>
  <si>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</si>
  <si>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</si>
  <si>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</si>
  <si>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</si>
  <si>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</si>
  <si>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</si>
  <si>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</si>
  <si>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</si>
  <si>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</si>
  <si>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</si>
  <si>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</si>
  <si>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</si>
  <si>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</si>
  <si>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</si>
  <si>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</si>
  <si>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</si>
  <si>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</si>
  <si>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</si>
  <si>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</si>
  <si>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</si>
  <si>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</si>
  <si>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</si>
  <si>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</si>
  <si>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</si>
  <si>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</si>
  <si>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</si>
  <si>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</si>
  <si>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</si>
  <si>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</si>
  <si>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</si>
  <si>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</si>
  <si>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</si>
  <si>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</si>
  <si>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</si>
  <si>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</si>
  <si>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</si>
  <si>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</si>
  <si>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</si>
  <si>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</si>
  <si>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</si>
  <si>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</si>
  <si>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</si>
  <si>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</si>
  <si>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</si>
  <si>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</si>
  <si>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</si>
  <si>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</si>
  <si>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</si>
  <si>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</si>
  <si>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</si>
  <si>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</si>
  <si>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</si>
  <si>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</si>
  <si>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</si>
  <si>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</si>
  <si>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</si>
  <si>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</si>
  <si>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</si>
  <si>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</si>
  <si>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</si>
  <si>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</si>
  <si>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</si>
  <si>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</si>
  <si>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</si>
  <si>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</si>
  <si>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</si>
  <si>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</si>
  <si>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</si>
  <si>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</si>
  <si>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</si>
  <si>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</si>
  <si>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</si>
  <si>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</si>
  <si>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</si>
  <si>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</si>
  <si>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</si>
  <si>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</si>
  <si>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</si>
  <si>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</si>
  <si>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</si>
  <si>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</si>
  <si>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</si>
  <si>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</si>
  <si>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</si>
  <si>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</si>
  <si>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</si>
  <si>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</si>
  <si>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</si>
  <si>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</si>
  <si>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</si>
  <si>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</si>
  <si>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</si>
  <si>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</si>
  <si>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</si>
  <si>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</si>
  <si>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</si>
  <si>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</si>
  <si>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</si>
  <si>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</si>
  <si>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</si>
  <si>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</si>
  <si>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</si>
  <si>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</si>
  <si>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</si>
  <si>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</si>
  <si>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</si>
  <si>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</si>
  <si>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</si>
  <si>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</si>
  <si>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</si>
  <si>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</si>
  <si>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</si>
  <si>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</si>
  <si>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</si>
  <si>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</si>
  <si>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</si>
  <si>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</si>
  <si>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</si>
  <si>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</si>
  <si>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</si>
  <si>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</si>
  <si>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</si>
  <si>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</si>
  <si>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</si>
  <si>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</si>
  <si>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</si>
  <si>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</si>
  <si>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</si>
  <si>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</si>
  <si>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</si>
  <si>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</si>
  <si>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</si>
  <si>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</si>
  <si>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</si>
  <si>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</si>
  <si>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</si>
  <si>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</si>
  <si>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</si>
  <si>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</si>
  <si>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</si>
  <si>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</si>
  <si>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</si>
  <si>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</si>
  <si>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</si>
  <si>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</si>
  <si>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</si>
  <si>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</si>
  <si>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</si>
  <si>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</si>
  <si>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</si>
  <si>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</si>
  <si>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</si>
  <si>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</si>
  <si>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</si>
  <si>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</si>
  <si>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</si>
  <si>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</si>
  <si>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</si>
  <si>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</si>
  <si>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</si>
  <si>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</si>
  <si>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</si>
  <si>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</si>
  <si>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</si>
  <si>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</si>
  <si>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</si>
  <si>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</si>
  <si>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</si>
  <si>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</si>
  <si>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</si>
  <si>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</si>
  <si>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</si>
  <si>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</si>
  <si>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</si>
  <si>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</si>
  <si>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</si>
  <si>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</si>
  <si>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</si>
  <si>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</si>
  <si>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</si>
  <si>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</si>
  <si>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</si>
  <si>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</si>
  <si>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</si>
  <si>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</si>
  <si>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</si>
  <si>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</si>
  <si>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</si>
  <si>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</si>
  <si>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</si>
  <si>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</si>
  <si>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</si>
  <si>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</si>
  <si>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</si>
  <si>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</si>
  <si>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</si>
  <si>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</si>
  <si>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</si>
  <si>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</si>
  <si>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</si>
  <si>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</si>
  <si>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</si>
  <si>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</si>
  <si>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</si>
  <si>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</si>
  <si>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</si>
  <si>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</si>
  <si>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</si>
  <si>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</si>
  <si>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</si>
  <si>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</si>
  <si>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</si>
  <si>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</si>
  <si>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</si>
  <si>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</si>
  <si>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</si>
  <si>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</si>
  <si>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</si>
  <si>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</si>
  <si>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</si>
  <si>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</si>
  <si>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</si>
  <si>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</si>
  <si>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</si>
  <si>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</si>
  <si>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</si>
  <si>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</si>
  <si>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</si>
  <si>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</si>
  <si>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</si>
  <si>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</si>
  <si>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</si>
  <si>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</si>
  <si>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</si>
  <si>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</si>
  <si>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</si>
  <si>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</si>
  <si>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</si>
  <si>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</si>
  <si>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</si>
  <si>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</si>
  <si>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</si>
  <si>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</si>
  <si>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</si>
  <si>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</si>
  <si>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</si>
  <si>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</si>
  <si>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</si>
  <si>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</si>
  <si>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</si>
  <si>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</si>
  <si>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</si>
  <si>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</si>
  <si>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</si>
  <si>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</si>
  <si>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</si>
  <si>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</si>
  <si>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</si>
  <si>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</si>
  <si>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</si>
  <si>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</si>
  <si>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</si>
  <si>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</si>
  <si>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</si>
  <si>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</si>
  <si>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</si>
  <si>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</si>
  <si>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</si>
  <si>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</si>
  <si>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</si>
  <si>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</si>
  <si>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</si>
  <si>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</si>
  <si>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</si>
  <si>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</si>
  <si>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</si>
  <si>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</si>
  <si>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</si>
  <si>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</si>
  <si>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</si>
  <si>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</si>
  <si>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</si>
  <si>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</si>
  <si>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</si>
  <si>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</si>
  <si>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</si>
  <si>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</si>
  <si>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</si>
  <si>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</si>
  <si>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</si>
  <si>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</si>
  <si>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</si>
  <si>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</si>
  <si>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</si>
  <si>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</si>
  <si>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</si>
  <si>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</si>
  <si>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</si>
  <si>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</si>
  <si>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</si>
  <si>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</si>
  <si>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</si>
  <si>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</si>
  <si>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</si>
  <si>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</si>
  <si>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</si>
  <si>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</si>
  <si>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</si>
  <si>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</si>
  <si>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</si>
  <si>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</si>
  <si>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</si>
  <si>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</si>
  <si>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</si>
  <si>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</si>
  <si>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</si>
  <si>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</si>
  <si>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</si>
  <si>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</si>
  <si>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</si>
  <si>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</si>
  <si>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</si>
  <si>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</si>
  <si>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</si>
  <si>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</si>
  <si>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</si>
  <si>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</si>
  <si>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</si>
  <si>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</si>
  <si>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</si>
  <si>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</si>
  <si>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</si>
  <si>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</si>
  <si>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</si>
  <si>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</si>
  <si>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</si>
  <si>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</si>
  <si>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</si>
  <si>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</si>
  <si>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</si>
  <si>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</si>
  <si>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</si>
  <si>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</si>
  <si>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</si>
  <si>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</si>
  <si>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</si>
  <si>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</si>
  <si>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</si>
  <si>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</si>
  <si>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</si>
  <si>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</si>
  <si>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</si>
  <si>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</si>
  <si>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</si>
  <si>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</si>
  <si>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</si>
  <si>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</si>
  <si>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</si>
  <si>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</si>
  <si>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</si>
  <si>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</si>
  <si>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</si>
  <si>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</si>
  <si>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</si>
  <si>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</si>
  <si>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</si>
  <si>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</si>
  <si>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</si>
  <si>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</si>
  <si>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</si>
  <si>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</si>
  <si>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</si>
  <si>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</si>
  <si>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</si>
  <si>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</si>
  <si>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</si>
  <si>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</si>
  <si>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</si>
  <si>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</si>
  <si>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</si>
  <si>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</si>
  <si>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</si>
  <si>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</si>
  <si>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</si>
  <si>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</si>
  <si>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</si>
  <si>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</si>
  <si>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</si>
  <si>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</si>
  <si>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</si>
  <si>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</si>
  <si>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</si>
  <si>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</si>
  <si>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</si>
  <si>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</si>
  <si>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</si>
  <si>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</si>
  <si>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</si>
  <si>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</si>
  <si>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</si>
  <si>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</si>
  <si>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</si>
  <si>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</si>
  <si>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</si>
  <si>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</si>
  <si>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</si>
  <si>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</si>
  <si>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</si>
  <si>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</si>
  <si>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</si>
  <si>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</si>
  <si>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</si>
  <si>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</si>
  <si>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</si>
  <si>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</si>
  <si>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</si>
  <si>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</si>
  <si>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</si>
  <si>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</si>
  <si>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</si>
  <si>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</si>
  <si>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</si>
  <si>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</si>
  <si>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</si>
  <si>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</si>
  <si>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</si>
  <si>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</si>
  <si>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</si>
  <si>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</si>
  <si>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</si>
  <si>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</si>
  <si>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</si>
  <si>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</si>
  <si>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</si>
  <si>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</si>
  <si>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</si>
  <si>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</si>
  <si>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</si>
  <si>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</si>
  <si>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</si>
  <si>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</si>
  <si>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</si>
  <si>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</si>
  <si>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</si>
  <si>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</si>
  <si>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</si>
  <si>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</si>
  <si>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</si>
  <si>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</si>
  <si>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</si>
  <si>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</si>
  <si>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</si>
  <si>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</si>
  <si>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</si>
  <si>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</si>
  <si>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</si>
  <si>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</si>
  <si>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</si>
  <si>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</si>
  <si>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</si>
  <si>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</si>
  <si>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</si>
  <si>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</si>
  <si>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</si>
  <si>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</si>
  <si>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</si>
  <si>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</si>
  <si>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</si>
  <si>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</si>
  <si>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</si>
  <si>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</si>
  <si>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</si>
  <si>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</si>
  <si>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</si>
  <si>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</si>
  <si>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</si>
  <si>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</si>
  <si>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</si>
  <si>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</si>
  <si>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</si>
  <si>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</si>
  <si>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</si>
  <si>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</si>
  <si>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</si>
  <si>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</si>
  <si>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</si>
  <si>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</si>
  <si>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</si>
  <si>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</si>
  <si>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</si>
  <si>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</si>
  <si>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</si>
  <si>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</si>
  <si>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</si>
  <si>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</si>
  <si>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</si>
  <si>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</si>
  <si>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</si>
  <si>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</si>
  <si>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</si>
  <si>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</si>
  <si>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</si>
  <si>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</si>
  <si>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</si>
  <si>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</si>
  <si>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</si>
  <si>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</si>
  <si>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</si>
  <si>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</si>
  <si>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</si>
  <si>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</si>
  <si>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</si>
  <si>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</si>
  <si>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</si>
  <si>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</si>
  <si>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</si>
  <si>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</si>
  <si>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</si>
  <si>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</si>
  <si>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</si>
  <si>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</si>
  <si>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</si>
  <si>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</si>
  <si>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</si>
  <si>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</si>
  <si>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</si>
  <si>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</si>
  <si>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</si>
  <si>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</si>
  <si>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</si>
  <si>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</si>
  <si>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</si>
  <si>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</si>
  <si>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</si>
  <si>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</si>
  <si>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</si>
  <si>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</si>
  <si>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</si>
  <si>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</si>
  <si>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</si>
  <si>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</si>
  <si>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</si>
  <si>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</si>
  <si>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</si>
  <si>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</si>
  <si>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</si>
  <si>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</si>
  <si>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</si>
  <si>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</si>
  <si>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</si>
  <si>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</si>
  <si>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</si>
  <si>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</si>
  <si>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</si>
  <si>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</si>
  <si>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</si>
  <si>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</si>
  <si>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</si>
  <si>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</si>
  <si>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</si>
  <si>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</si>
  <si>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</si>
  <si>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</si>
  <si>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</si>
  <si>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</si>
  <si>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</si>
  <si>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</si>
  <si>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</si>
  <si>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</si>
  <si>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</si>
  <si>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</si>
  <si>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</si>
  <si>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</si>
  <si>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</si>
  <si>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</si>
  <si>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</si>
  <si>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</si>
  <si>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</si>
  <si>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</si>
  <si>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</si>
  <si>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</si>
  <si>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</si>
  <si>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</si>
  <si>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</si>
  <si>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</si>
  <si>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</si>
  <si>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</si>
  <si>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</si>
  <si>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</si>
  <si>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</si>
  <si>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</si>
  <si>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</si>
  <si>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</si>
  <si>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</si>
  <si>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</si>
  <si>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</si>
  <si>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</si>
  <si>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</si>
  <si>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</si>
  <si>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</si>
  <si>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</si>
  <si>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</si>
  <si>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</si>
  <si>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</si>
  <si>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</si>
  <si>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</si>
  <si>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</si>
  <si>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</si>
  <si>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</si>
  <si>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</si>
  <si>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</si>
  <si>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</si>
  <si>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</si>
  <si>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</si>
  <si>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</si>
  <si>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</si>
  <si>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</si>
  <si>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</si>
  <si>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</si>
  <si>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</si>
  <si>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</si>
  <si>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</si>
  <si>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</si>
  <si>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</si>
  <si>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</si>
  <si>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</si>
  <si>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</si>
  <si>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</si>
  <si>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</si>
  <si>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</si>
  <si>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</si>
  <si>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</si>
  <si>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</si>
  <si>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</si>
  <si>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</si>
  <si>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</si>
  <si>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</si>
  <si>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</si>
  <si>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</si>
  <si>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</si>
  <si>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</si>
  <si>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</si>
  <si>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</si>
  <si>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</si>
  <si>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</si>
  <si>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</si>
  <si>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</si>
  <si>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</si>
  <si>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</si>
  <si>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</si>
  <si>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</si>
  <si>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</si>
  <si>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</si>
  <si>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</si>
  <si>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</si>
  <si>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</si>
  <si>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</si>
  <si>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</si>
  <si>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</si>
  <si>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</si>
  <si>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</si>
  <si>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</si>
  <si>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</si>
  <si>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</si>
  <si>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</si>
  <si>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</si>
  <si>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</si>
  <si>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</si>
  <si>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</si>
  <si>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</si>
  <si>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</si>
  <si>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</si>
  <si>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</si>
  <si>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</si>
  <si>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</si>
  <si>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</si>
  <si>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</si>
  <si>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</si>
  <si>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</si>
  <si>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</si>
  <si>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</si>
  <si>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</si>
  <si>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</si>
  <si>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</si>
  <si>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</si>
  <si>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</si>
  <si>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</si>
  <si>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</si>
  <si>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</si>
  <si>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</si>
  <si>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</si>
  <si>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</si>
  <si>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</si>
  <si>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</si>
  <si>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</si>
  <si>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</si>
  <si>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</si>
  <si>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</si>
  <si>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</si>
  <si>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</si>
  <si>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</si>
  <si>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</si>
  <si>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</si>
  <si>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</si>
  <si>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</si>
  <si>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</si>
  <si>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</si>
  <si>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</si>
  <si>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</si>
  <si>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</si>
  <si>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</si>
  <si>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</si>
  <si>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</si>
  <si>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</si>
  <si>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</si>
  <si>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</si>
  <si>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</si>
  <si>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</si>
  <si>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</si>
  <si>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</si>
  <si>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</si>
  <si>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</si>
  <si>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</si>
  <si>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</si>
  <si>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</si>
  <si>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</si>
  <si>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</si>
  <si>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</si>
  <si>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</si>
  <si>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</si>
  <si>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</si>
  <si>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</si>
  <si>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</si>
  <si>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</si>
  <si>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</si>
  <si>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</si>
  <si>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</si>
  <si>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</si>
  <si>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</si>
  <si>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</si>
  <si>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</si>
  <si>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</si>
  <si>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</si>
  <si>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</si>
  <si>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</si>
  <si>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</si>
  <si>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</si>
  <si>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</si>
  <si>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</si>
  <si>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</si>
  <si>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</si>
  <si>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</si>
  <si>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</si>
  <si>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</si>
  <si>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</si>
  <si>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</si>
  <si>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</si>
  <si>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</si>
  <si>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</si>
  <si>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</si>
  <si>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</si>
  <si>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</si>
  <si>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</si>
  <si>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</si>
  <si>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</si>
  <si>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</si>
  <si>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</si>
  <si>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</si>
  <si>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</si>
  <si>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</si>
  <si>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</si>
  <si>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</si>
  <si>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</si>
  <si>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</si>
  <si>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</si>
  <si>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</si>
  <si>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</si>
  <si>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</si>
  <si>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</si>
  <si>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</si>
  <si>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</si>
  <si>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</si>
  <si>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</si>
  <si>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</si>
  <si>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</si>
  <si>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</si>
  <si>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</si>
  <si>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</si>
  <si>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</si>
  <si>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</si>
  <si>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</si>
  <si>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</si>
  <si>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</si>
  <si>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</si>
  <si>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</si>
  <si>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</si>
  <si>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</si>
  <si>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</si>
  <si>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</si>
  <si>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</si>
  <si>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</si>
  <si>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</si>
  <si>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</si>
  <si>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</si>
  <si>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</si>
  <si>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</si>
  <si>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</si>
  <si>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</si>
  <si>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</si>
  <si>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</si>
  <si>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</si>
  <si>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</si>
  <si>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</si>
  <si>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</si>
  <si>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</si>
  <si>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</si>
  <si>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</si>
  <si>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</si>
  <si>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</si>
  <si>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</si>
  <si>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</si>
  <si>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</si>
  <si>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</si>
  <si>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</si>
  <si>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</si>
  <si>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</si>
  <si>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</si>
  <si>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</si>
  <si>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</si>
  <si>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</si>
  <si>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</si>
  <si>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</si>
  <si>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</si>
  <si>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</si>
  <si>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</si>
  <si>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</si>
  <si>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</si>
  <si>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</si>
  <si>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</si>
  <si>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</si>
  <si>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</si>
  <si>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</si>
  <si>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</si>
  <si>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</si>
  <si>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</si>
  <si>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</si>
  <si>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</si>
  <si>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</si>
  <si>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</si>
  <si>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</si>
  <si>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</si>
  <si>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</si>
  <si>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</si>
  <si>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</si>
  <si>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</si>
  <si>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</si>
  <si>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</si>
  <si>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</si>
  <si>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</si>
  <si>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</si>
  <si>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</si>
  <si>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</si>
  <si>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</si>
  <si>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</si>
  <si>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</si>
  <si>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</si>
  <si>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</si>
  <si>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</si>
  <si>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</si>
  <si>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</si>
  <si>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</si>
  <si>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</si>
  <si>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</si>
  <si>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</si>
  <si>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</si>
  <si>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</si>
  <si>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</si>
  <si>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</si>
  <si>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</si>
  <si>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</si>
  <si>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</si>
  <si>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</si>
  <si>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</si>
  <si>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</si>
  <si>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</si>
  <si>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</si>
  <si>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</si>
  <si>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</si>
  <si>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</si>
  <si>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</si>
  <si>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</si>
  <si>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</si>
  <si>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</si>
  <si>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</si>
  <si>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</si>
  <si>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</si>
  <si>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</si>
  <si>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</si>
  <si>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</si>
  <si>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</si>
  <si>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</si>
  <si>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</si>
  <si>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</si>
  <si>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</si>
  <si>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</si>
  <si>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</si>
  <si>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</si>
  <si>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</si>
  <si>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</si>
  <si>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</si>
  <si>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</si>
  <si>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</si>
  <si>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</si>
  <si>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</si>
  <si>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</si>
  <si>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</si>
  <si>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</si>
  <si>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</si>
  <si>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</si>
  <si>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</si>
  <si>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</si>
  <si>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</si>
  <si>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</si>
  <si>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</si>
  <si>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</si>
  <si>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</si>
  <si>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</si>
  <si>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</si>
  <si>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</si>
  <si>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</si>
  <si>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</si>
  <si>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</si>
  <si>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</si>
  <si>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</si>
  <si>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</si>
  <si>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</si>
  <si>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</si>
  <si>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</si>
  <si>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</si>
  <si>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</si>
  <si>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</si>
  <si>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</si>
  <si>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</si>
  <si>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</si>
  <si>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</si>
  <si>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</si>
  <si>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</si>
  <si>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</si>
  <si>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</si>
  <si>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</si>
  <si>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</si>
  <si>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</si>
  <si>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</si>
  <si>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</si>
  <si>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</si>
  <si>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</si>
  <si>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</si>
  <si>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</si>
  <si>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</si>
  <si>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</si>
  <si>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</si>
  <si>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</si>
  <si>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</si>
  <si>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</si>
  <si>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</si>
  <si>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</si>
  <si>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</si>
  <si>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</si>
  <si>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</si>
  <si>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</si>
  <si>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</si>
  <si>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</si>
  <si>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</si>
  <si>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</si>
  <si>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</si>
  <si>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</si>
  <si>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</si>
  <si>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</si>
  <si>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</si>
  <si>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</si>
  <si>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</si>
  <si>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</si>
  <si>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</si>
  <si>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</si>
  <si>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</si>
  <si>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</si>
  <si>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</si>
  <si>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</si>
  <si>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</si>
  <si>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</si>
  <si>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</si>
  <si>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</si>
  <si>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</si>
  <si>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</si>
  <si>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</si>
  <si>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</si>
  <si>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</si>
  <si>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</si>
  <si>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</si>
  <si>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</si>
  <si>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</si>
  <si>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</si>
  <si>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</si>
  <si>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</si>
  <si>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</si>
  <si>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</si>
  <si>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</si>
  <si>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</si>
  <si>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</si>
  <si>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</si>
  <si>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</si>
  <si>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</si>
  <si>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</si>
  <si>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</si>
  <si>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</si>
  <si>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</si>
  <si>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</si>
  <si>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</si>
  <si>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</si>
  <si>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</si>
  <si>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</si>
  <si>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</si>
  <si>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</si>
  <si>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</si>
  <si>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</si>
  <si>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</si>
  <si>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</si>
  <si>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</si>
  <si>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</si>
  <si>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</si>
  <si>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</si>
  <si>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</si>
  <si>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</si>
  <si>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</si>
  <si>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</si>
  <si>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</si>
  <si>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</si>
  <si>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</si>
  <si>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</si>
  <si>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</si>
  <si>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</si>
  <si>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</si>
  <si>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</si>
  <si>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</si>
  <si>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</si>
  <si>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</si>
  <si>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</si>
  <si>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</si>
  <si>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</si>
  <si>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</si>
  <si>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</si>
  <si>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</si>
  <si>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</si>
  <si>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</si>
  <si>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</si>
  <si>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</si>
  <si>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</si>
  <si>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</si>
  <si>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</si>
  <si>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</si>
  <si>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</si>
  <si>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</si>
  <si>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</si>
  <si>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</si>
  <si>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</si>
  <si>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</si>
  <si>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</si>
  <si>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</si>
  <si>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</si>
  <si>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</si>
  <si>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</si>
  <si>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</si>
  <si>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</si>
  <si>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</si>
  <si>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</si>
  <si>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</si>
  <si>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</si>
  <si>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</si>
  <si>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</si>
  <si>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</si>
  <si>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</si>
  <si>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</si>
  <si>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</si>
  <si>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</si>
  <si>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</si>
  <si>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</si>
  <si>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</si>
  <si>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</si>
  <si>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</si>
  <si>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</si>
  <si>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</si>
  <si>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</si>
  <si>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</si>
  <si>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</si>
  <si>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</si>
  <si>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</si>
  <si>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</si>
  <si>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</si>
  <si>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</si>
  <si>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</si>
  <si>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</si>
  <si>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</si>
  <si>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</si>
  <si>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</si>
  <si>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</si>
  <si>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</si>
  <si>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</si>
  <si>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</si>
  <si>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</si>
  <si>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</si>
  <si>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</si>
  <si>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</si>
  <si>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</si>
  <si>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</si>
  <si>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</si>
  <si>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</si>
  <si>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</si>
  <si>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</si>
  <si>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</si>
  <si>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</si>
  <si>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</si>
  <si>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</si>
  <si>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</si>
  <si>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</si>
  <si>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</si>
  <si>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</si>
  <si>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</si>
  <si>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</si>
  <si>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</si>
  <si>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</si>
  <si>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</si>
  <si>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</si>
  <si>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</si>
  <si>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</si>
  <si>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</si>
  <si>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</si>
  <si>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</si>
  <si>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</si>
  <si>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</si>
  <si>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</si>
  <si>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</si>
  <si>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</si>
  <si>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</si>
  <si>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</si>
  <si>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</si>
  <si>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</si>
  <si>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</si>
  <si>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</si>
  <si>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</si>
  <si>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</si>
  <si>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</si>
  <si>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</si>
  <si>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</si>
  <si>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</si>
  <si>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</si>
  <si>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</si>
  <si>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</si>
  <si>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</si>
  <si>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</si>
  <si>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</si>
  <si>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</si>
  <si>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</si>
  <si>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</si>
  <si>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</si>
  <si>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</si>
  <si>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</si>
  <si>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</si>
  <si>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</si>
  <si>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</si>
  <si>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</si>
  <si>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</si>
  <si>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</si>
  <si>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</si>
  <si>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</si>
  <si>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</si>
  <si>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</si>
  <si>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</si>
  <si>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</si>
  <si>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</si>
  <si>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</si>
  <si>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</si>
  <si>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</si>
  <si>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</si>
  <si>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</si>
  <si>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</si>
  <si>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</si>
  <si>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</si>
  <si>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</si>
  <si>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</si>
  <si>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</si>
  <si>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</si>
  <si>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</si>
  <si>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</si>
  <si>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</si>
  <si>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</si>
  <si>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</si>
  <si>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</si>
  <si>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</si>
  <si>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</si>
  <si>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</si>
  <si>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</si>
  <si>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</si>
  <si>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</si>
  <si>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</si>
  <si>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</si>
  <si>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</si>
  <si>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</si>
  <si>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</si>
  <si>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</si>
  <si>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</si>
  <si>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</si>
  <si>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</si>
  <si>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</si>
  <si>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</si>
  <si>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</si>
  <si>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</si>
  <si>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</si>
  <si>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</si>
  <si>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</si>
  <si>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</si>
  <si>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</si>
  <si>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</si>
  <si>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</si>
  <si>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</si>
  <si>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</si>
  <si>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</si>
  <si>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</si>
  <si>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</si>
  <si>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</si>
  <si>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</si>
  <si>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</si>
  <si>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</si>
  <si>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</si>
  <si>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</si>
  <si>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</si>
  <si>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</si>
  <si>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</si>
  <si>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</si>
  <si>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</si>
  <si>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</si>
  <si>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</si>
  <si>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</si>
  <si>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</si>
  <si>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</si>
  <si>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</si>
  <si>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</si>
  <si>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</si>
  <si>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</si>
  <si>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</si>
  <si>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</si>
  <si>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</si>
  <si>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</si>
  <si>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</si>
  <si>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</si>
  <si>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</si>
  <si>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</si>
  <si>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</si>
  <si>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</si>
  <si>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</si>
  <si>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</si>
  <si>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</si>
  <si>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</si>
  <si>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</si>
  <si>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</si>
  <si>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</si>
  <si>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</si>
  <si>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</si>
  <si>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</si>
  <si>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</si>
  <si>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</si>
  <si>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</si>
  <si>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</si>
  <si>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</si>
  <si>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</si>
  <si>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</si>
  <si>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</si>
  <si>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</si>
  <si>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</si>
  <si>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</si>
  <si>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</si>
  <si>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</si>
  <si>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</si>
  <si>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</si>
  <si>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</si>
  <si>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</si>
  <si>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</si>
  <si>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</si>
  <si>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</si>
  <si>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</si>
  <si>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</si>
  <si>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</si>
  <si>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</si>
  <si>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</si>
  <si>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</si>
  <si>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</si>
  <si>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</si>
  <si>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</si>
  <si>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</si>
  <si>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</si>
  <si>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</si>
  <si>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</si>
  <si>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</si>
  <si>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</si>
  <si>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</si>
  <si>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</si>
  <si>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</si>
  <si>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</si>
  <si>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</si>
  <si>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</si>
  <si>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</si>
  <si>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</si>
  <si>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</si>
  <si>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</si>
  <si>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</si>
  <si>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</si>
  <si>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</si>
  <si>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</si>
  <si>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</si>
  <si>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</si>
  <si>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</si>
  <si>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</si>
  <si>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</si>
  <si>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</si>
  <si>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</si>
  <si>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</si>
  <si>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</si>
  <si>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</si>
  <si>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</si>
  <si>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</si>
  <si>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</si>
  <si>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</si>
  <si>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</si>
  <si>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</si>
  <si>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</si>
  <si>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</si>
  <si>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</si>
  <si>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</si>
  <si>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</si>
  <si>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</si>
  <si>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</si>
  <si>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</si>
  <si>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</si>
  <si>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</si>
  <si>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</si>
  <si>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</si>
  <si>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</si>
  <si>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</si>
  <si>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</si>
  <si>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</si>
  <si>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</si>
  <si>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</si>
  <si>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</si>
  <si>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</si>
  <si>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</si>
  <si>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</si>
  <si>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</si>
  <si>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</si>
  <si>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</si>
  <si>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</si>
  <si>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</si>
  <si>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</si>
  <si>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</si>
  <si>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</si>
  <si>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</si>
  <si>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</si>
  <si>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</si>
  <si>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</si>
  <si>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</si>
  <si>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</si>
  <si>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</si>
  <si>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</si>
  <si>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</si>
  <si>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</si>
  <si>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</si>
  <si>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</si>
  <si>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</si>
  <si>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</si>
  <si>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</si>
  <si>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</si>
  <si>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</si>
  <si>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</si>
  <si>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</si>
  <si>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</si>
  <si>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</si>
  <si>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</si>
  <si>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</si>
  <si>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</si>
  <si>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</si>
  <si>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</si>
  <si>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</si>
  <si>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</si>
  <si>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</si>
  <si>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</si>
  <si>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</si>
  <si>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</si>
  <si>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</si>
  <si>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</si>
  <si>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</si>
  <si>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</si>
  <si>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</si>
  <si>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</si>
  <si>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</si>
  <si>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</si>
  <si>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</si>
  <si>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</si>
  <si>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</si>
  <si>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</si>
  <si>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</si>
  <si>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</si>
  <si>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</si>
  <si>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</si>
  <si>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</si>
  <si>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</si>
  <si>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</si>
  <si>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</si>
  <si>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</si>
  <si>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</si>
  <si>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</si>
  <si>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</si>
  <si>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</si>
  <si>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</si>
  <si>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</si>
  <si>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</si>
  <si>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</si>
  <si>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</si>
  <si>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</si>
  <si>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</si>
  <si>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</si>
  <si>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</si>
  <si>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</si>
  <si>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</si>
  <si>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</si>
  <si>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</si>
  <si>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</si>
  <si>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</si>
  <si>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</si>
  <si>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</si>
  <si>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</si>
  <si>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</si>
  <si>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</si>
  <si>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</si>
  <si>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</si>
  <si>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</si>
  <si>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</si>
  <si>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</si>
  <si>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</si>
  <si>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</si>
  <si>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</si>
  <si>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</si>
  <si>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</si>
  <si>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</si>
  <si>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</si>
  <si>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</si>
  <si>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</si>
  <si>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</si>
  <si>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</si>
  <si>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</si>
  <si>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</si>
  <si>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</si>
  <si>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</si>
  <si>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</si>
  <si>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</si>
  <si>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</si>
  <si>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</si>
  <si>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</si>
  <si>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</si>
  <si>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</si>
  <si>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</si>
  <si>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</si>
  <si>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</si>
  <si>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</si>
  <si>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</si>
  <si>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</si>
  <si>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</si>
  <si>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</si>
  <si>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</si>
  <si>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</si>
  <si>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</si>
  <si>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</si>
  <si>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</si>
  <si>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</si>
  <si>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</si>
  <si>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</si>
  <si>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</si>
  <si>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</si>
  <si>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</si>
  <si>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</si>
  <si>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</si>
  <si>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</si>
  <si>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</si>
  <si>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</si>
  <si>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</si>
  <si>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</si>
  <si>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</si>
  <si>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</si>
  <si>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</si>
  <si>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</si>
  <si>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</si>
  <si>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</si>
  <si>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</si>
  <si>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</si>
  <si>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</si>
  <si>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</si>
  <si>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</si>
  <si>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</si>
  <si>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</si>
  <si>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</si>
  <si>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</si>
  <si>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</si>
  <si>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</si>
  <si>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</si>
  <si>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</si>
  <si>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</si>
  <si>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</si>
  <si>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</si>
  <si>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</si>
  <si>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</si>
  <si>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</si>
  <si>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</si>
  <si>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</si>
  <si>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</si>
  <si>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</si>
  <si>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</si>
  <si>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</si>
  <si>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</si>
  <si>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</si>
  <si>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</si>
  <si>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</si>
  <si>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</si>
  <si>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</si>
  <si>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</si>
  <si>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</si>
  <si>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</si>
  <si>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</si>
  <si>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</si>
  <si>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</si>
  <si>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</si>
  <si>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</si>
  <si>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</si>
  <si>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</si>
  <si>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</si>
  <si>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</si>
  <si>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</si>
  <si>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</si>
  <si>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</si>
  <si>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</si>
  <si>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</si>
  <si>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</si>
  <si>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</si>
  <si>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</si>
  <si>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</si>
  <si>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</si>
  <si>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</si>
  <si>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</si>
  <si>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</si>
  <si>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</si>
  <si>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</si>
  <si>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</si>
  <si>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</si>
  <si>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</si>
  <si>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</si>
  <si>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</si>
  <si>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</si>
  <si>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</si>
  <si>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</si>
  <si>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</si>
  <si>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</si>
  <si>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</si>
  <si>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</si>
  <si>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</si>
  <si>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</si>
  <si>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</si>
  <si>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</si>
  <si>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</si>
  <si>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</si>
  <si>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</si>
  <si>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</si>
  <si>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</si>
  <si>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</si>
  <si>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</si>
  <si>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</si>
  <si>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</si>
  <si>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</si>
  <si>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</si>
  <si>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</si>
  <si>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</si>
  <si>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</si>
  <si>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</si>
  <si>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</si>
  <si>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</si>
  <si>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</si>
  <si>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</si>
  <si>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</si>
  <si>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</si>
  <si>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</si>
  <si>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</si>
  <si>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</si>
  <si>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</si>
  <si>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</si>
  <si>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</si>
  <si>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</si>
  <si>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</si>
  <si>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</si>
  <si>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</si>
  <si>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</si>
  <si>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</si>
  <si>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</si>
  <si>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</si>
  <si>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</si>
  <si>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</si>
  <si>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</si>
  <si>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</si>
  <si>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</si>
  <si>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</si>
  <si>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</si>
  <si>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</si>
  <si>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</si>
  <si>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</si>
  <si>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</si>
  <si>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</si>
  <si>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</si>
  <si>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</si>
  <si>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</si>
  <si>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</si>
  <si>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</si>
  <si>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</si>
  <si>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</si>
  <si>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</si>
  <si>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</si>
  <si>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</si>
  <si>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</si>
  <si>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</si>
  <si>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</si>
  <si>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</si>
  <si>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</si>
  <si>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</si>
  <si>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</si>
  <si>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</si>
  <si>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</si>
  <si>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</si>
  <si>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</si>
  <si>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</si>
  <si>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</si>
  <si>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</si>
  <si>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</si>
  <si>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</si>
  <si>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</si>
  <si>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</si>
  <si>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</si>
  <si>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</si>
  <si>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</si>
  <si>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</si>
  <si>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</si>
  <si>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</si>
  <si>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</si>
  <si>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</si>
  <si>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</si>
  <si>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</si>
  <si>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</si>
  <si>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</si>
  <si>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</si>
  <si>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</si>
  <si>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</si>
  <si>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</si>
  <si>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</si>
  <si>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</si>
  <si>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</si>
  <si>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</si>
  <si>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</si>
  <si>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</si>
  <si>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</si>
  <si>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</si>
  <si>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</si>
  <si>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</si>
  <si>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</si>
  <si>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</si>
  <si>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</si>
  <si>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</si>
  <si>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</si>
  <si>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</si>
  <si>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</si>
  <si>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</si>
  <si>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</si>
  <si>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</si>
  <si>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</si>
  <si>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</si>
  <si>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</si>
  <si>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</si>
  <si>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</si>
  <si>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</si>
  <si>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</si>
  <si>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</si>
  <si>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</si>
  <si>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</si>
  <si>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</si>
  <si>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</si>
  <si>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</si>
  <si>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</si>
  <si>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</si>
  <si>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</si>
  <si>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</si>
  <si>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</si>
  <si>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</si>
  <si>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</si>
  <si>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</si>
  <si>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</si>
  <si>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</si>
  <si>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</si>
  <si>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</si>
  <si>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</si>
  <si>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</si>
  <si>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</si>
  <si>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</si>
  <si>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</si>
  <si>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</si>
  <si>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</si>
  <si>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</si>
  <si>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</si>
  <si>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</si>
  <si>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</si>
  <si>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</si>
  <si>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</si>
  <si>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</si>
  <si>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</si>
  <si>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</si>
  <si>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</si>
  <si>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</si>
  <si>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</si>
  <si>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</si>
  <si>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</si>
  <si>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</si>
  <si>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</si>
  <si>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</si>
  <si>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</si>
  <si>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</si>
  <si>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</si>
  <si>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</si>
  <si>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</si>
  <si>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</si>
  <si>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</si>
  <si>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</si>
  <si>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</si>
  <si>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</si>
  <si>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</si>
  <si>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</si>
  <si>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</si>
  <si>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</si>
  <si>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</si>
  <si>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</si>
  <si>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</si>
  <si>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</si>
  <si>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</si>
  <si>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</si>
  <si>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</si>
  <si>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</si>
  <si>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</si>
  <si>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</si>
  <si>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</si>
  <si>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</si>
  <si>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</si>
  <si>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</si>
  <si>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</si>
  <si>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</si>
  <si>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</si>
  <si>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</si>
  <si>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</si>
  <si>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</si>
  <si>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</si>
  <si>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</si>
  <si>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</si>
  <si>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</si>
  <si>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</si>
  <si>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</si>
  <si>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</si>
  <si>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</si>
  <si>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</si>
  <si>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</si>
  <si>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</si>
  <si>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</si>
  <si>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</si>
  <si>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</si>
  <si>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</si>
  <si>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</si>
  <si>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</si>
  <si>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</si>
  <si>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</si>
  <si>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</si>
  <si>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</si>
  <si>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</si>
  <si>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</si>
  <si>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</si>
  <si>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</si>
  <si>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</si>
  <si>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</si>
  <si>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</si>
  <si>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</si>
  <si>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</si>
  <si>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</si>
  <si>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</si>
  <si>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</si>
  <si>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</si>
  <si>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</si>
  <si>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</si>
  <si>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</si>
  <si>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</si>
  <si>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</si>
  <si>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</si>
  <si>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</si>
  <si>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</si>
  <si>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</si>
  <si>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</si>
  <si>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</si>
  <si>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</si>
  <si>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</si>
  <si>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</si>
  <si>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</si>
  <si>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</si>
  <si>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</si>
  <si>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</si>
  <si>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</si>
  <si>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</si>
  <si>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</si>
  <si>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</si>
  <si>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</si>
  <si>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</si>
  <si>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</si>
  <si>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</si>
  <si>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</si>
  <si>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</si>
  <si>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</si>
  <si>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</si>
  <si>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</si>
  <si>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</si>
  <si>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</si>
  <si>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</si>
  <si>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</si>
  <si>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</si>
  <si>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</si>
  <si>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</si>
  <si>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</si>
  <si>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</si>
  <si>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</si>
  <si>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</si>
  <si>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</si>
  <si>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</si>
  <si>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</si>
  <si>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</si>
  <si>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</si>
  <si>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</si>
  <si>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</si>
  <si>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</si>
  <si>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</si>
  <si>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</si>
  <si>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</si>
  <si>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</si>
  <si>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</si>
  <si>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</si>
  <si>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</si>
  <si>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</si>
  <si>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</si>
  <si>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</si>
  <si>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</si>
  <si>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</si>
  <si>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</si>
  <si>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</si>
  <si>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</si>
  <si>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</si>
  <si>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</si>
  <si>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</si>
  <si>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</si>
  <si>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</si>
  <si>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</si>
  <si>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</si>
  <si>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</si>
  <si>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</si>
  <si>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</si>
  <si>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</si>
  <si>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</si>
  <si>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</si>
  <si>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</si>
  <si>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</si>
  <si>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</si>
  <si>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</si>
  <si>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</si>
  <si>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</si>
  <si>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</si>
  <si>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</si>
  <si>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</si>
  <si>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</si>
  <si>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</si>
  <si>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</si>
  <si>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</si>
  <si>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</si>
  <si>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</si>
  <si>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</si>
  <si>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</si>
  <si>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</si>
  <si>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</si>
  <si>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</si>
  <si>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</si>
  <si>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</si>
  <si>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</si>
  <si>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</si>
  <si>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</si>
  <si>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</si>
  <si>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</si>
  <si>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</si>
  <si>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</si>
  <si>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</si>
  <si>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</si>
  <si>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</si>
  <si>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</si>
  <si>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</si>
  <si>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</si>
  <si>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</si>
  <si>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</si>
  <si>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</si>
  <si>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</si>
  <si>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</si>
  <si>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</si>
  <si>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</si>
  <si>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</si>
  <si>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</si>
  <si>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</si>
  <si>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</si>
  <si>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</si>
  <si>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</si>
  <si>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</si>
  <si>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</si>
  <si>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</si>
  <si>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</si>
  <si>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</si>
  <si>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</si>
  <si>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</si>
  <si>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</si>
  <si>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</si>
  <si>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</si>
  <si>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</si>
  <si>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</si>
  <si>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</si>
  <si>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</si>
  <si>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</si>
  <si>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</si>
  <si>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</si>
  <si>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</si>
  <si>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</si>
  <si>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</si>
  <si>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Yvette Biti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</si>
</sst>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3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41</c:v>
                </c:pt>
                <c:pt idx="1">
                  <c:v>24</c:v>
                </c:pt>
                <c:pt idx="2">
                  <c:v>19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171750.798862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/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40">
      <calculatedColumnFormula>TEXT(B6,"yyyy")</calculatedColumnFormula>
    </tableColumn>
    <tableColumn id="4" xr3:uid="{00000000-0010-0000-0000-000004000000}" name="Customer Name" dataDxfId="39"/>
    <tableColumn id="5" xr3:uid="{00000000-0010-0000-0000-000005000000}" name="Address" dataDxfId="38"/>
    <tableColumn id="6" xr3:uid="{00000000-0010-0000-0000-000006000000}" name="City" dataDxfId="37"/>
    <tableColumn id="7" xr3:uid="{00000000-0010-0000-0000-000007000000}" name="State" dataDxfId="36"/>
    <tableColumn id="8" xr3:uid="{00000000-0010-0000-0000-000008000000}" name="Customer Type" dataDxfId="35"/>
    <tableColumn id="9" xr3:uid="{00000000-0010-0000-0000-000009000000}" name="Emp ID" dataDxfId="34"/>
    <tableColumn id="10" xr3:uid="{00000000-0010-0000-0000-00000A000000}" name="Order Priority" dataDxfId="33"/>
    <tableColumn id="11" xr3:uid="{00000000-0010-0000-0000-00000B000000}" name="Product Name" dataDxfId="32"/>
    <tableColumn id="12" xr3:uid="{00000000-0010-0000-0000-00000C000000}" name="Product Category" dataDxfId="31"/>
    <tableColumn id="13" xr3:uid="{00000000-0010-0000-0000-00000D000000}" name="Product Container" dataDxfId="30"/>
    <tableColumn id="14" xr3:uid="{00000000-0010-0000-0000-00000E000000}" name="Ship Mode" dataDxfId="29"/>
    <tableColumn id="15" xr3:uid="{00000000-0010-0000-0000-00000F000000}" name="Ship Date" dataDxfId="28"/>
    <tableColumn id="16" xr3:uid="{00000000-0010-0000-0000-000010000000}" name="Days to Ship" dataDxfId="27">
      <calculatedColumnFormula>O6-B6</calculatedColumnFormula>
    </tableColumn>
    <tableColumn id="17" xr3:uid="{00000000-0010-0000-0000-000011000000}" name="Cost Price" dataDxfId="26"/>
    <tableColumn id="18" xr3:uid="{00000000-0010-0000-0000-000012000000}" name="Retail Price" dataDxfId="25"/>
    <tableColumn id="19" xr3:uid="{00000000-0010-0000-0000-000013000000}" name="Profit Margin" dataDxfId="24">
      <calculatedColumnFormula>R6-Q6</calculatedColumnFormula>
    </tableColumn>
    <tableColumn id="20" xr3:uid="{00000000-0010-0000-0000-000014000000}" name="Order Quantity" dataDxfId="23"/>
    <tableColumn id="21" xr3:uid="{00000000-0010-0000-0000-000015000000}" name="Sub Total" dataDxfId="22">
      <calculatedColumnFormula>R6*T6</calculatedColumnFormula>
    </tableColumn>
    <tableColumn id="22" xr3:uid="{00000000-0010-0000-0000-000016000000}" name="Discount %" dataDxfId="21" dataCellStyle="Percent"/>
    <tableColumn id="23" xr3:uid="{00000000-0010-0000-0000-000017000000}" name="Discount $" dataDxfId="20" dataCellStyle="Percent">
      <calculatedColumnFormula>U6*V6</calculatedColumnFormula>
    </tableColumn>
    <tableColumn id="24" xr3:uid="{00000000-0010-0000-0000-000018000000}" name="Order Total" dataDxfId="19" dataCellStyle="Percent">
      <calculatedColumnFormula>U6-W6</calculatedColumnFormula>
    </tableColumn>
    <tableColumn id="25" xr3:uid="{00000000-0010-0000-0000-000019000000}" name="Shipping Cost" dataDxfId="18"/>
    <tableColumn id="26" xr3:uid="{00000000-0010-0000-0000-00001A000000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6" dataDxfId="15" headerRowCellStyle="Accent5">
  <tableColumns count="15">
    <tableColumn id="1" xr3:uid="{00000000-0010-0000-0100-000001000000}" name="Emp ID" dataDxfId="14"/>
    <tableColumn id="2" xr3:uid="{00000000-0010-0000-0100-000002000000}" name="Last" dataDxfId="13"/>
    <tableColumn id="3" xr3:uid="{00000000-0010-0000-0100-000003000000}" name="First" dataDxfId="12"/>
    <tableColumn id="4" xr3:uid="{00000000-0010-0000-0100-000004000000}" name="Full Name" dataDxfId="11">
      <calculatedColumnFormula>PROPER(C4&amp;" "&amp;B4)</calculatedColumnFormula>
    </tableColumn>
    <tableColumn id="5" xr3:uid="{00000000-0010-0000-0100-000005000000}" name="Gender" dataDxfId="10"/>
    <tableColumn id="6" xr3:uid="{00000000-0010-0000-0100-000006000000}" name="Email" dataDxfId="9"/>
    <tableColumn id="7" xr3:uid="{00000000-0010-0000-0100-000007000000}" name="Date of Hire" dataDxfId="8"/>
    <tableColumn id="8" xr3:uid="{00000000-0010-0000-0100-000008000000}" name="Years Service" dataDxfId="7">
      <calculatedColumnFormula>YEARFRAC(G4,TODAY())</calculatedColumnFormula>
    </tableColumn>
    <tableColumn id="9" xr3:uid="{00000000-0010-0000-0100-000009000000}" name="Department" dataDxfId="6"/>
    <tableColumn id="10" xr3:uid="{00000000-0010-0000-0100-00000A000000}" name="Location" dataDxfId="5"/>
    <tableColumn id="11" xr3:uid="{00000000-0010-0000-0100-00000B000000}" name="Floor" dataDxfId="4">
      <calculatedColumnFormula>LEFT(J4,2)</calculatedColumnFormula>
    </tableColumn>
    <tableColumn id="12" xr3:uid="{00000000-0010-0000-0100-00000C000000}" name="Extension" dataDxfId="3">
      <calculatedColumnFormula>RIGHT(J4,4)</calculatedColumnFormula>
    </tableColumn>
    <tableColumn id="13" xr3:uid="{00000000-0010-0000-0100-00000D000000}" name="Last Review" dataDxfId="2"/>
    <tableColumn id="14" xr3:uid="{00000000-0010-0000-0100-00000E000000}" name="Next Review" dataDxfId="1">
      <calculatedColumnFormula>M4+365</calculatedColumnFormula>
    </tableColumn>
    <tableColumn id="15" xr3:uid="{00000000-0010-0000-0100-00000F000000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11.6640625" customWidth="1"/>
    <col min="4" max="4" width="18.664062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44140625" customWidth="1"/>
    <col min="24" max="24" width="12.5546875" customWidth="1"/>
    <col min="25" max="25" width="14.44140625" customWidth="1"/>
    <col min="26" max="26" width="12.44140625" bestFit="1" customWidth="1"/>
  </cols>
  <sheetData>
    <row r="1" spans="1:26" ht="33.9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2151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2150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zoomScaleNormal="100" workbookViewId="0">
      <selection activeCell="G2" sqref="G2"/>
    </sheetView>
  </sheetViews>
  <sheetFormatPr defaultRowHeight="14.4" x14ac:dyDescent="0.3"/>
  <cols>
    <col min="1" max="1" width="12.88671875" customWidth="1"/>
    <col min="2" max="2" width="20.33203125" customWidth="1"/>
    <col min="3" max="3" width="15.33203125" customWidth="1"/>
    <col min="4" max="7" width="14.88671875" customWidth="1"/>
    <col min="8" max="8" width="21.6640625" customWidth="1"/>
  </cols>
  <sheetData>
    <row r="1" spans="1:19" ht="33.9" customHeight="1" x14ac:dyDescent="0.6">
      <c r="A1" s="9" t="s">
        <v>2149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2158</v>
      </c>
      <c r="H3" s="39">
        <v>0.09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2152</v>
      </c>
    </row>
    <row r="5" spans="1:19" x14ac:dyDescent="0.3">
      <c r="A5" s="2" t="s">
        <v>1996</v>
      </c>
      <c r="B5" s="37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29676.925439000002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9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486.20496399999996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3059.9392329999996</v>
      </c>
    </row>
    <row r="8" spans="1:19" x14ac:dyDescent="0.3">
      <c r="A8" s="2" t="s">
        <v>2022</v>
      </c>
      <c r="B8" s="37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11645.000721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22475.651215000002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ref="D10:F18" si="3">SUMIFS(Total,Account_Manager,$A10,Order_Year,D$4)</f>
        <v>21750.561262000003</v>
      </c>
      <c r="E10" s="5">
        <f t="shared" si="3"/>
        <v>42012.128400000001</v>
      </c>
      <c r="F10" s="5">
        <f t="shared" si="3"/>
        <v>27109.998199999995</v>
      </c>
      <c r="G10" s="5">
        <f t="shared" ref="G10:G18" si="4">SUMIFS(Total,Account_Manager,$A10,Order_Year,G$4)</f>
        <v>27979.720600000004</v>
      </c>
      <c r="H10" s="5">
        <f t="shared" si="2"/>
        <v>30497.895454000009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2967.2114070000002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52105.174734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45454.328383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29231.933920000003</v>
      </c>
    </row>
    <row r="15" spans="1:19" x14ac:dyDescent="0.3">
      <c r="A15" s="2" t="s">
        <v>2097</v>
      </c>
      <c r="B15" s="2" t="str">
        <f>VLOOKUP(A15,Staff[],4,0)</f>
        <v>Radhya Staples</v>
      </c>
      <c r="C15" s="5">
        <f t="shared" si="1"/>
        <v>72189.382999999987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11552.939648000001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8014.8743130000003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15295.123506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34331.475921000005</v>
      </c>
    </row>
    <row r="19" spans="1:8" ht="15" thickBot="1" x14ac:dyDescent="0.35">
      <c r="A19" s="25" t="s">
        <v>2139</v>
      </c>
      <c r="B19" s="26"/>
      <c r="C19" s="27">
        <f t="shared" si="1"/>
        <v>1116034.1007619998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27">
        <f>SUM(G5:G18)</f>
        <v>272288.69620000001</v>
      </c>
      <c r="H19" s="27">
        <f>SUM(H5:H18)</f>
        <v>296794.67885800003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 t="shared" ref="G23:G25" si="7">SUM(C23:F23)</f>
        <v>756843.12776200031</v>
      </c>
      <c r="H23" s="5">
        <f>AVERAGE(C23:F23)</f>
        <v>189210.78194050008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 t="shared" si="7"/>
        <v>273195.10519999999</v>
      </c>
      <c r="H24" s="5">
        <f>AVERAGE(C24:F24)</f>
        <v>68298.776299999998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 t="shared" si="7"/>
        <v>85995.867800000007</v>
      </c>
      <c r="H25" s="5">
        <f>AVERAGE(C25:F25)</f>
        <v>21498.966950000002</v>
      </c>
    </row>
    <row r="26" spans="1:8" ht="15" thickBot="1" x14ac:dyDescent="0.35">
      <c r="A26" s="25" t="s">
        <v>2139</v>
      </c>
      <c r="B26" s="27"/>
      <c r="C26" s="27">
        <f>SUM(C23:C25)</f>
        <v>171750.798862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1116034.1007620003</v>
      </c>
      <c r="H26" s="27">
        <f>AVERAGE(C26:F26)</f>
        <v>279008.52519050008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41" t="s">
        <v>2159</v>
      </c>
      <c r="C29" s="31" t="str">
        <f>INDEX(Emp_ID,MATCH(B29,Full_Name,0))</f>
        <v>E1248</v>
      </c>
      <c r="G29" s="7"/>
      <c r="H29" s="11" t="s">
        <v>2148</v>
      </c>
    </row>
    <row r="30" spans="1:8" x14ac:dyDescent="0.3">
      <c r="A30" s="12" t="s">
        <v>2146</v>
      </c>
      <c r="B30">
        <f>COUNTIFS(Account_Manager,C29)</f>
        <v>128</v>
      </c>
      <c r="C30" s="32" t="str">
        <f>IF(B30&lt;20,"Poor",IF(B30&lt;50,"Medium",IF(B30&lt;100,"Good","Excellent")))</f>
        <v>Excellent</v>
      </c>
      <c r="G30" s="34" t="s">
        <v>20</v>
      </c>
      <c r="H30" s="14">
        <f>COUNTIFS(Customer_Type,G30,Account_Manager,$C$29)</f>
        <v>41</v>
      </c>
    </row>
    <row r="31" spans="1:8" x14ac:dyDescent="0.3">
      <c r="A31" t="s">
        <v>1939</v>
      </c>
      <c r="B31" s="5">
        <f>INDEX(C5:C18,MATCH(C29,A5:A18,0))</f>
        <v>146907.93129999997</v>
      </c>
      <c r="C31" s="32" t="str">
        <f>IF(B31&gt;=AVERAGE(C5:C18),"Above Average","Below Average")</f>
        <v>Above Average</v>
      </c>
      <c r="G31" s="35" t="s">
        <v>27</v>
      </c>
      <c r="H31" s="40">
        <f>COUNTIFS(Customer_Type,G31,Account_Manager,$C$29)</f>
        <v>24</v>
      </c>
    </row>
    <row r="32" spans="1:8" x14ac:dyDescent="0.3">
      <c r="A32" t="s">
        <v>2147</v>
      </c>
      <c r="B32" s="42">
        <v>2015</v>
      </c>
      <c r="C32" s="5">
        <f>INDEX(D5:G18,MATCH(B29,B5:B18,0),MATCH(B32,D4:G4,0))</f>
        <v>35551.66369999999</v>
      </c>
      <c r="G32" s="28" t="s">
        <v>39</v>
      </c>
      <c r="H32" s="14">
        <f>COUNTIFS(Customer_Type,G32,Account_Manager,$C$29)</f>
        <v>19</v>
      </c>
    </row>
    <row r="33" spans="7:8" x14ac:dyDescent="0.3">
      <c r="G33" s="29" t="s">
        <v>46</v>
      </c>
      <c r="H33" s="14">
        <f>COUNTIFS(Customer_Type,G33,Account_Manager,$C$29)</f>
        <v>44</v>
      </c>
    </row>
    <row r="34" spans="7:8" x14ac:dyDescent="0.3">
      <c r="G34" s="15" t="s">
        <v>839</v>
      </c>
      <c r="H34" s="38">
        <f>SUM(H30:H33)</f>
        <v>128</v>
      </c>
    </row>
  </sheetData>
  <protectedRanges>
    <protectedRange algorithmName="SHA-512" hashValue="frcsCllKoXIMDIXhpCk/GCYTwVZibNCZxbyx2xtfhj610cQZYxZNnfb7V4f05egO81ikBpy4guCYlAG1eLbHtA==" saltValue="Y6BHA1xnjP6FBwjIbE7XBw==" spinCount="100000" sqref="H3" name="Projections"/>
  </protectedRanges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3.9" customHeight="1" x14ac:dyDescent="0.6">
      <c r="A1" s="9" t="s">
        <v>2153</v>
      </c>
      <c r="B1" s="8"/>
      <c r="C1" s="8"/>
      <c r="D1" s="8"/>
      <c r="E1" s="8"/>
    </row>
    <row r="3" spans="1:5" x14ac:dyDescent="0.3">
      <c r="A3" s="15" t="s">
        <v>2153</v>
      </c>
    </row>
    <row r="4" spans="1:5" x14ac:dyDescent="0.3">
      <c r="A4" s="23" t="s">
        <v>2142</v>
      </c>
      <c r="B4" s="23" t="s">
        <v>2155</v>
      </c>
      <c r="C4" s="23" t="s">
        <v>2156</v>
      </c>
      <c r="D4" s="23" t="s">
        <v>2154</v>
      </c>
      <c r="E4" s="23" t="s">
        <v>2157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202696.29775800003</v>
      </c>
      <c r="D5" s="5">
        <v>64000</v>
      </c>
      <c r="E5" s="5">
        <f>C5-D5</f>
        <v>138696.29775800003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67400.298240000004</v>
      </c>
      <c r="D6" s="5">
        <v>38500</v>
      </c>
      <c r="E6" s="5">
        <f t="shared" ref="E6:E7" si="0">C6-D6</f>
        <v>28900.298240000004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26698.082860000006</v>
      </c>
      <c r="D7" s="5">
        <v>12500</v>
      </c>
      <c r="E7" s="5">
        <f t="shared" si="0"/>
        <v>14198.082860000006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296794.67885800003</v>
      </c>
      <c r="D8" s="27">
        <f>SUM(D5:D7)</f>
        <v>115000</v>
      </c>
      <c r="E8" s="27">
        <f>SUM(E5:E7)</f>
        <v>181794.67885800003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activeCell="A4" sqref="A4"/>
    </sheetView>
  </sheetViews>
  <sheetFormatPr defaultColWidth="9.3320312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5546875" bestFit="1" customWidth="1"/>
    <col min="10" max="10" width="16.554687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3.9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23.152777777777779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23.080555555555556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21.541666666666668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19.927777777777777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18.697222222222223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18.163888888888888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18.011111111111113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17.399999999999999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15.952777777777778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15.583333333333334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14.286111111111111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14.125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13.097222222222221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12.769444444444444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12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11.508333333333333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11.411111111111111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10.886111111111111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9.8277777777777775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9.5416666666666661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9.5138888888888893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9.3694444444444436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9.2777777777777786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9.2416666666666671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8.9166666666666661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8.6222222222222218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8.6194444444444436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8.3694444444444436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8.3611111111111107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8.2333333333333325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8.1972222222222229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7.3583333333333334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7.2750000000000004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14.21111111111111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6.8527777777777779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Michael Nowell</cp:lastModifiedBy>
  <dcterms:created xsi:type="dcterms:W3CDTF">2017-05-01T13:03:22Z</dcterms:created>
  <dcterms:modified xsi:type="dcterms:W3CDTF">2024-03-26T09:25:50Z</dcterms:modified>
</cp:coreProperties>
</file>