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240" windowWidth="19440" windowHeight="11745" firstSheet="3" activeTab="8"/>
  </bookViews>
  <sheets>
    <sheet name="Palouse PTF" sheetId="26" r:id="rId1"/>
    <sheet name="Yield" sheetId="25" r:id="rId2"/>
    <sheet name="em_2013" sheetId="24" r:id="rId3"/>
    <sheet name="Jones_snow" sheetId="23" r:id="rId4"/>
    <sheet name="Jones_DG&amp;Well" sheetId="22" r:id="rId5"/>
    <sheet name="Giddings_correction" sheetId="21" r:id="rId6"/>
    <sheet name="Soil_Moisture" sheetId="20" r:id="rId7"/>
    <sheet name="2013 crop data" sheetId="19" r:id="rId8"/>
    <sheet name="SOIL_PROPERTIES" sheetId="7" r:id="rId9"/>
    <sheet name="soil.depth" sheetId="17" r:id="rId10"/>
  </sheets>
  <externalReferences>
    <externalReference r:id="rId11"/>
    <externalReference r:id="rId12"/>
  </externalReferences>
  <definedNames>
    <definedName name="clay" localSheetId="0">'[1]SOIL PROPERTIES'!$L$5:$L$64</definedName>
    <definedName name="clay">SOIL_PROPERTIES!$F$6:$F$65</definedName>
    <definedName name="D_2" localSheetId="0">#REF!</definedName>
    <definedName name="D_2">#REF!</definedName>
    <definedName name="D_3" localSheetId="0">#REF!</definedName>
    <definedName name="D_3">#REF!</definedName>
    <definedName name="D_4" localSheetId="0">#REF!</definedName>
    <definedName name="D_4">#REF!</definedName>
    <definedName name="D_5" localSheetId="0">#REF!</definedName>
    <definedName name="D_5">#REF!</definedName>
    <definedName name="porosity" localSheetId="2">[2]SOIL_PROPERTIES!$AC$5:$AC$64</definedName>
    <definedName name="porosity" localSheetId="0">'[1]SOIL PROPERTIES'!$AJ$5:$AJ$64</definedName>
    <definedName name="porosity" localSheetId="1">[2]SOIL_PROPERTIES!$AC$5:$AC$64</definedName>
    <definedName name="porosity">SOIL_PROPERTIES!$AH$6:$AH$65</definedName>
    <definedName name="sand" localSheetId="0">'[1]SOIL PROPERTIES'!$J$5:$J$64</definedName>
    <definedName name="sand">SOIL_PROPERTIES!$D$6:$D$65</definedName>
    <definedName name="silt">SOIL_PROPERTIES!$E$6:$E$65</definedName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Giddings_correction!$X$157</definedName>
    <definedName name="solver_typ" localSheetId="5" hidden="1">3</definedName>
    <definedName name="solver_val" localSheetId="5" hidden="1">0</definedName>
    <definedName name="solver_ver" localSheetId="5" hidden="1">3</definedName>
  </definedNames>
  <calcPr calcId="152511"/>
  <pivotCaches>
    <pivotCache cacheId="27" r:id="rId13"/>
    <pivotCache cacheId="28" r:id="rId14"/>
    <pivotCache cacheId="30" r:id="rId15"/>
  </pivotCaches>
</workbook>
</file>

<file path=xl/calcChain.xml><?xml version="1.0" encoding="utf-8"?>
<calcChain xmlns="http://schemas.openxmlformats.org/spreadsheetml/2006/main">
  <c r="AC7" i="7" l="1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" i="7"/>
  <c r="Z3" i="7" l="1"/>
  <c r="O59" i="26" l="1"/>
  <c r="H59" i="26"/>
  <c r="L59" i="26" s="1"/>
  <c r="G59" i="26"/>
  <c r="O58" i="26"/>
  <c r="H58" i="26"/>
  <c r="L58" i="26" s="1"/>
  <c r="G58" i="26"/>
  <c r="O57" i="26"/>
  <c r="H57" i="26"/>
  <c r="L57" i="26" s="1"/>
  <c r="G57" i="26"/>
  <c r="O56" i="26"/>
  <c r="H56" i="26"/>
  <c r="L56" i="26" s="1"/>
  <c r="G56" i="26"/>
  <c r="D56" i="26"/>
  <c r="I55" i="26"/>
  <c r="G55" i="26"/>
  <c r="I54" i="26"/>
  <c r="G54" i="26"/>
  <c r="O53" i="26"/>
  <c r="H53" i="26"/>
  <c r="I53" i="26" s="1"/>
  <c r="G53" i="26"/>
  <c r="D53" i="26"/>
  <c r="O52" i="26"/>
  <c r="I52" i="26"/>
  <c r="H52" i="26"/>
  <c r="L52" i="26" s="1"/>
  <c r="G52" i="26"/>
  <c r="O51" i="26"/>
  <c r="I51" i="26"/>
  <c r="H51" i="26"/>
  <c r="L51" i="26" s="1"/>
  <c r="G51" i="26"/>
  <c r="O50" i="26"/>
  <c r="I50" i="26"/>
  <c r="H50" i="26"/>
  <c r="L50" i="26" s="1"/>
  <c r="G50" i="26"/>
  <c r="O49" i="26"/>
  <c r="I49" i="26"/>
  <c r="H49" i="26"/>
  <c r="L49" i="26" s="1"/>
  <c r="G49" i="26"/>
  <c r="L48" i="26"/>
  <c r="I48" i="26"/>
  <c r="G48" i="26"/>
  <c r="L47" i="26"/>
  <c r="I47" i="26"/>
  <c r="G47" i="26"/>
  <c r="O46" i="26"/>
  <c r="I46" i="26"/>
  <c r="H46" i="26"/>
  <c r="L46" i="26" s="1"/>
  <c r="G46" i="26"/>
  <c r="O45" i="26"/>
  <c r="I45" i="26"/>
  <c r="H45" i="26"/>
  <c r="L45" i="26" s="1"/>
  <c r="G45" i="26"/>
  <c r="O44" i="26"/>
  <c r="I44" i="26"/>
  <c r="H44" i="26"/>
  <c r="L44" i="26" s="1"/>
  <c r="G44" i="26"/>
  <c r="O43" i="26"/>
  <c r="I43" i="26"/>
  <c r="H43" i="26"/>
  <c r="L43" i="26" s="1"/>
  <c r="G43" i="26"/>
  <c r="D43" i="26"/>
  <c r="O42" i="26"/>
  <c r="H42" i="26"/>
  <c r="I42" i="26" s="1"/>
  <c r="G42" i="26"/>
  <c r="D42" i="26"/>
  <c r="L41" i="26"/>
  <c r="I41" i="26"/>
  <c r="G41" i="26"/>
  <c r="L40" i="26"/>
  <c r="I40" i="26"/>
  <c r="G40" i="26"/>
  <c r="O39" i="26"/>
  <c r="H39" i="26"/>
  <c r="L39" i="26" s="1"/>
  <c r="G39" i="26"/>
  <c r="AY38" i="26"/>
  <c r="O38" i="26"/>
  <c r="L38" i="26"/>
  <c r="N38" i="26" s="1"/>
  <c r="H38" i="26"/>
  <c r="I38" i="26" s="1"/>
  <c r="G38" i="26"/>
  <c r="AY37" i="26"/>
  <c r="O37" i="26"/>
  <c r="H37" i="26"/>
  <c r="L37" i="26" s="1"/>
  <c r="G37" i="26"/>
  <c r="AY36" i="26"/>
  <c r="O36" i="26"/>
  <c r="H36" i="26"/>
  <c r="I36" i="26" s="1"/>
  <c r="G36" i="26"/>
  <c r="AY35" i="26"/>
  <c r="O35" i="26"/>
  <c r="I35" i="26"/>
  <c r="H35" i="26"/>
  <c r="L35" i="26" s="1"/>
  <c r="G35" i="26"/>
  <c r="D35" i="26"/>
  <c r="AY34" i="26"/>
  <c r="L34" i="26"/>
  <c r="I34" i="26"/>
  <c r="G34" i="26"/>
  <c r="AY33" i="26"/>
  <c r="L33" i="26"/>
  <c r="I33" i="26"/>
  <c r="G33" i="26"/>
  <c r="AY32" i="26"/>
  <c r="O32" i="26"/>
  <c r="I32" i="26"/>
  <c r="H32" i="26"/>
  <c r="L32" i="26" s="1"/>
  <c r="G32" i="26"/>
  <c r="AY31" i="26"/>
  <c r="O31" i="26"/>
  <c r="H31" i="26"/>
  <c r="I31" i="26" s="1"/>
  <c r="G31" i="26"/>
  <c r="AY30" i="26"/>
  <c r="O30" i="26"/>
  <c r="I30" i="26"/>
  <c r="H30" i="26"/>
  <c r="L30" i="26" s="1"/>
  <c r="G30" i="26"/>
  <c r="D30" i="26"/>
  <c r="AY29" i="26"/>
  <c r="L29" i="26"/>
  <c r="I29" i="26"/>
  <c r="G29" i="26"/>
  <c r="AY28" i="26"/>
  <c r="L28" i="26"/>
  <c r="I28" i="26"/>
  <c r="G28" i="26"/>
  <c r="AY27" i="26"/>
  <c r="O27" i="26"/>
  <c r="H27" i="26"/>
  <c r="L27" i="26" s="1"/>
  <c r="G27" i="26"/>
  <c r="AY26" i="26"/>
  <c r="O26" i="26"/>
  <c r="H26" i="26"/>
  <c r="I26" i="26" s="1"/>
  <c r="G26" i="26"/>
  <c r="AY25" i="26"/>
  <c r="O25" i="26"/>
  <c r="I25" i="26"/>
  <c r="H25" i="26"/>
  <c r="L25" i="26" s="1"/>
  <c r="G25" i="26"/>
  <c r="AY24" i="26"/>
  <c r="M24" i="26"/>
  <c r="O24" i="26" s="1"/>
  <c r="H24" i="26"/>
  <c r="L24" i="26" s="1"/>
  <c r="G24" i="26"/>
  <c r="AY23" i="26"/>
  <c r="L23" i="26"/>
  <c r="I23" i="26"/>
  <c r="G23" i="26"/>
  <c r="AY22" i="26"/>
  <c r="L22" i="26"/>
  <c r="I22" i="26"/>
  <c r="G22" i="26"/>
  <c r="AY21" i="26"/>
  <c r="L21" i="26"/>
  <c r="I21" i="26"/>
  <c r="G21" i="26"/>
  <c r="AY20" i="26"/>
  <c r="O20" i="26"/>
  <c r="L20" i="26"/>
  <c r="N20" i="26" s="1"/>
  <c r="H20" i="26"/>
  <c r="I20" i="26" s="1"/>
  <c r="G20" i="26"/>
  <c r="AY19" i="26"/>
  <c r="O19" i="26"/>
  <c r="H19" i="26"/>
  <c r="L19" i="26" s="1"/>
  <c r="G19" i="26"/>
  <c r="AY18" i="26"/>
  <c r="O18" i="26"/>
  <c r="H18" i="26"/>
  <c r="I18" i="26" s="1"/>
  <c r="G18" i="26"/>
  <c r="AY17" i="26"/>
  <c r="O17" i="26"/>
  <c r="I17" i="26"/>
  <c r="H17" i="26"/>
  <c r="L17" i="26" s="1"/>
  <c r="G17" i="26"/>
  <c r="AY16" i="26"/>
  <c r="O16" i="26"/>
  <c r="H16" i="26"/>
  <c r="I16" i="26" s="1"/>
  <c r="G16" i="26"/>
  <c r="AY15" i="26"/>
  <c r="M15" i="26"/>
  <c r="O15" i="26" s="1"/>
  <c r="L15" i="26"/>
  <c r="N15" i="26" s="1"/>
  <c r="H15" i="26"/>
  <c r="I15" i="26" s="1"/>
  <c r="G15" i="26"/>
  <c r="AY14" i="26"/>
  <c r="M14" i="26"/>
  <c r="O14" i="26" s="1"/>
  <c r="H14" i="26"/>
  <c r="I14" i="26" s="1"/>
  <c r="G14" i="26"/>
  <c r="AY13" i="26"/>
  <c r="M13" i="26"/>
  <c r="O13" i="26" s="1"/>
  <c r="L13" i="26"/>
  <c r="N13" i="26" s="1"/>
  <c r="H13" i="26"/>
  <c r="I13" i="26" s="1"/>
  <c r="G13" i="26"/>
  <c r="AY12" i="26"/>
  <c r="AO12" i="26"/>
  <c r="AN12" i="26"/>
  <c r="AP12" i="26" s="1"/>
  <c r="AH12" i="26"/>
  <c r="AG12" i="26"/>
  <c r="AI12" i="26" s="1"/>
  <c r="AJ12" i="26" s="1"/>
  <c r="AB12" i="26"/>
  <c r="AA12" i="26"/>
  <c r="AC12" i="26" s="1"/>
  <c r="L12" i="26"/>
  <c r="I12" i="26"/>
  <c r="G12" i="26"/>
  <c r="AY11" i="26"/>
  <c r="AO11" i="26"/>
  <c r="AN11" i="26"/>
  <c r="AP11" i="26" s="1"/>
  <c r="AQ11" i="26" s="1"/>
  <c r="AH11" i="26"/>
  <c r="AG11" i="26"/>
  <c r="AI11" i="26" s="1"/>
  <c r="AB11" i="26"/>
  <c r="AA11" i="26"/>
  <c r="AC11" i="26" s="1"/>
  <c r="AD11" i="26" s="1"/>
  <c r="L11" i="26"/>
  <c r="I11" i="26"/>
  <c r="G11" i="26"/>
  <c r="AY10" i="26"/>
  <c r="AO10" i="26"/>
  <c r="AN10" i="26"/>
  <c r="AP10" i="26" s="1"/>
  <c r="AH10" i="26"/>
  <c r="AG10" i="26"/>
  <c r="AI10" i="26" s="1"/>
  <c r="AJ10" i="26" s="1"/>
  <c r="AB10" i="26"/>
  <c r="AA10" i="26"/>
  <c r="AC10" i="26" s="1"/>
  <c r="O10" i="26"/>
  <c r="H10" i="26"/>
  <c r="L10" i="26" s="1"/>
  <c r="G10" i="26"/>
  <c r="E10" i="26"/>
  <c r="AY9" i="26"/>
  <c r="AO9" i="26"/>
  <c r="AN9" i="26"/>
  <c r="AP9" i="26" s="1"/>
  <c r="AH9" i="26"/>
  <c r="AG9" i="26"/>
  <c r="AI9" i="26" s="1"/>
  <c r="AJ9" i="26" s="1"/>
  <c r="AB9" i="26"/>
  <c r="AA9" i="26"/>
  <c r="AC9" i="26" s="1"/>
  <c r="O9" i="26"/>
  <c r="H9" i="26"/>
  <c r="L9" i="26" s="1"/>
  <c r="G9" i="26"/>
  <c r="E9" i="26"/>
  <c r="AY8" i="26"/>
  <c r="AO8" i="26"/>
  <c r="AN8" i="26"/>
  <c r="AP8" i="26" s="1"/>
  <c r="AH8" i="26"/>
  <c r="AG8" i="26"/>
  <c r="AI8" i="26" s="1"/>
  <c r="AJ8" i="26" s="1"/>
  <c r="AB8" i="26"/>
  <c r="AA8" i="26"/>
  <c r="AC8" i="26" s="1"/>
  <c r="O8" i="26"/>
  <c r="H8" i="26"/>
  <c r="L8" i="26" s="1"/>
  <c r="G8" i="26"/>
  <c r="E8" i="26"/>
  <c r="AY7" i="26"/>
  <c r="AO7" i="26"/>
  <c r="AN7" i="26"/>
  <c r="AP7" i="26" s="1"/>
  <c r="AH7" i="26"/>
  <c r="AG7" i="26"/>
  <c r="AI7" i="26" s="1"/>
  <c r="AJ7" i="26" s="1"/>
  <c r="AB7" i="26"/>
  <c r="AA7" i="26"/>
  <c r="AC7" i="26" s="1"/>
  <c r="O7" i="26"/>
  <c r="H7" i="26"/>
  <c r="L7" i="26" s="1"/>
  <c r="G7" i="26"/>
  <c r="E7" i="26"/>
  <c r="AY6" i="26"/>
  <c r="AO6" i="26"/>
  <c r="AN6" i="26"/>
  <c r="AP6" i="26" s="1"/>
  <c r="AH6" i="26"/>
  <c r="AG6" i="26"/>
  <c r="AI6" i="26" s="1"/>
  <c r="AJ6" i="26" s="1"/>
  <c r="AB6" i="26"/>
  <c r="AA6" i="26"/>
  <c r="AC6" i="26" s="1"/>
  <c r="O6" i="26"/>
  <c r="H6" i="26"/>
  <c r="L6" i="26" s="1"/>
  <c r="G6" i="26"/>
  <c r="E6" i="26"/>
  <c r="AY5" i="26"/>
  <c r="AO5" i="26"/>
  <c r="AN5" i="26"/>
  <c r="AP5" i="26" s="1"/>
  <c r="AH5" i="26"/>
  <c r="AG5" i="26"/>
  <c r="AI5" i="26" s="1"/>
  <c r="AJ5" i="26" s="1"/>
  <c r="AB5" i="26"/>
  <c r="AA5" i="26"/>
  <c r="AC5" i="26" s="1"/>
  <c r="M5" i="26"/>
  <c r="O5" i="26" s="1"/>
  <c r="H5" i="26"/>
  <c r="I5" i="26" s="1"/>
  <c r="E5" i="26"/>
  <c r="G5" i="26" s="1"/>
  <c r="L4" i="26"/>
  <c r="N4" i="26" s="1"/>
  <c r="H4" i="26"/>
  <c r="I4" i="26" s="1"/>
  <c r="D4" i="26"/>
  <c r="E4" i="26" s="1"/>
  <c r="G4" i="26" s="1"/>
  <c r="I7" i="26" l="1"/>
  <c r="N7" i="26" s="1"/>
  <c r="I8" i="26"/>
  <c r="N8" i="26" s="1"/>
  <c r="I9" i="26"/>
  <c r="I10" i="26"/>
  <c r="L14" i="26"/>
  <c r="N14" i="26" s="1"/>
  <c r="I19" i="26"/>
  <c r="N19" i="26" s="1"/>
  <c r="I27" i="26"/>
  <c r="N35" i="26"/>
  <c r="I39" i="26"/>
  <c r="N39" i="26" s="1"/>
  <c r="N49" i="26"/>
  <c r="N50" i="26"/>
  <c r="N51" i="26"/>
  <c r="N52" i="26"/>
  <c r="N9" i="26"/>
  <c r="I6" i="26"/>
  <c r="N6" i="26" s="1"/>
  <c r="N30" i="26"/>
  <c r="N57" i="26"/>
  <c r="N58" i="26"/>
  <c r="N10" i="26"/>
  <c r="N27" i="26"/>
  <c r="AD5" i="26"/>
  <c r="AQ5" i="26"/>
  <c r="AD6" i="26"/>
  <c r="AQ6" i="26"/>
  <c r="AD7" i="26"/>
  <c r="AQ7" i="26"/>
  <c r="AD8" i="26"/>
  <c r="AQ8" i="26"/>
  <c r="AD9" i="26"/>
  <c r="AQ9" i="26"/>
  <c r="AD10" i="26"/>
  <c r="AQ10" i="26"/>
  <c r="AJ11" i="26"/>
  <c r="AD12" i="26"/>
  <c r="AQ12" i="26"/>
  <c r="L16" i="26"/>
  <c r="N16" i="26" s="1"/>
  <c r="N17" i="26"/>
  <c r="I24" i="26"/>
  <c r="N24" i="26" s="1"/>
  <c r="N25" i="26"/>
  <c r="N32" i="26"/>
  <c r="I37" i="26"/>
  <c r="N37" i="26" s="1"/>
  <c r="N43" i="26"/>
  <c r="N44" i="26"/>
  <c r="N45" i="26"/>
  <c r="N46" i="26"/>
  <c r="I56" i="26"/>
  <c r="N56" i="26" s="1"/>
  <c r="I57" i="26"/>
  <c r="I58" i="26"/>
  <c r="I59" i="26"/>
  <c r="N59" i="26" s="1"/>
  <c r="L5" i="26"/>
  <c r="N5" i="26" s="1"/>
  <c r="L18" i="26"/>
  <c r="N18" i="26" s="1"/>
  <c r="L26" i="26"/>
  <c r="N26" i="26" s="1"/>
  <c r="L31" i="26"/>
  <c r="N31" i="26" s="1"/>
  <c r="L36" i="26"/>
  <c r="N36" i="26" s="1"/>
  <c r="L42" i="26"/>
  <c r="N42" i="26" s="1"/>
  <c r="L53" i="26"/>
  <c r="N53" i="26" s="1"/>
  <c r="P33" i="23" l="1"/>
  <c r="O33" i="23"/>
  <c r="N33" i="23"/>
  <c r="M33" i="23"/>
  <c r="L33" i="23"/>
  <c r="K33" i="23"/>
  <c r="J33" i="23"/>
  <c r="I33" i="23"/>
  <c r="H33" i="23"/>
  <c r="G33" i="23"/>
  <c r="F33" i="23"/>
  <c r="E33" i="23"/>
  <c r="P32" i="23"/>
  <c r="O32" i="23"/>
  <c r="N32" i="23"/>
  <c r="J32" i="23"/>
  <c r="I32" i="23"/>
  <c r="H32" i="23"/>
  <c r="G32" i="23"/>
  <c r="F32" i="23"/>
  <c r="E32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I4" i="23"/>
  <c r="H4" i="23"/>
  <c r="G4" i="23"/>
  <c r="L83" i="22" l="1"/>
  <c r="K83" i="22"/>
  <c r="Z83" i="22" s="1"/>
  <c r="J83" i="22"/>
  <c r="H83" i="22"/>
  <c r="G83" i="22"/>
  <c r="D83" i="22"/>
  <c r="M82" i="22"/>
  <c r="L82" i="22"/>
  <c r="J82" i="22"/>
  <c r="H82" i="22"/>
  <c r="G82" i="22"/>
  <c r="F82" i="22"/>
  <c r="E82" i="22"/>
  <c r="D82" i="22"/>
  <c r="C82" i="22"/>
  <c r="B82" i="22"/>
  <c r="M81" i="22"/>
  <c r="L81" i="22"/>
  <c r="J81" i="22"/>
  <c r="I81" i="22"/>
  <c r="H81" i="22"/>
  <c r="G81" i="22"/>
  <c r="F81" i="22"/>
  <c r="E81" i="22"/>
  <c r="D81" i="22"/>
  <c r="C81" i="22"/>
  <c r="B81" i="22"/>
  <c r="M80" i="22"/>
  <c r="L80" i="22"/>
  <c r="J80" i="22"/>
  <c r="H80" i="22"/>
  <c r="G80" i="22"/>
  <c r="F80" i="22"/>
  <c r="E80" i="22"/>
  <c r="D80" i="22"/>
  <c r="C80" i="22"/>
  <c r="B80" i="22"/>
  <c r="L79" i="22"/>
  <c r="K79" i="22"/>
  <c r="Z79" i="22" s="1"/>
  <c r="J79" i="22"/>
  <c r="H79" i="22"/>
  <c r="G79" i="22"/>
  <c r="D79" i="22"/>
  <c r="C79" i="22"/>
  <c r="M78" i="22"/>
  <c r="AB78" i="22" s="1"/>
  <c r="L78" i="22"/>
  <c r="AA78" i="22" s="1"/>
  <c r="K78" i="22"/>
  <c r="Z78" i="22" s="1"/>
  <c r="J78" i="22"/>
  <c r="I78" i="22"/>
  <c r="X78" i="22" s="1"/>
  <c r="H78" i="22"/>
  <c r="W78" i="22" s="1"/>
  <c r="G78" i="22"/>
  <c r="V78" i="22" s="1"/>
  <c r="F78" i="22"/>
  <c r="U78" i="22" s="1"/>
  <c r="E78" i="22"/>
  <c r="T78" i="22" s="1"/>
  <c r="D78" i="22"/>
  <c r="C78" i="22"/>
  <c r="R78" i="22" s="1"/>
  <c r="B78" i="22"/>
  <c r="Q78" i="22" s="1"/>
  <c r="M77" i="22"/>
  <c r="AB77" i="22" s="1"/>
  <c r="L77" i="22"/>
  <c r="K77" i="22"/>
  <c r="I77" i="22"/>
  <c r="E77" i="22"/>
  <c r="L76" i="22"/>
  <c r="J76" i="22"/>
  <c r="H76" i="22"/>
  <c r="R75" i="22"/>
  <c r="M75" i="22"/>
  <c r="AB75" i="22" s="1"/>
  <c r="L75" i="22"/>
  <c r="K75" i="22"/>
  <c r="Z75" i="22" s="1"/>
  <c r="J75" i="22"/>
  <c r="I75" i="22"/>
  <c r="X75" i="22" s="1"/>
  <c r="H75" i="22"/>
  <c r="G75" i="22"/>
  <c r="V75" i="22" s="1"/>
  <c r="F75" i="22"/>
  <c r="U75" i="22" s="1"/>
  <c r="E75" i="22"/>
  <c r="T75" i="22" s="1"/>
  <c r="D75" i="22"/>
  <c r="S75" i="22" s="1"/>
  <c r="S115" i="22" s="1"/>
  <c r="C75" i="22"/>
  <c r="B75" i="22"/>
  <c r="Q75" i="22" s="1"/>
  <c r="M73" i="22"/>
  <c r="L73" i="22"/>
  <c r="J73" i="22"/>
  <c r="H73" i="22"/>
  <c r="G73" i="22"/>
  <c r="V73" i="22" s="1"/>
  <c r="F73" i="22"/>
  <c r="E73" i="22"/>
  <c r="D73" i="22"/>
  <c r="C73" i="22"/>
  <c r="R73" i="22" s="1"/>
  <c r="M72" i="22"/>
  <c r="L72" i="22"/>
  <c r="AA72" i="22" s="1"/>
  <c r="J72" i="22"/>
  <c r="I72" i="22"/>
  <c r="H72" i="22"/>
  <c r="G72" i="22"/>
  <c r="F72" i="22"/>
  <c r="E72" i="22"/>
  <c r="D72" i="22"/>
  <c r="C72" i="22"/>
  <c r="B72" i="22"/>
  <c r="M71" i="22"/>
  <c r="L71" i="22"/>
  <c r="J71" i="22"/>
  <c r="I71" i="22"/>
  <c r="H71" i="22"/>
  <c r="G71" i="22"/>
  <c r="F71" i="22"/>
  <c r="E71" i="22"/>
  <c r="D71" i="22"/>
  <c r="C71" i="22"/>
  <c r="B71" i="22"/>
  <c r="M70" i="22"/>
  <c r="L70" i="22"/>
  <c r="J70" i="22"/>
  <c r="I70" i="22"/>
  <c r="H70" i="22"/>
  <c r="G70" i="22"/>
  <c r="F70" i="22"/>
  <c r="E70" i="22"/>
  <c r="D70" i="22"/>
  <c r="C70" i="22"/>
  <c r="B70" i="22"/>
  <c r="M69" i="22"/>
  <c r="L69" i="22"/>
  <c r="J69" i="22"/>
  <c r="I69" i="22"/>
  <c r="H69" i="22"/>
  <c r="G69" i="22"/>
  <c r="F69" i="22"/>
  <c r="E69" i="22"/>
  <c r="D69" i="22"/>
  <c r="C69" i="22"/>
  <c r="L68" i="22"/>
  <c r="J68" i="22"/>
  <c r="H68" i="22"/>
  <c r="F68" i="22"/>
  <c r="E68" i="22"/>
  <c r="D68" i="22"/>
  <c r="C68" i="22"/>
  <c r="L67" i="22"/>
  <c r="J67" i="22"/>
  <c r="H67" i="22"/>
  <c r="F67" i="22"/>
  <c r="E67" i="22"/>
  <c r="D67" i="22"/>
  <c r="C67" i="22"/>
  <c r="L66" i="22"/>
  <c r="J66" i="22"/>
  <c r="H66" i="22"/>
  <c r="F66" i="22"/>
  <c r="D66" i="22"/>
  <c r="C66" i="22"/>
  <c r="M65" i="22"/>
  <c r="L65" i="22"/>
  <c r="K65" i="22"/>
  <c r="Z65" i="22" s="1"/>
  <c r="J65" i="22"/>
  <c r="I65" i="22"/>
  <c r="X65" i="22" s="1"/>
  <c r="H65" i="22"/>
  <c r="F65" i="22"/>
  <c r="E65" i="22"/>
  <c r="D65" i="22"/>
  <c r="C65" i="22"/>
  <c r="B65" i="22"/>
  <c r="Q65" i="22" s="1"/>
  <c r="M64" i="22"/>
  <c r="AB64" i="22" s="1"/>
  <c r="L64" i="22"/>
  <c r="AA64" i="22" s="1"/>
  <c r="K64" i="22"/>
  <c r="Z64" i="22" s="1"/>
  <c r="J64" i="22"/>
  <c r="Y64" i="22" s="1"/>
  <c r="T104" i="22" s="1"/>
  <c r="I64" i="22"/>
  <c r="X64" i="22" s="1"/>
  <c r="H64" i="22"/>
  <c r="W64" i="22" s="1"/>
  <c r="G64" i="22"/>
  <c r="V64" i="22" s="1"/>
  <c r="F64" i="22"/>
  <c r="U64" i="22" s="1"/>
  <c r="E64" i="22"/>
  <c r="T64" i="22" s="1"/>
  <c r="D64" i="22"/>
  <c r="S64" i="22" s="1"/>
  <c r="S104" i="22" s="1"/>
  <c r="C64" i="22"/>
  <c r="R64" i="22" s="1"/>
  <c r="B64" i="22"/>
  <c r="Q64" i="22" s="1"/>
  <c r="L63" i="22"/>
  <c r="J63" i="22"/>
  <c r="H63" i="22"/>
  <c r="D63" i="22"/>
  <c r="M62" i="22"/>
  <c r="L62" i="22"/>
  <c r="J62" i="22"/>
  <c r="I62" i="22"/>
  <c r="H62" i="22"/>
  <c r="G62" i="22"/>
  <c r="F62" i="22"/>
  <c r="E62" i="22"/>
  <c r="D62" i="22"/>
  <c r="C62" i="22"/>
  <c r="B62" i="22"/>
  <c r="M61" i="22"/>
  <c r="L61" i="22"/>
  <c r="K61" i="22"/>
  <c r="J61" i="22"/>
  <c r="I61" i="22"/>
  <c r="H61" i="22"/>
  <c r="G61" i="22"/>
  <c r="F61" i="22"/>
  <c r="U61" i="22" s="1"/>
  <c r="E61" i="22"/>
  <c r="D61" i="22"/>
  <c r="C61" i="22"/>
  <c r="B61" i="22"/>
  <c r="M60" i="22"/>
  <c r="L60" i="22"/>
  <c r="K60" i="22"/>
  <c r="Z60" i="22" s="1"/>
  <c r="J60" i="22"/>
  <c r="I60" i="22"/>
  <c r="H60" i="22"/>
  <c r="G60" i="22"/>
  <c r="V60" i="22" s="1"/>
  <c r="F60" i="22"/>
  <c r="U60" i="22" s="1"/>
  <c r="E60" i="22"/>
  <c r="D60" i="22"/>
  <c r="C60" i="22"/>
  <c r="B60" i="22"/>
  <c r="M59" i="22"/>
  <c r="L59" i="22"/>
  <c r="J59" i="22"/>
  <c r="H59" i="22"/>
  <c r="G59" i="22"/>
  <c r="V59" i="22" s="1"/>
  <c r="F59" i="22"/>
  <c r="E59" i="22"/>
  <c r="D59" i="22"/>
  <c r="C59" i="22"/>
  <c r="R59" i="22" s="1"/>
  <c r="AA58" i="22"/>
  <c r="M58" i="22"/>
  <c r="L58" i="22"/>
  <c r="J58" i="22"/>
  <c r="H58" i="22"/>
  <c r="G58" i="22"/>
  <c r="V58" i="22" s="1"/>
  <c r="F58" i="22"/>
  <c r="E58" i="22"/>
  <c r="D58" i="22"/>
  <c r="C58" i="22"/>
  <c r="R58" i="22" s="1"/>
  <c r="M57" i="22"/>
  <c r="L57" i="22"/>
  <c r="J57" i="22"/>
  <c r="H57" i="22"/>
  <c r="G57" i="22"/>
  <c r="V57" i="22" s="1"/>
  <c r="E57" i="22"/>
  <c r="T57" i="22" s="1"/>
  <c r="D57" i="22"/>
  <c r="M56" i="22"/>
  <c r="L56" i="22"/>
  <c r="AA56" i="22" s="1"/>
  <c r="K56" i="22"/>
  <c r="Z56" i="22" s="1"/>
  <c r="J56" i="22"/>
  <c r="Y56" i="22" s="1"/>
  <c r="T96" i="22" s="1"/>
  <c r="I56" i="22"/>
  <c r="X56" i="22" s="1"/>
  <c r="H56" i="22"/>
  <c r="W56" i="22" s="1"/>
  <c r="G56" i="22"/>
  <c r="V56" i="22" s="1"/>
  <c r="D56" i="22"/>
  <c r="S56" i="22" s="1"/>
  <c r="S96" i="22" s="1"/>
  <c r="C56" i="22"/>
  <c r="R56" i="22" s="1"/>
  <c r="M52" i="22"/>
  <c r="M83" i="22" s="1"/>
  <c r="AB83" i="22" s="1"/>
  <c r="L52" i="22"/>
  <c r="L53" i="22" s="1"/>
  <c r="K52" i="22"/>
  <c r="K53" i="22" s="1"/>
  <c r="J52" i="22"/>
  <c r="J53" i="22" s="1"/>
  <c r="I52" i="22"/>
  <c r="I83" i="22" s="1"/>
  <c r="X83" i="22" s="1"/>
  <c r="H52" i="22"/>
  <c r="H53" i="22" s="1"/>
  <c r="G52" i="22"/>
  <c r="G53" i="22" s="1"/>
  <c r="F52" i="22"/>
  <c r="F83" i="22" s="1"/>
  <c r="U83" i="22" s="1"/>
  <c r="E52" i="22"/>
  <c r="E83" i="22" s="1"/>
  <c r="T83" i="22" s="1"/>
  <c r="D52" i="22"/>
  <c r="D53" i="22" s="1"/>
  <c r="C52" i="22"/>
  <c r="C83" i="22" s="1"/>
  <c r="R83" i="22" s="1"/>
  <c r="B52" i="22"/>
  <c r="B83" i="22" s="1"/>
  <c r="Q83" i="22" s="1"/>
  <c r="M51" i="22"/>
  <c r="L51" i="22"/>
  <c r="L74" i="22" s="1"/>
  <c r="AA74" i="22" s="1"/>
  <c r="K51" i="22"/>
  <c r="K81" i="22" s="1"/>
  <c r="Z81" i="22" s="1"/>
  <c r="J51" i="22"/>
  <c r="I51" i="22"/>
  <c r="H51" i="22"/>
  <c r="G51" i="22"/>
  <c r="G77" i="22" s="1"/>
  <c r="V77" i="22" s="1"/>
  <c r="F51" i="22"/>
  <c r="E51" i="22"/>
  <c r="D51" i="22"/>
  <c r="C51" i="22"/>
  <c r="C77" i="22" s="1"/>
  <c r="R77" i="22" s="1"/>
  <c r="B51" i="22"/>
  <c r="M48" i="22"/>
  <c r="L48" i="22"/>
  <c r="AA60" i="22" s="1"/>
  <c r="K48" i="22"/>
  <c r="K59" i="22" s="1"/>
  <c r="Z59" i="22" s="1"/>
  <c r="J48" i="22"/>
  <c r="Y61" i="22" s="1"/>
  <c r="T101" i="22" s="1"/>
  <c r="I48" i="22"/>
  <c r="H48" i="22"/>
  <c r="W60" i="22" s="1"/>
  <c r="G48" i="22"/>
  <c r="V61" i="22" s="1"/>
  <c r="F48" i="22"/>
  <c r="F56" i="22" s="1"/>
  <c r="U56" i="22" s="1"/>
  <c r="E48" i="22"/>
  <c r="E56" i="22" s="1"/>
  <c r="T56" i="22" s="1"/>
  <c r="D48" i="22"/>
  <c r="S59" i="22" s="1"/>
  <c r="S99" i="22" s="1"/>
  <c r="C48" i="22"/>
  <c r="C57" i="22" s="1"/>
  <c r="R57" i="22" s="1"/>
  <c r="B48" i="22"/>
  <c r="B56" i="22" s="1"/>
  <c r="Q56" i="22" s="1"/>
  <c r="AB47" i="22"/>
  <c r="AA47" i="22"/>
  <c r="Z47" i="22"/>
  <c r="Y47" i="22"/>
  <c r="X47" i="22"/>
  <c r="W47" i="22"/>
  <c r="V47" i="22"/>
  <c r="U47" i="22"/>
  <c r="T47" i="22"/>
  <c r="S47" i="22"/>
  <c r="R47" i="22"/>
  <c r="Q47" i="22"/>
  <c r="M41" i="22"/>
  <c r="M49" i="22" s="1"/>
  <c r="L41" i="22"/>
  <c r="L49" i="22" s="1"/>
  <c r="K41" i="22"/>
  <c r="K49" i="22" s="1"/>
  <c r="J41" i="22"/>
  <c r="J42" i="22" s="1"/>
  <c r="J50" i="22" s="1"/>
  <c r="I41" i="22"/>
  <c r="I42" i="22" s="1"/>
  <c r="I50" i="22" s="1"/>
  <c r="H41" i="22"/>
  <c r="H49" i="22" s="1"/>
  <c r="W62" i="22" s="1"/>
  <c r="G41" i="22"/>
  <c r="G49" i="22" s="1"/>
  <c r="F41" i="22"/>
  <c r="F49" i="22" s="1"/>
  <c r="E41" i="22"/>
  <c r="E49" i="22" s="1"/>
  <c r="D41" i="22"/>
  <c r="D42" i="22" s="1"/>
  <c r="D50" i="22" s="1"/>
  <c r="C41" i="22"/>
  <c r="C49" i="22" s="1"/>
  <c r="B41" i="22"/>
  <c r="B49" i="22" s="1"/>
  <c r="M39" i="22"/>
  <c r="M47" i="22" s="1"/>
  <c r="L39" i="22"/>
  <c r="L47" i="22" s="1"/>
  <c r="K39" i="22"/>
  <c r="K47" i="22" s="1"/>
  <c r="J39" i="22"/>
  <c r="J47" i="22" s="1"/>
  <c r="I39" i="22"/>
  <c r="I47" i="22" s="1"/>
  <c r="H39" i="22"/>
  <c r="H47" i="22" s="1"/>
  <c r="G39" i="22"/>
  <c r="G47" i="22" s="1"/>
  <c r="F39" i="22"/>
  <c r="F47" i="22" s="1"/>
  <c r="E39" i="22"/>
  <c r="E47" i="22" s="1"/>
  <c r="D39" i="22"/>
  <c r="D47" i="22" s="1"/>
  <c r="C39" i="22"/>
  <c r="C47" i="22" s="1"/>
  <c r="B39" i="22"/>
  <c r="B47" i="22" s="1"/>
  <c r="B57" i="22" l="1"/>
  <c r="Q57" i="22" s="1"/>
  <c r="B58" i="22"/>
  <c r="Q58" i="22" s="1"/>
  <c r="U58" i="22"/>
  <c r="K58" i="22"/>
  <c r="Z58" i="22" s="1"/>
  <c r="T60" i="22"/>
  <c r="X60" i="22"/>
  <c r="AB60" i="22"/>
  <c r="Q61" i="22"/>
  <c r="T73" i="22"/>
  <c r="Y73" i="22"/>
  <c r="T113" i="22" s="1"/>
  <c r="V79" i="22"/>
  <c r="V81" i="22"/>
  <c r="Q60" i="22"/>
  <c r="Y60" i="22"/>
  <c r="T100" i="22" s="1"/>
  <c r="R61" i="22"/>
  <c r="R65" i="22"/>
  <c r="U66" i="22"/>
  <c r="U73" i="22"/>
  <c r="K73" i="22"/>
  <c r="Z73" i="22" s="1"/>
  <c r="Z77" i="22"/>
  <c r="V82" i="22"/>
  <c r="Y57" i="22"/>
  <c r="T97" i="22" s="1"/>
  <c r="T59" i="22"/>
  <c r="Y59" i="22"/>
  <c r="T99" i="22" s="1"/>
  <c r="R60" i="22"/>
  <c r="S61" i="22"/>
  <c r="S101" i="22" s="1"/>
  <c r="W61" i="22"/>
  <c r="AA61" i="22"/>
  <c r="Z61" i="22"/>
  <c r="Y75" i="22"/>
  <c r="T115" i="22" s="1"/>
  <c r="R80" i="22"/>
  <c r="V80" i="22"/>
  <c r="Q82" i="22"/>
  <c r="U82" i="22"/>
  <c r="K82" i="22"/>
  <c r="Z82" i="22" s="1"/>
  <c r="F57" i="22"/>
  <c r="U57" i="22" s="1"/>
  <c r="K57" i="22"/>
  <c r="Z57" i="22" s="1"/>
  <c r="T58" i="22"/>
  <c r="Y58" i="22"/>
  <c r="T98" i="22" s="1"/>
  <c r="B59" i="22"/>
  <c r="Q59" i="22" s="1"/>
  <c r="U59" i="22"/>
  <c r="S60" i="22"/>
  <c r="S100" i="22" s="1"/>
  <c r="AA63" i="22"/>
  <c r="E66" i="22"/>
  <c r="T66" i="22" s="1"/>
  <c r="E63" i="22"/>
  <c r="T63" i="22" s="1"/>
  <c r="B66" i="22"/>
  <c r="Q66" i="22" s="1"/>
  <c r="B63" i="22"/>
  <c r="Q63" i="22" s="1"/>
  <c r="R66" i="22"/>
  <c r="C63" i="22"/>
  <c r="R63" i="22" s="1"/>
  <c r="G66" i="22"/>
  <c r="V66" i="22" s="1"/>
  <c r="G65" i="22"/>
  <c r="V65" i="22" s="1"/>
  <c r="G63" i="22"/>
  <c r="V63" i="22" s="1"/>
  <c r="K66" i="22"/>
  <c r="Z66" i="22" s="1"/>
  <c r="K63" i="22"/>
  <c r="Z63" i="22" s="1"/>
  <c r="K62" i="22"/>
  <c r="Z62" i="22" s="1"/>
  <c r="R62" i="22"/>
  <c r="V62" i="22"/>
  <c r="AA62" i="22"/>
  <c r="U65" i="22"/>
  <c r="I68" i="22"/>
  <c r="X68" i="22" s="1"/>
  <c r="I67" i="22"/>
  <c r="X67" i="22" s="1"/>
  <c r="M66" i="22"/>
  <c r="AB66" i="22" s="1"/>
  <c r="M63" i="22"/>
  <c r="AB63" i="22" s="1"/>
  <c r="U62" i="22"/>
  <c r="F63" i="22"/>
  <c r="U63" i="22" s="1"/>
  <c r="Q62" i="22"/>
  <c r="W63" i="22"/>
  <c r="Y65" i="22"/>
  <c r="T105" i="22" s="1"/>
  <c r="H42" i="22"/>
  <c r="H50" i="22" s="1"/>
  <c r="D49" i="22"/>
  <c r="S63" i="22" s="1"/>
  <c r="S103" i="22" s="1"/>
  <c r="D77" i="22"/>
  <c r="S77" i="22" s="1"/>
  <c r="S117" i="22" s="1"/>
  <c r="D76" i="22"/>
  <c r="S76" i="22" s="1"/>
  <c r="S116" i="22" s="1"/>
  <c r="D74" i="22"/>
  <c r="S74" i="22" s="1"/>
  <c r="S114" i="22" s="1"/>
  <c r="H77" i="22"/>
  <c r="W77" i="22" s="1"/>
  <c r="H74" i="22"/>
  <c r="W74" i="22" s="1"/>
  <c r="AA57" i="22"/>
  <c r="AA59" i="22"/>
  <c r="W69" i="22"/>
  <c r="AB69" i="22"/>
  <c r="AA80" i="22"/>
  <c r="E42" i="22"/>
  <c r="E50" i="22" s="1"/>
  <c r="M42" i="22"/>
  <c r="M50" i="22" s="1"/>
  <c r="I59" i="22"/>
  <c r="X59" i="22" s="1"/>
  <c r="I58" i="22"/>
  <c r="X58" i="22" s="1"/>
  <c r="I57" i="22"/>
  <c r="X57" i="22" s="1"/>
  <c r="I49" i="22"/>
  <c r="E79" i="22"/>
  <c r="T79" i="22" s="1"/>
  <c r="E76" i="22"/>
  <c r="T76" i="22" s="1"/>
  <c r="E74" i="22"/>
  <c r="T74" i="22" s="1"/>
  <c r="I82" i="22"/>
  <c r="X82" i="22" s="1"/>
  <c r="I80" i="22"/>
  <c r="X80" i="22" s="1"/>
  <c r="I79" i="22"/>
  <c r="X79" i="22" s="1"/>
  <c r="I76" i="22"/>
  <c r="X76" i="22" s="1"/>
  <c r="I74" i="22"/>
  <c r="X74" i="22" s="1"/>
  <c r="I73" i="22"/>
  <c r="X73" i="22" s="1"/>
  <c r="M79" i="22"/>
  <c r="AB79" i="22" s="1"/>
  <c r="M76" i="22"/>
  <c r="AB76" i="22" s="1"/>
  <c r="M74" i="22"/>
  <c r="AB74" i="22" s="1"/>
  <c r="E53" i="22"/>
  <c r="M53" i="22"/>
  <c r="AB56" i="22"/>
  <c r="W59" i="22"/>
  <c r="T61" i="22"/>
  <c r="W67" i="22"/>
  <c r="T69" i="22"/>
  <c r="X70" i="22"/>
  <c r="B42" i="22"/>
  <c r="B50" i="22" s="1"/>
  <c r="Q72" i="22" s="1"/>
  <c r="F42" i="22"/>
  <c r="F50" i="22" s="1"/>
  <c r="J49" i="22"/>
  <c r="Y62" i="22" s="1"/>
  <c r="T102" i="22" s="1"/>
  <c r="B79" i="22"/>
  <c r="Q79" i="22" s="1"/>
  <c r="B77" i="22"/>
  <c r="Q77" i="22" s="1"/>
  <c r="B76" i="22"/>
  <c r="Q76" i="22" s="1"/>
  <c r="B74" i="22"/>
  <c r="Q74" i="22" s="1"/>
  <c r="B73" i="22"/>
  <c r="Q73" i="22" s="1"/>
  <c r="C42" i="22"/>
  <c r="C50" i="22" s="1"/>
  <c r="G42" i="22"/>
  <c r="G50" i="22" s="1"/>
  <c r="V71" i="22" s="1"/>
  <c r="K42" i="22"/>
  <c r="K50" i="22" s="1"/>
  <c r="R81" i="22"/>
  <c r="C74" i="22"/>
  <c r="R74" i="22" s="1"/>
  <c r="C53" i="22"/>
  <c r="AB57" i="22"/>
  <c r="AB58" i="22"/>
  <c r="AB59" i="22"/>
  <c r="T65" i="22"/>
  <c r="AB65" i="22"/>
  <c r="W66" i="22"/>
  <c r="T67" i="22"/>
  <c r="S68" i="22"/>
  <c r="S108" i="22" s="1"/>
  <c r="Y68" i="22"/>
  <c r="T108" i="22" s="1"/>
  <c r="V69" i="22"/>
  <c r="AA69" i="22"/>
  <c r="V70" i="22"/>
  <c r="K74" i="22"/>
  <c r="Z74" i="22" s="1"/>
  <c r="G76" i="22"/>
  <c r="V76" i="22" s="1"/>
  <c r="AA76" i="22"/>
  <c r="X77" i="22"/>
  <c r="S78" i="22"/>
  <c r="S118" i="22" s="1"/>
  <c r="Q80" i="22"/>
  <c r="U80" i="22"/>
  <c r="K80" i="22"/>
  <c r="Z80" i="22" s="1"/>
  <c r="T81" i="22"/>
  <c r="X81" i="22"/>
  <c r="T82" i="22"/>
  <c r="Y82" i="22"/>
  <c r="T122" i="22" s="1"/>
  <c r="R82" i="22"/>
  <c r="L42" i="22"/>
  <c r="L50" i="22" s="1"/>
  <c r="AA68" i="22" s="1"/>
  <c r="S66" i="22"/>
  <c r="S106" i="22" s="1"/>
  <c r="T68" i="22"/>
  <c r="S69" i="22"/>
  <c r="S109" i="22" s="1"/>
  <c r="AB70" i="22"/>
  <c r="I53" i="22"/>
  <c r="W57" i="22"/>
  <c r="W58" i="22"/>
  <c r="X61" i="22"/>
  <c r="AB61" i="22"/>
  <c r="X69" i="22"/>
  <c r="T70" i="22"/>
  <c r="AA79" i="22"/>
  <c r="AA81" i="22"/>
  <c r="S83" i="22"/>
  <c r="S123" i="22" s="1"/>
  <c r="F79" i="22"/>
  <c r="U79" i="22" s="1"/>
  <c r="F77" i="22"/>
  <c r="U77" i="22" s="1"/>
  <c r="F76" i="22"/>
  <c r="U76" i="22" s="1"/>
  <c r="F74" i="22"/>
  <c r="U74" i="22" s="1"/>
  <c r="J77" i="22"/>
  <c r="Y77" i="22" s="1"/>
  <c r="T117" i="22" s="1"/>
  <c r="J74" i="22"/>
  <c r="Y74" i="22" s="1"/>
  <c r="T114" i="22" s="1"/>
  <c r="B53" i="22"/>
  <c r="F53" i="22"/>
  <c r="S57" i="22"/>
  <c r="S97" i="22" s="1"/>
  <c r="S58" i="22"/>
  <c r="S98" i="22" s="1"/>
  <c r="T62" i="22"/>
  <c r="X62" i="22"/>
  <c r="AB62" i="22"/>
  <c r="S65" i="22"/>
  <c r="S105" i="22" s="1"/>
  <c r="W65" i="22"/>
  <c r="AA65" i="22"/>
  <c r="AA66" i="22"/>
  <c r="S67" i="22"/>
  <c r="S107" i="22" s="1"/>
  <c r="Y67" i="22"/>
  <c r="T107" i="22" s="1"/>
  <c r="W68" i="22"/>
  <c r="U70" i="22"/>
  <c r="Y70" i="22"/>
  <c r="T110" i="22" s="1"/>
  <c r="U71" i="22"/>
  <c r="Y71" i="22"/>
  <c r="T111" i="22" s="1"/>
  <c r="S72" i="22"/>
  <c r="S112" i="22" s="1"/>
  <c r="W72" i="22"/>
  <c r="G74" i="22"/>
  <c r="V74" i="22" s="1"/>
  <c r="C76" i="22"/>
  <c r="R76" i="22" s="1"/>
  <c r="K76" i="22"/>
  <c r="Z76" i="22" s="1"/>
  <c r="W79" i="22"/>
  <c r="R79" i="22"/>
  <c r="S81" i="22"/>
  <c r="S121" i="22" s="1"/>
  <c r="W81" i="22"/>
  <c r="AB81" i="22"/>
  <c r="V83" i="22"/>
  <c r="AA83" i="22"/>
  <c r="AA67" i="22"/>
  <c r="S70" i="22"/>
  <c r="S110" i="22" s="1"/>
  <c r="W70" i="22"/>
  <c r="AA70" i="22"/>
  <c r="T71" i="22"/>
  <c r="X71" i="22"/>
  <c r="AB71" i="22"/>
  <c r="U72" i="22"/>
  <c r="Y72" i="22"/>
  <c r="T112" i="22" s="1"/>
  <c r="S73" i="22"/>
  <c r="S113" i="22" s="1"/>
  <c r="W73" i="22"/>
  <c r="AB73" i="22"/>
  <c r="W75" i="22"/>
  <c r="AA75" i="22"/>
  <c r="Y76" i="22"/>
  <c r="T116" i="22" s="1"/>
  <c r="Y78" i="22"/>
  <c r="T118" i="22" s="1"/>
  <c r="S79" i="22"/>
  <c r="S119" i="22" s="1"/>
  <c r="T80" i="22"/>
  <c r="Y80" i="22"/>
  <c r="T120" i="22" s="1"/>
  <c r="S82" i="22"/>
  <c r="S122" i="22" s="1"/>
  <c r="W82" i="22"/>
  <c r="AB82" i="22"/>
  <c r="Y83" i="22"/>
  <c r="T123" i="22" s="1"/>
  <c r="U67" i="22"/>
  <c r="U68" i="22"/>
  <c r="U69" i="22"/>
  <c r="Y69" i="22"/>
  <c r="T109" i="22" s="1"/>
  <c r="S71" i="22"/>
  <c r="S111" i="22" s="1"/>
  <c r="W71" i="22"/>
  <c r="AA71" i="22"/>
  <c r="T72" i="22"/>
  <c r="X72" i="22"/>
  <c r="AB72" i="22"/>
  <c r="AA73" i="22"/>
  <c r="W76" i="22"/>
  <c r="T77" i="22"/>
  <c r="AA77" i="22"/>
  <c r="Y79" i="22"/>
  <c r="T119" i="22" s="1"/>
  <c r="S80" i="22"/>
  <c r="S120" i="22" s="1"/>
  <c r="W80" i="22"/>
  <c r="AB80" i="22"/>
  <c r="Q81" i="22"/>
  <c r="U81" i="22"/>
  <c r="Y81" i="22"/>
  <c r="T121" i="22" s="1"/>
  <c r="AA82" i="22"/>
  <c r="W83" i="22"/>
  <c r="Y63" i="22" l="1"/>
  <c r="T103" i="22" s="1"/>
  <c r="Y66" i="22"/>
  <c r="T106" i="22" s="1"/>
  <c r="R69" i="22"/>
  <c r="R71" i="22"/>
  <c r="R70" i="22"/>
  <c r="R68" i="22"/>
  <c r="R67" i="22"/>
  <c r="B69" i="22"/>
  <c r="Q69" i="22" s="1"/>
  <c r="B68" i="22"/>
  <c r="Q68" i="22" s="1"/>
  <c r="B67" i="22"/>
  <c r="Q67" i="22" s="1"/>
  <c r="R72" i="22"/>
  <c r="Q71" i="22"/>
  <c r="G68" i="22"/>
  <c r="V68" i="22" s="1"/>
  <c r="G67" i="22"/>
  <c r="V67" i="22" s="1"/>
  <c r="V72" i="22"/>
  <c r="S62" i="22"/>
  <c r="S102" i="22" s="1"/>
  <c r="Q70" i="22"/>
  <c r="K70" i="22"/>
  <c r="Z70" i="22" s="1"/>
  <c r="K68" i="22"/>
  <c r="Z68" i="22" s="1"/>
  <c r="K67" i="22"/>
  <c r="Z67" i="22" s="1"/>
  <c r="K69" i="22"/>
  <c r="Z69" i="22" s="1"/>
  <c r="K71" i="22"/>
  <c r="Z71" i="22" s="1"/>
  <c r="K72" i="22"/>
  <c r="Z72" i="22" s="1"/>
  <c r="I66" i="22"/>
  <c r="X66" i="22" s="1"/>
  <c r="I63" i="22"/>
  <c r="X63" i="22" s="1"/>
  <c r="M68" i="22"/>
  <c r="AB68" i="22" s="1"/>
  <c r="M67" i="22"/>
  <c r="AB67" i="22" s="1"/>
  <c r="O306" i="21" l="1"/>
  <c r="N306" i="21"/>
  <c r="M306" i="21"/>
  <c r="L306" i="21"/>
  <c r="K306" i="21"/>
  <c r="J306" i="21"/>
  <c r="I306" i="21"/>
  <c r="H306" i="21"/>
  <c r="G306" i="21"/>
  <c r="F306" i="21"/>
  <c r="E306" i="21"/>
  <c r="D306" i="21"/>
  <c r="O305" i="21"/>
  <c r="N305" i="21"/>
  <c r="M305" i="21"/>
  <c r="L305" i="21"/>
  <c r="K305" i="21"/>
  <c r="J305" i="21"/>
  <c r="I305" i="21"/>
  <c r="H305" i="21"/>
  <c r="G305" i="21"/>
  <c r="F305" i="21"/>
  <c r="E305" i="21"/>
  <c r="D305" i="21"/>
  <c r="O304" i="21"/>
  <c r="N304" i="21"/>
  <c r="M304" i="21"/>
  <c r="L304" i="21"/>
  <c r="K304" i="21"/>
  <c r="J304" i="21"/>
  <c r="I304" i="21"/>
  <c r="H304" i="21"/>
  <c r="G304" i="21"/>
  <c r="F304" i="21"/>
  <c r="E304" i="21"/>
  <c r="D304" i="21"/>
  <c r="O303" i="21"/>
  <c r="N303" i="21"/>
  <c r="M303" i="21"/>
  <c r="L303" i="21"/>
  <c r="K303" i="21"/>
  <c r="J303" i="21"/>
  <c r="I303" i="21"/>
  <c r="H303" i="21"/>
  <c r="G303" i="21"/>
  <c r="F303" i="21"/>
  <c r="E303" i="21"/>
  <c r="D303" i="21"/>
  <c r="O302" i="21"/>
  <c r="N302" i="21"/>
  <c r="M302" i="21"/>
  <c r="L302" i="21"/>
  <c r="K302" i="21"/>
  <c r="J302" i="21"/>
  <c r="I302" i="21"/>
  <c r="H302" i="21"/>
  <c r="G302" i="21"/>
  <c r="F302" i="21"/>
  <c r="E302" i="21"/>
  <c r="D302" i="21"/>
  <c r="O301" i="21"/>
  <c r="N301" i="21"/>
  <c r="M301" i="21"/>
  <c r="L301" i="21"/>
  <c r="K301" i="21"/>
  <c r="J301" i="21"/>
  <c r="I301" i="21"/>
  <c r="H301" i="21"/>
  <c r="G301" i="21"/>
  <c r="F301" i="21"/>
  <c r="E301" i="21"/>
  <c r="D301" i="21"/>
  <c r="O300" i="21"/>
  <c r="N300" i="21"/>
  <c r="M300" i="21"/>
  <c r="L300" i="21"/>
  <c r="K300" i="21"/>
  <c r="J300" i="21"/>
  <c r="I300" i="21"/>
  <c r="H300" i="21"/>
  <c r="G300" i="21"/>
  <c r="F300" i="21"/>
  <c r="E300" i="21"/>
  <c r="D300" i="21"/>
  <c r="O299" i="21"/>
  <c r="N299" i="21"/>
  <c r="M299" i="21"/>
  <c r="L299" i="21"/>
  <c r="K299" i="21"/>
  <c r="J299" i="21"/>
  <c r="I299" i="21"/>
  <c r="H299" i="21"/>
  <c r="G299" i="21"/>
  <c r="F299" i="21"/>
  <c r="E299" i="21"/>
  <c r="D299" i="21"/>
  <c r="O298" i="21"/>
  <c r="N298" i="21"/>
  <c r="M298" i="21"/>
  <c r="L298" i="21"/>
  <c r="K298" i="21"/>
  <c r="J298" i="21"/>
  <c r="I298" i="21"/>
  <c r="H298" i="21"/>
  <c r="G298" i="21"/>
  <c r="F298" i="21"/>
  <c r="E298" i="21"/>
  <c r="D298" i="21"/>
  <c r="O297" i="21"/>
  <c r="N297" i="21"/>
  <c r="M297" i="21"/>
  <c r="L297" i="21"/>
  <c r="K297" i="21"/>
  <c r="J297" i="21"/>
  <c r="I297" i="21"/>
  <c r="H297" i="21"/>
  <c r="G297" i="21"/>
  <c r="F297" i="21"/>
  <c r="E297" i="21"/>
  <c r="D297" i="21"/>
  <c r="O296" i="21"/>
  <c r="N296" i="21"/>
  <c r="M296" i="21"/>
  <c r="L296" i="21"/>
  <c r="K296" i="21"/>
  <c r="J296" i="21"/>
  <c r="I296" i="21"/>
  <c r="H296" i="21"/>
  <c r="G296" i="21"/>
  <c r="F296" i="21"/>
  <c r="E296" i="21"/>
  <c r="D296" i="21"/>
  <c r="O295" i="21"/>
  <c r="N295" i="21"/>
  <c r="M295" i="21"/>
  <c r="L295" i="21"/>
  <c r="K295" i="21"/>
  <c r="J295" i="21"/>
  <c r="I295" i="21"/>
  <c r="H295" i="21"/>
  <c r="G295" i="21"/>
  <c r="F295" i="21"/>
  <c r="E295" i="21"/>
  <c r="D295" i="21"/>
  <c r="O294" i="21"/>
  <c r="N294" i="21"/>
  <c r="M294" i="21"/>
  <c r="L294" i="21"/>
  <c r="K294" i="21"/>
  <c r="J294" i="21"/>
  <c r="I294" i="21"/>
  <c r="H294" i="21"/>
  <c r="G294" i="21"/>
  <c r="F294" i="21"/>
  <c r="E294" i="21"/>
  <c r="D294" i="21"/>
  <c r="O293" i="21"/>
  <c r="N293" i="21"/>
  <c r="M293" i="21"/>
  <c r="L293" i="21"/>
  <c r="K293" i="21"/>
  <c r="J293" i="21"/>
  <c r="I293" i="21"/>
  <c r="H293" i="21"/>
  <c r="G293" i="21"/>
  <c r="F293" i="21"/>
  <c r="E293" i="21"/>
  <c r="D293" i="21"/>
  <c r="AC292" i="21"/>
  <c r="O292" i="21"/>
  <c r="N292" i="21"/>
  <c r="M292" i="21"/>
  <c r="L292" i="21"/>
  <c r="K292" i="21"/>
  <c r="J292" i="21"/>
  <c r="I292" i="21"/>
  <c r="H292" i="21"/>
  <c r="G292" i="21"/>
  <c r="F292" i="21"/>
  <c r="E292" i="21"/>
  <c r="D292" i="21"/>
  <c r="O291" i="21"/>
  <c r="N291" i="21"/>
  <c r="M291" i="21"/>
  <c r="L291" i="21"/>
  <c r="K291" i="21"/>
  <c r="J291" i="21"/>
  <c r="I291" i="21"/>
  <c r="H291" i="21"/>
  <c r="G291" i="21"/>
  <c r="F291" i="21"/>
  <c r="E291" i="21"/>
  <c r="D291" i="21"/>
  <c r="O290" i="21"/>
  <c r="N290" i="21"/>
  <c r="M290" i="21"/>
  <c r="L290" i="21"/>
  <c r="K290" i="21"/>
  <c r="J290" i="21"/>
  <c r="I290" i="21"/>
  <c r="H290" i="21"/>
  <c r="G290" i="21"/>
  <c r="F290" i="21"/>
  <c r="E290" i="21"/>
  <c r="D290" i="21"/>
  <c r="O289" i="21"/>
  <c r="N289" i="21"/>
  <c r="M289" i="21"/>
  <c r="L289" i="21"/>
  <c r="K289" i="21"/>
  <c r="J289" i="21"/>
  <c r="I289" i="21"/>
  <c r="H289" i="21"/>
  <c r="G289" i="21"/>
  <c r="F289" i="21"/>
  <c r="E289" i="21"/>
  <c r="D289" i="21"/>
  <c r="O288" i="21"/>
  <c r="N288" i="21"/>
  <c r="M288" i="21"/>
  <c r="L288" i="21"/>
  <c r="K288" i="21"/>
  <c r="J288" i="21"/>
  <c r="I288" i="21"/>
  <c r="H288" i="21"/>
  <c r="G288" i="21"/>
  <c r="F288" i="21"/>
  <c r="E288" i="21"/>
  <c r="D288" i="21"/>
  <c r="O287" i="21"/>
  <c r="N287" i="21"/>
  <c r="M287" i="21"/>
  <c r="L287" i="21"/>
  <c r="K287" i="21"/>
  <c r="J287" i="21"/>
  <c r="I287" i="21"/>
  <c r="H287" i="21"/>
  <c r="G287" i="21"/>
  <c r="F287" i="21"/>
  <c r="E287" i="21"/>
  <c r="D287" i="21"/>
  <c r="O286" i="21"/>
  <c r="AE286" i="21" s="1"/>
  <c r="N286" i="21"/>
  <c r="AD286" i="21" s="1"/>
  <c r="M286" i="21"/>
  <c r="AC286" i="21" s="1"/>
  <c r="L286" i="21"/>
  <c r="K286" i="21"/>
  <c r="AA286" i="21" s="1"/>
  <c r="J286" i="21"/>
  <c r="Z286" i="21" s="1"/>
  <c r="I286" i="21"/>
  <c r="Y286" i="21" s="1"/>
  <c r="H286" i="21"/>
  <c r="X286" i="21" s="1"/>
  <c r="G286" i="21"/>
  <c r="W286" i="21" s="1"/>
  <c r="F286" i="21"/>
  <c r="V286" i="21" s="1"/>
  <c r="E286" i="21"/>
  <c r="U286" i="21" s="1"/>
  <c r="D286" i="21"/>
  <c r="T286" i="21" s="1"/>
  <c r="O285" i="21"/>
  <c r="AE285" i="21" s="1"/>
  <c r="N285" i="21"/>
  <c r="AD285" i="21" s="1"/>
  <c r="M285" i="21"/>
  <c r="AC285" i="21" s="1"/>
  <c r="L285" i="21"/>
  <c r="K285" i="21"/>
  <c r="AA285" i="21" s="1"/>
  <c r="J285" i="21"/>
  <c r="Z285" i="21" s="1"/>
  <c r="I285" i="21"/>
  <c r="Y285" i="21" s="1"/>
  <c r="H285" i="21"/>
  <c r="X285" i="21" s="1"/>
  <c r="G285" i="21"/>
  <c r="W285" i="21" s="1"/>
  <c r="F285" i="21"/>
  <c r="V285" i="21" s="1"/>
  <c r="E285" i="21"/>
  <c r="U285" i="21" s="1"/>
  <c r="D285" i="21"/>
  <c r="T285" i="21" s="1"/>
  <c r="O284" i="21"/>
  <c r="AE284" i="21" s="1"/>
  <c r="N284" i="21"/>
  <c r="AD284" i="21" s="1"/>
  <c r="M284" i="21"/>
  <c r="AC284" i="21" s="1"/>
  <c r="L284" i="21"/>
  <c r="K284" i="21"/>
  <c r="AA284" i="21" s="1"/>
  <c r="J284" i="21"/>
  <c r="Z284" i="21" s="1"/>
  <c r="I284" i="21"/>
  <c r="Y284" i="21" s="1"/>
  <c r="H284" i="21"/>
  <c r="X284" i="21" s="1"/>
  <c r="G284" i="21"/>
  <c r="W284" i="21" s="1"/>
  <c r="F284" i="21"/>
  <c r="V284" i="21" s="1"/>
  <c r="E284" i="21"/>
  <c r="U284" i="21" s="1"/>
  <c r="D284" i="21"/>
  <c r="T284" i="21" s="1"/>
  <c r="Y283" i="21"/>
  <c r="O283" i="21"/>
  <c r="AE283" i="21" s="1"/>
  <c r="N283" i="21"/>
  <c r="AD283" i="21" s="1"/>
  <c r="M283" i="21"/>
  <c r="AC283" i="21" s="1"/>
  <c r="L283" i="21"/>
  <c r="K283" i="21"/>
  <c r="AA283" i="21" s="1"/>
  <c r="J283" i="21"/>
  <c r="Z283" i="21" s="1"/>
  <c r="I283" i="21"/>
  <c r="H283" i="21"/>
  <c r="X283" i="21" s="1"/>
  <c r="G283" i="21"/>
  <c r="W283" i="21" s="1"/>
  <c r="F283" i="21"/>
  <c r="V283" i="21" s="1"/>
  <c r="E283" i="21"/>
  <c r="U283" i="21" s="1"/>
  <c r="D283" i="21"/>
  <c r="T283" i="21" s="1"/>
  <c r="O282" i="21"/>
  <c r="AE282" i="21" s="1"/>
  <c r="N282" i="21"/>
  <c r="AD282" i="21" s="1"/>
  <c r="M282" i="21"/>
  <c r="AC282" i="21" s="1"/>
  <c r="L282" i="21"/>
  <c r="K282" i="21"/>
  <c r="AA282" i="21" s="1"/>
  <c r="J282" i="21"/>
  <c r="Z282" i="21" s="1"/>
  <c r="I282" i="21"/>
  <c r="Y282" i="21" s="1"/>
  <c r="H282" i="21"/>
  <c r="X282" i="21" s="1"/>
  <c r="G282" i="21"/>
  <c r="W282" i="21" s="1"/>
  <c r="F282" i="21"/>
  <c r="V282" i="21" s="1"/>
  <c r="E282" i="21"/>
  <c r="U282" i="21" s="1"/>
  <c r="D282" i="21"/>
  <c r="T282" i="21" s="1"/>
  <c r="O281" i="21"/>
  <c r="AE281" i="21" s="1"/>
  <c r="N281" i="21"/>
  <c r="AD281" i="21" s="1"/>
  <c r="M281" i="21"/>
  <c r="AC281" i="21" s="1"/>
  <c r="L281" i="21"/>
  <c r="K281" i="21"/>
  <c r="AA281" i="21" s="1"/>
  <c r="J281" i="21"/>
  <c r="Z281" i="21" s="1"/>
  <c r="I281" i="21"/>
  <c r="Y281" i="21" s="1"/>
  <c r="H281" i="21"/>
  <c r="X281" i="21" s="1"/>
  <c r="G281" i="21"/>
  <c r="W281" i="21" s="1"/>
  <c r="F281" i="21"/>
  <c r="V281" i="21" s="1"/>
  <c r="E281" i="21"/>
  <c r="U281" i="21" s="1"/>
  <c r="D281" i="21"/>
  <c r="T281" i="21" s="1"/>
  <c r="O280" i="21"/>
  <c r="AE280" i="21" s="1"/>
  <c r="N280" i="21"/>
  <c r="AD280" i="21" s="1"/>
  <c r="M280" i="21"/>
  <c r="AC280" i="21" s="1"/>
  <c r="L280" i="21"/>
  <c r="K280" i="21"/>
  <c r="AA280" i="21" s="1"/>
  <c r="J280" i="21"/>
  <c r="Z280" i="21" s="1"/>
  <c r="I280" i="21"/>
  <c r="Y280" i="21" s="1"/>
  <c r="H280" i="21"/>
  <c r="X280" i="21" s="1"/>
  <c r="G280" i="21"/>
  <c r="W280" i="21" s="1"/>
  <c r="F280" i="21"/>
  <c r="V280" i="21" s="1"/>
  <c r="E280" i="21"/>
  <c r="U280" i="21" s="1"/>
  <c r="D280" i="21"/>
  <c r="T280" i="21" s="1"/>
  <c r="Y279" i="21"/>
  <c r="O279" i="21"/>
  <c r="AE279" i="21" s="1"/>
  <c r="N279" i="21"/>
  <c r="AD279" i="21" s="1"/>
  <c r="M279" i="21"/>
  <c r="AC279" i="21" s="1"/>
  <c r="L279" i="21"/>
  <c r="K279" i="21"/>
  <c r="AA279" i="21" s="1"/>
  <c r="J279" i="21"/>
  <c r="Z279" i="21" s="1"/>
  <c r="I279" i="21"/>
  <c r="H279" i="21"/>
  <c r="X279" i="21" s="1"/>
  <c r="G279" i="21"/>
  <c r="W279" i="21" s="1"/>
  <c r="F279" i="21"/>
  <c r="V279" i="21" s="1"/>
  <c r="E279" i="21"/>
  <c r="U279" i="21" s="1"/>
  <c r="D279" i="21"/>
  <c r="T279" i="21" s="1"/>
  <c r="AD278" i="21"/>
  <c r="O278" i="21"/>
  <c r="AE278" i="21" s="1"/>
  <c r="N278" i="21"/>
  <c r="M278" i="21"/>
  <c r="AC278" i="21" s="1"/>
  <c r="L278" i="21"/>
  <c r="K278" i="21"/>
  <c r="AA278" i="21" s="1"/>
  <c r="J278" i="21"/>
  <c r="Z278" i="21" s="1"/>
  <c r="I278" i="21"/>
  <c r="Y278" i="21" s="1"/>
  <c r="H278" i="21"/>
  <c r="X278" i="21" s="1"/>
  <c r="G278" i="21"/>
  <c r="W278" i="21" s="1"/>
  <c r="F278" i="21"/>
  <c r="V278" i="21" s="1"/>
  <c r="E278" i="21"/>
  <c r="U278" i="21" s="1"/>
  <c r="D278" i="21"/>
  <c r="T278" i="21" s="1"/>
  <c r="AE277" i="21"/>
  <c r="O277" i="21"/>
  <c r="N277" i="21"/>
  <c r="AD277" i="21" s="1"/>
  <c r="M277" i="21"/>
  <c r="AC277" i="21" s="1"/>
  <c r="L277" i="21"/>
  <c r="K277" i="21"/>
  <c r="AA277" i="21" s="1"/>
  <c r="J277" i="21"/>
  <c r="Z277" i="21" s="1"/>
  <c r="H277" i="21"/>
  <c r="X277" i="21" s="1"/>
  <c r="G277" i="21"/>
  <c r="W277" i="21" s="1"/>
  <c r="F277" i="21"/>
  <c r="V277" i="21" s="1"/>
  <c r="E277" i="21"/>
  <c r="U277" i="21" s="1"/>
  <c r="D277" i="21"/>
  <c r="T277" i="21" s="1"/>
  <c r="W276" i="21"/>
  <c r="O276" i="21"/>
  <c r="AE276" i="21" s="1"/>
  <c r="N276" i="21"/>
  <c r="AD276" i="21" s="1"/>
  <c r="M276" i="21"/>
  <c r="AC276" i="21" s="1"/>
  <c r="L276" i="21"/>
  <c r="AB276" i="21" s="1"/>
  <c r="K276" i="21"/>
  <c r="AA276" i="21" s="1"/>
  <c r="J276" i="21"/>
  <c r="Z276" i="21" s="1"/>
  <c r="I276" i="21"/>
  <c r="Y276" i="21" s="1"/>
  <c r="H276" i="21"/>
  <c r="X276" i="21" s="1"/>
  <c r="G276" i="21"/>
  <c r="F276" i="21"/>
  <c r="V276" i="21" s="1"/>
  <c r="E276" i="21"/>
  <c r="U276" i="21" s="1"/>
  <c r="D276" i="21"/>
  <c r="T276" i="21" s="1"/>
  <c r="O275" i="21"/>
  <c r="AE275" i="21" s="1"/>
  <c r="N275" i="21"/>
  <c r="AD275" i="21" s="1"/>
  <c r="M275" i="21"/>
  <c r="AC275" i="21" s="1"/>
  <c r="L275" i="21"/>
  <c r="K275" i="21"/>
  <c r="AA275" i="21" s="1"/>
  <c r="J275" i="21"/>
  <c r="Z275" i="21" s="1"/>
  <c r="I275" i="21"/>
  <c r="Y275" i="21" s="1"/>
  <c r="H275" i="21"/>
  <c r="X275" i="21" s="1"/>
  <c r="G275" i="21"/>
  <c r="W275" i="21" s="1"/>
  <c r="F275" i="21"/>
  <c r="V275" i="21" s="1"/>
  <c r="E275" i="21"/>
  <c r="U275" i="21" s="1"/>
  <c r="D275" i="21"/>
  <c r="T275" i="21" s="1"/>
  <c r="O274" i="21"/>
  <c r="AE274" i="21" s="1"/>
  <c r="N274" i="21"/>
  <c r="AD274" i="21" s="1"/>
  <c r="M274" i="21"/>
  <c r="AC274" i="21" s="1"/>
  <c r="L274" i="21"/>
  <c r="K274" i="21"/>
  <c r="AA274" i="21" s="1"/>
  <c r="J274" i="21"/>
  <c r="Z274" i="21" s="1"/>
  <c r="I274" i="21"/>
  <c r="Y274" i="21" s="1"/>
  <c r="H274" i="21"/>
  <c r="X274" i="21" s="1"/>
  <c r="G274" i="21"/>
  <c r="W274" i="21" s="1"/>
  <c r="F274" i="21"/>
  <c r="V274" i="21" s="1"/>
  <c r="E274" i="21"/>
  <c r="U274" i="21" s="1"/>
  <c r="D274" i="21"/>
  <c r="T274" i="21" s="1"/>
  <c r="O273" i="21"/>
  <c r="AE273" i="21" s="1"/>
  <c r="N273" i="21"/>
  <c r="AD273" i="21" s="1"/>
  <c r="M273" i="21"/>
  <c r="AC273" i="21" s="1"/>
  <c r="L273" i="21"/>
  <c r="K273" i="21"/>
  <c r="AA273" i="21" s="1"/>
  <c r="J273" i="21"/>
  <c r="Z273" i="21" s="1"/>
  <c r="I273" i="21"/>
  <c r="Y273" i="21" s="1"/>
  <c r="H273" i="21"/>
  <c r="X273" i="21" s="1"/>
  <c r="G273" i="21"/>
  <c r="W273" i="21" s="1"/>
  <c r="F273" i="21"/>
  <c r="V273" i="21" s="1"/>
  <c r="E273" i="21"/>
  <c r="U273" i="21" s="1"/>
  <c r="D273" i="21"/>
  <c r="T273" i="21" s="1"/>
  <c r="O272" i="21"/>
  <c r="AE272" i="21" s="1"/>
  <c r="N272" i="21"/>
  <c r="AD272" i="21" s="1"/>
  <c r="M272" i="21"/>
  <c r="AC272" i="21" s="1"/>
  <c r="L272" i="21"/>
  <c r="K272" i="21"/>
  <c r="AA272" i="21" s="1"/>
  <c r="J272" i="21"/>
  <c r="Z272" i="21" s="1"/>
  <c r="I272" i="21"/>
  <c r="Y272" i="21" s="1"/>
  <c r="H272" i="21"/>
  <c r="X272" i="21" s="1"/>
  <c r="G272" i="21"/>
  <c r="W272" i="21" s="1"/>
  <c r="F272" i="21"/>
  <c r="V272" i="21" s="1"/>
  <c r="E272" i="21"/>
  <c r="U272" i="21" s="1"/>
  <c r="D272" i="21"/>
  <c r="T272" i="21" s="1"/>
  <c r="AA271" i="21"/>
  <c r="O271" i="21"/>
  <c r="AE271" i="21" s="1"/>
  <c r="N271" i="21"/>
  <c r="AD271" i="21" s="1"/>
  <c r="M271" i="21"/>
  <c r="AC271" i="21" s="1"/>
  <c r="L271" i="21"/>
  <c r="K271" i="21"/>
  <c r="J271" i="21"/>
  <c r="Z271" i="21" s="1"/>
  <c r="I271" i="21"/>
  <c r="Y271" i="21" s="1"/>
  <c r="H271" i="21"/>
  <c r="X271" i="21" s="1"/>
  <c r="G271" i="21"/>
  <c r="W271" i="21" s="1"/>
  <c r="F271" i="21"/>
  <c r="V271" i="21" s="1"/>
  <c r="E271" i="21"/>
  <c r="U271" i="21" s="1"/>
  <c r="D271" i="21"/>
  <c r="T271" i="21" s="1"/>
  <c r="AC270" i="21"/>
  <c r="O270" i="21"/>
  <c r="AE270" i="21" s="1"/>
  <c r="N270" i="21"/>
  <c r="AD270" i="21" s="1"/>
  <c r="M270" i="21"/>
  <c r="L270" i="21"/>
  <c r="AB270" i="21" s="1"/>
  <c r="K270" i="21"/>
  <c r="AA270" i="21" s="1"/>
  <c r="J270" i="21"/>
  <c r="Z270" i="21" s="1"/>
  <c r="I270" i="21"/>
  <c r="Y270" i="21" s="1"/>
  <c r="H270" i="21"/>
  <c r="X270" i="21" s="1"/>
  <c r="G270" i="21"/>
  <c r="W270" i="21" s="1"/>
  <c r="F270" i="21"/>
  <c r="V270" i="21" s="1"/>
  <c r="E270" i="21"/>
  <c r="U270" i="21" s="1"/>
  <c r="D270" i="21"/>
  <c r="T270" i="21" s="1"/>
  <c r="O269" i="21"/>
  <c r="AE269" i="21" s="1"/>
  <c r="N269" i="21"/>
  <c r="AD269" i="21" s="1"/>
  <c r="M269" i="21"/>
  <c r="AC269" i="21" s="1"/>
  <c r="L269" i="21"/>
  <c r="K269" i="21"/>
  <c r="AA269" i="21" s="1"/>
  <c r="J269" i="21"/>
  <c r="Z269" i="21" s="1"/>
  <c r="I269" i="21"/>
  <c r="Y269" i="21" s="1"/>
  <c r="H269" i="21"/>
  <c r="X269" i="21" s="1"/>
  <c r="G269" i="21"/>
  <c r="W269" i="21" s="1"/>
  <c r="F269" i="21"/>
  <c r="V269" i="21" s="1"/>
  <c r="E269" i="21"/>
  <c r="U269" i="21" s="1"/>
  <c r="D269" i="21"/>
  <c r="T269" i="21" s="1"/>
  <c r="O268" i="21"/>
  <c r="AE268" i="21" s="1"/>
  <c r="N268" i="21"/>
  <c r="AD268" i="21" s="1"/>
  <c r="M268" i="21"/>
  <c r="AC268" i="21" s="1"/>
  <c r="L268" i="21"/>
  <c r="K268" i="21"/>
  <c r="AA268" i="21" s="1"/>
  <c r="J268" i="21"/>
  <c r="Z268" i="21" s="1"/>
  <c r="I268" i="21"/>
  <c r="Y268" i="21" s="1"/>
  <c r="H268" i="21"/>
  <c r="X268" i="21" s="1"/>
  <c r="G268" i="21"/>
  <c r="W268" i="21" s="1"/>
  <c r="F268" i="21"/>
  <c r="V268" i="21" s="1"/>
  <c r="E268" i="21"/>
  <c r="U268" i="21" s="1"/>
  <c r="D268" i="21"/>
  <c r="T268" i="21" s="1"/>
  <c r="U267" i="21"/>
  <c r="O267" i="21"/>
  <c r="AE267" i="21" s="1"/>
  <c r="N267" i="21"/>
  <c r="AD267" i="21" s="1"/>
  <c r="M267" i="21"/>
  <c r="AC267" i="21" s="1"/>
  <c r="L267" i="21"/>
  <c r="K267" i="21"/>
  <c r="AA267" i="21" s="1"/>
  <c r="J267" i="21"/>
  <c r="Z267" i="21" s="1"/>
  <c r="I267" i="21"/>
  <c r="Y267" i="21" s="1"/>
  <c r="H267" i="21"/>
  <c r="X267" i="21" s="1"/>
  <c r="G267" i="21"/>
  <c r="W267" i="21" s="1"/>
  <c r="F267" i="21"/>
  <c r="V267" i="21" s="1"/>
  <c r="E267" i="21"/>
  <c r="D267" i="21"/>
  <c r="T267" i="21" s="1"/>
  <c r="O266" i="21"/>
  <c r="AE266" i="21" s="1"/>
  <c r="N266" i="21"/>
  <c r="AD266" i="21" s="1"/>
  <c r="M266" i="21"/>
  <c r="AC266" i="21" s="1"/>
  <c r="L266" i="21"/>
  <c r="AB266" i="21" s="1"/>
  <c r="K266" i="21"/>
  <c r="AA266" i="21" s="1"/>
  <c r="J266" i="21"/>
  <c r="Z266" i="21" s="1"/>
  <c r="I266" i="21"/>
  <c r="Y266" i="21" s="1"/>
  <c r="H266" i="21"/>
  <c r="X266" i="21" s="1"/>
  <c r="G266" i="21"/>
  <c r="W266" i="21" s="1"/>
  <c r="F266" i="21"/>
  <c r="V266" i="21" s="1"/>
  <c r="E266" i="21"/>
  <c r="U266" i="21" s="1"/>
  <c r="D266" i="21"/>
  <c r="T266" i="21" s="1"/>
  <c r="O265" i="21"/>
  <c r="AE265" i="21" s="1"/>
  <c r="N265" i="21"/>
  <c r="AD265" i="21" s="1"/>
  <c r="M265" i="21"/>
  <c r="AC265" i="21" s="1"/>
  <c r="L265" i="21"/>
  <c r="K265" i="21"/>
  <c r="AA265" i="21" s="1"/>
  <c r="J265" i="21"/>
  <c r="Z265" i="21" s="1"/>
  <c r="I265" i="21"/>
  <c r="Y265" i="21" s="1"/>
  <c r="H265" i="21"/>
  <c r="X265" i="21" s="1"/>
  <c r="G265" i="21"/>
  <c r="W265" i="21" s="1"/>
  <c r="F265" i="21"/>
  <c r="V265" i="21" s="1"/>
  <c r="E265" i="21"/>
  <c r="U265" i="21" s="1"/>
  <c r="D265" i="21"/>
  <c r="T265" i="21" s="1"/>
  <c r="O264" i="21"/>
  <c r="AE264" i="21" s="1"/>
  <c r="N264" i="21"/>
  <c r="AD264" i="21" s="1"/>
  <c r="M264" i="21"/>
  <c r="AC264" i="21" s="1"/>
  <c r="L264" i="21"/>
  <c r="K264" i="21"/>
  <c r="AA264" i="21" s="1"/>
  <c r="J264" i="21"/>
  <c r="Z264" i="21" s="1"/>
  <c r="I264" i="21"/>
  <c r="Y264" i="21" s="1"/>
  <c r="H264" i="21"/>
  <c r="X264" i="21" s="1"/>
  <c r="G264" i="21"/>
  <c r="W264" i="21" s="1"/>
  <c r="F264" i="21"/>
  <c r="V264" i="21" s="1"/>
  <c r="E264" i="21"/>
  <c r="U264" i="21" s="1"/>
  <c r="D264" i="21"/>
  <c r="T264" i="21" s="1"/>
  <c r="AA263" i="21"/>
  <c r="O263" i="21"/>
  <c r="AE263" i="21" s="1"/>
  <c r="N263" i="21"/>
  <c r="AD263" i="21" s="1"/>
  <c r="M263" i="21"/>
  <c r="AC263" i="21" s="1"/>
  <c r="L263" i="21"/>
  <c r="K263" i="21"/>
  <c r="J263" i="21"/>
  <c r="Z263" i="21" s="1"/>
  <c r="I263" i="21"/>
  <c r="Y263" i="21" s="1"/>
  <c r="H263" i="21"/>
  <c r="X263" i="21" s="1"/>
  <c r="G263" i="21"/>
  <c r="W263" i="21" s="1"/>
  <c r="F263" i="21"/>
  <c r="V263" i="21" s="1"/>
  <c r="E263" i="21"/>
  <c r="U263" i="21" s="1"/>
  <c r="D263" i="21"/>
  <c r="T263" i="21" s="1"/>
  <c r="W262" i="21"/>
  <c r="O262" i="21"/>
  <c r="AE262" i="21" s="1"/>
  <c r="N262" i="21"/>
  <c r="AD262" i="21" s="1"/>
  <c r="M262" i="21"/>
  <c r="AC262" i="21" s="1"/>
  <c r="L262" i="21"/>
  <c r="AB262" i="21" s="1"/>
  <c r="K262" i="21"/>
  <c r="AA262" i="21" s="1"/>
  <c r="J262" i="21"/>
  <c r="Z262" i="21" s="1"/>
  <c r="I262" i="21"/>
  <c r="Y262" i="21" s="1"/>
  <c r="H262" i="21"/>
  <c r="X262" i="21" s="1"/>
  <c r="G262" i="21"/>
  <c r="F262" i="21"/>
  <c r="V262" i="21" s="1"/>
  <c r="E262" i="21"/>
  <c r="U262" i="21" s="1"/>
  <c r="D262" i="21"/>
  <c r="T262" i="21" s="1"/>
  <c r="O261" i="21"/>
  <c r="AE261" i="21" s="1"/>
  <c r="N261" i="21"/>
  <c r="AD261" i="21" s="1"/>
  <c r="M261" i="21"/>
  <c r="AC261" i="21" s="1"/>
  <c r="L261" i="21"/>
  <c r="AB261" i="21" s="1"/>
  <c r="K261" i="21"/>
  <c r="AA261" i="21" s="1"/>
  <c r="J261" i="21"/>
  <c r="Z261" i="21" s="1"/>
  <c r="I261" i="21"/>
  <c r="Y261" i="21" s="1"/>
  <c r="H261" i="21"/>
  <c r="X261" i="21" s="1"/>
  <c r="G261" i="21"/>
  <c r="W261" i="21" s="1"/>
  <c r="F261" i="21"/>
  <c r="V261" i="21" s="1"/>
  <c r="E261" i="21"/>
  <c r="U261" i="21" s="1"/>
  <c r="D261" i="21"/>
  <c r="T261" i="21" s="1"/>
  <c r="O260" i="21"/>
  <c r="AE260" i="21" s="1"/>
  <c r="N260" i="21"/>
  <c r="AD260" i="21" s="1"/>
  <c r="M260" i="21"/>
  <c r="AC260" i="21" s="1"/>
  <c r="L260" i="21"/>
  <c r="K260" i="21"/>
  <c r="AA260" i="21" s="1"/>
  <c r="J260" i="21"/>
  <c r="Z260" i="21" s="1"/>
  <c r="I260" i="21"/>
  <c r="Y260" i="21" s="1"/>
  <c r="H260" i="21"/>
  <c r="X260" i="21" s="1"/>
  <c r="G260" i="21"/>
  <c r="W260" i="21" s="1"/>
  <c r="F260" i="21"/>
  <c r="V260" i="21" s="1"/>
  <c r="E260" i="21"/>
  <c r="U260" i="21" s="1"/>
  <c r="D260" i="21"/>
  <c r="T260" i="21" s="1"/>
  <c r="O259" i="21"/>
  <c r="AE259" i="21" s="1"/>
  <c r="N259" i="21"/>
  <c r="AD259" i="21" s="1"/>
  <c r="M259" i="21"/>
  <c r="AC259" i="21" s="1"/>
  <c r="L259" i="21"/>
  <c r="K259" i="21"/>
  <c r="AA259" i="21" s="1"/>
  <c r="J259" i="21"/>
  <c r="Z259" i="21" s="1"/>
  <c r="I259" i="21"/>
  <c r="Y259" i="21" s="1"/>
  <c r="H259" i="21"/>
  <c r="X259" i="21" s="1"/>
  <c r="G259" i="21"/>
  <c r="W259" i="21" s="1"/>
  <c r="F259" i="21"/>
  <c r="V259" i="21" s="1"/>
  <c r="E259" i="21"/>
  <c r="U259" i="21" s="1"/>
  <c r="D259" i="21"/>
  <c r="T259" i="21" s="1"/>
  <c r="AE258" i="21"/>
  <c r="O258" i="21"/>
  <c r="N258" i="21"/>
  <c r="AD258" i="21" s="1"/>
  <c r="M258" i="21"/>
  <c r="AC258" i="21" s="1"/>
  <c r="L258" i="21"/>
  <c r="K258" i="21"/>
  <c r="AA258" i="21" s="1"/>
  <c r="J258" i="21"/>
  <c r="Z258" i="21" s="1"/>
  <c r="I258" i="21"/>
  <c r="Y258" i="21" s="1"/>
  <c r="H258" i="21"/>
  <c r="X258" i="21" s="1"/>
  <c r="G258" i="21"/>
  <c r="W258" i="21" s="1"/>
  <c r="F258" i="21"/>
  <c r="V258" i="21" s="1"/>
  <c r="E258" i="21"/>
  <c r="U258" i="21" s="1"/>
  <c r="D258" i="21"/>
  <c r="T258" i="21" s="1"/>
  <c r="O257" i="21"/>
  <c r="AE257" i="21" s="1"/>
  <c r="N257" i="21"/>
  <c r="AD257" i="21" s="1"/>
  <c r="M257" i="21"/>
  <c r="AC257" i="21" s="1"/>
  <c r="L257" i="21"/>
  <c r="K257" i="21"/>
  <c r="AA257" i="21" s="1"/>
  <c r="J257" i="21"/>
  <c r="Z257" i="21" s="1"/>
  <c r="I257" i="21"/>
  <c r="Y257" i="21" s="1"/>
  <c r="H257" i="21"/>
  <c r="X257" i="21" s="1"/>
  <c r="G257" i="21"/>
  <c r="W257" i="21" s="1"/>
  <c r="F257" i="21"/>
  <c r="V257" i="21" s="1"/>
  <c r="E257" i="21"/>
  <c r="U257" i="21" s="1"/>
  <c r="D257" i="21"/>
  <c r="T257" i="21" s="1"/>
  <c r="AA223" i="21"/>
  <c r="AA222" i="21"/>
  <c r="AB271" i="21" s="1"/>
  <c r="AA221" i="21"/>
  <c r="AB263" i="21" s="1"/>
  <c r="I218" i="21"/>
  <c r="I277" i="21" s="1"/>
  <c r="Y277" i="21" s="1"/>
  <c r="Z215" i="21"/>
  <c r="Z224" i="21" s="1"/>
  <c r="AD213" i="21"/>
  <c r="V212" i="21"/>
  <c r="AD209" i="21"/>
  <c r="AD216" i="21" s="1"/>
  <c r="AD225" i="21" s="1"/>
  <c r="AC209" i="21"/>
  <c r="AC216" i="21" s="1"/>
  <c r="AC225" i="21" s="1"/>
  <c r="AB209" i="21"/>
  <c r="AB216" i="21" s="1"/>
  <c r="AB225" i="21" s="1"/>
  <c r="AA209" i="21"/>
  <c r="AA216" i="21" s="1"/>
  <c r="AA225" i="21" s="1"/>
  <c r="Z209" i="21"/>
  <c r="Z216" i="21" s="1"/>
  <c r="Z225" i="21" s="1"/>
  <c r="Y209" i="21"/>
  <c r="Y216" i="21" s="1"/>
  <c r="Y225" i="21" s="1"/>
  <c r="X209" i="21"/>
  <c r="X216" i="21" s="1"/>
  <c r="X225" i="21" s="1"/>
  <c r="Y303" i="21" s="1"/>
  <c r="W209" i="21"/>
  <c r="W216" i="21" s="1"/>
  <c r="W225" i="21" s="1"/>
  <c r="V209" i="21"/>
  <c r="V216" i="21" s="1"/>
  <c r="V225" i="21" s="1"/>
  <c r="U209" i="21"/>
  <c r="U216" i="21" s="1"/>
  <c r="U225" i="21" s="1"/>
  <c r="T209" i="21"/>
  <c r="T216" i="21" s="1"/>
  <c r="T225" i="21" s="1"/>
  <c r="S209" i="21"/>
  <c r="S216" i="21" s="1"/>
  <c r="S225" i="21" s="1"/>
  <c r="AD208" i="21"/>
  <c r="AD215" i="21" s="1"/>
  <c r="AD224" i="21" s="1"/>
  <c r="AC208" i="21"/>
  <c r="AC215" i="21" s="1"/>
  <c r="AC224" i="21" s="1"/>
  <c r="AB208" i="21"/>
  <c r="AB215" i="21" s="1"/>
  <c r="AB224" i="21" s="1"/>
  <c r="AA208" i="21"/>
  <c r="AA215" i="21" s="1"/>
  <c r="AA224" i="21" s="1"/>
  <c r="Z208" i="21"/>
  <c r="Y208" i="21"/>
  <c r="Y215" i="21" s="1"/>
  <c r="Y224" i="21" s="1"/>
  <c r="X208" i="21"/>
  <c r="X215" i="21" s="1"/>
  <c r="X224" i="21" s="1"/>
  <c r="Y295" i="21" s="1"/>
  <c r="W208" i="21"/>
  <c r="W215" i="21" s="1"/>
  <c r="W224" i="21" s="1"/>
  <c r="V208" i="21"/>
  <c r="V215" i="21" s="1"/>
  <c r="V224" i="21" s="1"/>
  <c r="U208" i="21"/>
  <c r="U215" i="21" s="1"/>
  <c r="U224" i="21" s="1"/>
  <c r="T208" i="21"/>
  <c r="T215" i="21" s="1"/>
  <c r="T224" i="21" s="1"/>
  <c r="S208" i="21"/>
  <c r="S215" i="21" s="1"/>
  <c r="S224" i="21" s="1"/>
  <c r="AD207" i="21"/>
  <c r="AD214" i="21" s="1"/>
  <c r="AC207" i="21"/>
  <c r="AC214" i="21" s="1"/>
  <c r="AB207" i="21"/>
  <c r="AB214" i="21" s="1"/>
  <c r="AA207" i="21"/>
  <c r="AA214" i="21" s="1"/>
  <c r="Z207" i="21"/>
  <c r="Z214" i="21" s="1"/>
  <c r="Y207" i="21"/>
  <c r="Y214" i="21" s="1"/>
  <c r="W207" i="21"/>
  <c r="W214" i="21" s="1"/>
  <c r="V207" i="21"/>
  <c r="V214" i="21" s="1"/>
  <c r="U207" i="21"/>
  <c r="U214" i="21" s="1"/>
  <c r="T207" i="21"/>
  <c r="T214" i="21" s="1"/>
  <c r="S207" i="21"/>
  <c r="S214" i="21" s="1"/>
  <c r="AD206" i="21"/>
  <c r="AC206" i="21"/>
  <c r="AC213" i="21" s="1"/>
  <c r="AB206" i="21"/>
  <c r="AB213" i="21" s="1"/>
  <c r="AA206" i="21"/>
  <c r="AA213" i="21" s="1"/>
  <c r="Z206" i="21"/>
  <c r="Z213" i="21" s="1"/>
  <c r="Y206" i="21"/>
  <c r="Y213" i="21" s="1"/>
  <c r="X206" i="21"/>
  <c r="X213" i="21" s="1"/>
  <c r="W206" i="21"/>
  <c r="W213" i="21" s="1"/>
  <c r="V206" i="21"/>
  <c r="V213" i="21" s="1"/>
  <c r="U206" i="21"/>
  <c r="U213" i="21" s="1"/>
  <c r="T206" i="21"/>
  <c r="T213" i="21" s="1"/>
  <c r="S206" i="21"/>
  <c r="S213" i="21" s="1"/>
  <c r="AD205" i="21"/>
  <c r="AD212" i="21" s="1"/>
  <c r="AC205" i="21"/>
  <c r="AC212" i="21" s="1"/>
  <c r="AB205" i="21"/>
  <c r="AB212" i="21" s="1"/>
  <c r="AA205" i="21"/>
  <c r="AA212" i="21" s="1"/>
  <c r="Z205" i="21"/>
  <c r="Z212" i="21" s="1"/>
  <c r="Y205" i="21"/>
  <c r="Y212" i="21" s="1"/>
  <c r="X205" i="21"/>
  <c r="X212" i="21" s="1"/>
  <c r="W205" i="21"/>
  <c r="W212" i="21" s="1"/>
  <c r="V205" i="21"/>
  <c r="U205" i="21"/>
  <c r="U212" i="21" s="1"/>
  <c r="T205" i="21"/>
  <c r="T212" i="21" s="1"/>
  <c r="S205" i="21"/>
  <c r="S212" i="21" s="1"/>
  <c r="AP202" i="21"/>
  <c r="AO202" i="21"/>
  <c r="AN202" i="21"/>
  <c r="AM202" i="21"/>
  <c r="AL202" i="21"/>
  <c r="AK202" i="21"/>
  <c r="AJ202" i="21"/>
  <c r="AI202" i="21"/>
  <c r="AH202" i="21"/>
  <c r="AG202" i="21"/>
  <c r="AF202" i="21"/>
  <c r="AE202" i="21"/>
  <c r="AQ202" i="21" s="1"/>
  <c r="AP201" i="21"/>
  <c r="AO201" i="21"/>
  <c r="AN201" i="21"/>
  <c r="AM201" i="21"/>
  <c r="AL201" i="21"/>
  <c r="AK201" i="21"/>
  <c r="AJ201" i="21"/>
  <c r="AI201" i="21"/>
  <c r="AH201" i="21"/>
  <c r="AG201" i="21"/>
  <c r="AF201" i="21"/>
  <c r="AE201" i="21"/>
  <c r="AQ201" i="21" s="1"/>
  <c r="AP200" i="21"/>
  <c r="AO200" i="21"/>
  <c r="AN200" i="21"/>
  <c r="AM200" i="21"/>
  <c r="AL200" i="21"/>
  <c r="AK200" i="21"/>
  <c r="AJ200" i="21"/>
  <c r="AI200" i="21"/>
  <c r="AH200" i="21"/>
  <c r="AG200" i="21"/>
  <c r="AF200" i="21"/>
  <c r="AE200" i="21"/>
  <c r="AQ200" i="21" s="1"/>
  <c r="AP199" i="21"/>
  <c r="AO199" i="21"/>
  <c r="AN199" i="21"/>
  <c r="AM199" i="21"/>
  <c r="AL199" i="21"/>
  <c r="AK199" i="21"/>
  <c r="AJ199" i="21"/>
  <c r="AI199" i="21"/>
  <c r="AH199" i="21"/>
  <c r="AG199" i="21"/>
  <c r="AF199" i="21"/>
  <c r="AE199" i="21"/>
  <c r="AQ199" i="21" s="1"/>
  <c r="AP198" i="21"/>
  <c r="AO198" i="21"/>
  <c r="AN198" i="21"/>
  <c r="AM198" i="21"/>
  <c r="AL198" i="21"/>
  <c r="AK198" i="21"/>
  <c r="AJ198" i="21"/>
  <c r="AI198" i="21"/>
  <c r="AH198" i="21"/>
  <c r="AG198" i="21"/>
  <c r="AF198" i="21"/>
  <c r="AE198" i="21"/>
  <c r="AQ198" i="21" s="1"/>
  <c r="I190" i="21"/>
  <c r="I186" i="21"/>
  <c r="W181" i="21"/>
  <c r="W180" i="21"/>
  <c r="W179" i="21"/>
  <c r="AG178" i="21"/>
  <c r="M192" i="21" s="1"/>
  <c r="AC178" i="21"/>
  <c r="I191" i="21" s="1"/>
  <c r="Y178" i="21"/>
  <c r="E190" i="21" s="1"/>
  <c r="W178" i="21"/>
  <c r="W177" i="21"/>
  <c r="AJ176" i="21"/>
  <c r="AJ178" i="21" s="1"/>
  <c r="AI176" i="21"/>
  <c r="AI178" i="21" s="1"/>
  <c r="O192" i="21" s="1"/>
  <c r="AH176" i="21"/>
  <c r="AH178" i="21" s="1"/>
  <c r="AG176" i="21"/>
  <c r="AF176" i="21"/>
  <c r="AF178" i="21" s="1"/>
  <c r="AE176" i="21"/>
  <c r="AE178" i="21" s="1"/>
  <c r="K192" i="21" s="1"/>
  <c r="AD176" i="21"/>
  <c r="AD178" i="21" s="1"/>
  <c r="AC176" i="21"/>
  <c r="AB176" i="21"/>
  <c r="AB178" i="21" s="1"/>
  <c r="AA176" i="21"/>
  <c r="AA178" i="21" s="1"/>
  <c r="G191" i="21" s="1"/>
  <c r="Z176" i="21"/>
  <c r="Z178" i="21" s="1"/>
  <c r="Y176" i="21"/>
  <c r="W176" i="21"/>
  <c r="AV175" i="21"/>
  <c r="AU175" i="21"/>
  <c r="AT175" i="21"/>
  <c r="AS175" i="21"/>
  <c r="AR175" i="21"/>
  <c r="AQ175" i="21"/>
  <c r="AP175" i="21"/>
  <c r="AO175" i="21"/>
  <c r="AN175" i="21"/>
  <c r="AM175" i="21"/>
  <c r="AL175" i="21"/>
  <c r="AK175" i="21"/>
  <c r="AJ175" i="21"/>
  <c r="AI175" i="21"/>
  <c r="AH175" i="21"/>
  <c r="AG175" i="21"/>
  <c r="AF175" i="21"/>
  <c r="AE175" i="21"/>
  <c r="AD175" i="21"/>
  <c r="AC175" i="21"/>
  <c r="AB175" i="21"/>
  <c r="AA175" i="21"/>
  <c r="Z175" i="21"/>
  <c r="Y175" i="21"/>
  <c r="W175" i="21"/>
  <c r="W174" i="21"/>
  <c r="W173" i="21"/>
  <c r="W172" i="21"/>
  <c r="W171" i="21"/>
  <c r="Q171" i="21"/>
  <c r="W170" i="21"/>
  <c r="Q170" i="21"/>
  <c r="W169" i="21"/>
  <c r="Q169" i="21"/>
  <c r="W168" i="21"/>
  <c r="Q168" i="21"/>
  <c r="Y167" i="21"/>
  <c r="W167" i="21"/>
  <c r="Q167" i="21"/>
  <c r="Y166" i="21"/>
  <c r="W166" i="21"/>
  <c r="Q166" i="21"/>
  <c r="Y165" i="21"/>
  <c r="W165" i="21"/>
  <c r="Q165" i="21"/>
  <c r="Y164" i="21"/>
  <c r="W164" i="21"/>
  <c r="Q164" i="21"/>
  <c r="Y163" i="21"/>
  <c r="W163" i="21"/>
  <c r="Q163" i="21"/>
  <c r="Y162" i="21"/>
  <c r="W162" i="21"/>
  <c r="Y161" i="21"/>
  <c r="W161" i="21"/>
  <c r="Y160" i="21"/>
  <c r="W160" i="21"/>
  <c r="Y159" i="21"/>
  <c r="W159" i="21"/>
  <c r="Z158" i="21"/>
  <c r="Y158" i="21"/>
  <c r="W158" i="21"/>
  <c r="X157" i="21"/>
  <c r="J152" i="21"/>
  <c r="O147" i="21"/>
  <c r="L96" i="21"/>
  <c r="I96" i="21"/>
  <c r="H96" i="21"/>
  <c r="G96" i="21"/>
  <c r="O37" i="21" s="1"/>
  <c r="L95" i="21"/>
  <c r="I95" i="21"/>
  <c r="H95" i="21"/>
  <c r="G95" i="21"/>
  <c r="O22" i="21" s="1"/>
  <c r="L94" i="21"/>
  <c r="I94" i="21"/>
  <c r="H94" i="21"/>
  <c r="G94" i="21"/>
  <c r="O17" i="21" s="1"/>
  <c r="L93" i="21"/>
  <c r="I93" i="21"/>
  <c r="H93" i="21"/>
  <c r="G93" i="21"/>
  <c r="L92" i="21"/>
  <c r="I92" i="21"/>
  <c r="H92" i="21"/>
  <c r="G92" i="21"/>
  <c r="L91" i="21"/>
  <c r="I91" i="21"/>
  <c r="H91" i="21"/>
  <c r="G91" i="21"/>
  <c r="L90" i="21"/>
  <c r="I90" i="21"/>
  <c r="H90" i="21"/>
  <c r="G90" i="21"/>
  <c r="M37" i="21" s="1"/>
  <c r="L89" i="21"/>
  <c r="I89" i="21"/>
  <c r="H89" i="21"/>
  <c r="G89" i="21"/>
  <c r="M27" i="21" s="1"/>
  <c r="L88" i="21"/>
  <c r="I88" i="21"/>
  <c r="H88" i="21"/>
  <c r="G88" i="21"/>
  <c r="M17" i="21" s="1"/>
  <c r="L87" i="21"/>
  <c r="I87" i="21"/>
  <c r="L86" i="21"/>
  <c r="I86" i="21"/>
  <c r="L85" i="21"/>
  <c r="I85" i="21"/>
  <c r="L84" i="21"/>
  <c r="I84" i="21"/>
  <c r="H84" i="21"/>
  <c r="G84" i="21"/>
  <c r="L83" i="21"/>
  <c r="I83" i="21"/>
  <c r="H83" i="21"/>
  <c r="G83" i="21"/>
  <c r="L82" i="21"/>
  <c r="I82" i="21"/>
  <c r="H82" i="21"/>
  <c r="G82" i="21"/>
  <c r="L81" i="21"/>
  <c r="I81" i="21"/>
  <c r="H81" i="21"/>
  <c r="G81" i="21"/>
  <c r="L80" i="21"/>
  <c r="I80" i="21"/>
  <c r="H80" i="21"/>
  <c r="G80" i="21"/>
  <c r="L79" i="21"/>
  <c r="I79" i="21"/>
  <c r="H79" i="21"/>
  <c r="G79" i="21"/>
  <c r="L78" i="21"/>
  <c r="I78" i="21"/>
  <c r="H78" i="21"/>
  <c r="G78" i="21"/>
  <c r="L77" i="21"/>
  <c r="I77" i="21"/>
  <c r="H77" i="21"/>
  <c r="G77" i="21"/>
  <c r="L76" i="21"/>
  <c r="I76" i="21"/>
  <c r="H76" i="21"/>
  <c r="G76" i="21"/>
  <c r="L75" i="21"/>
  <c r="I75" i="21"/>
  <c r="H75" i="21"/>
  <c r="G75" i="21"/>
  <c r="L74" i="21"/>
  <c r="I74" i="21"/>
  <c r="H74" i="21"/>
  <c r="G74" i="21"/>
  <c r="L73" i="21"/>
  <c r="I73" i="21"/>
  <c r="H73" i="21"/>
  <c r="G73" i="21"/>
  <c r="L72" i="21"/>
  <c r="I72" i="21"/>
  <c r="H72" i="21"/>
  <c r="G72" i="21"/>
  <c r="L71" i="21"/>
  <c r="I71" i="21"/>
  <c r="H71" i="21"/>
  <c r="G71" i="21"/>
  <c r="L70" i="21"/>
  <c r="I70" i="21"/>
  <c r="H70" i="21"/>
  <c r="G70" i="21"/>
  <c r="L69" i="21"/>
  <c r="I69" i="21"/>
  <c r="H69" i="21"/>
  <c r="G69" i="21"/>
  <c r="L68" i="21"/>
  <c r="I68" i="21"/>
  <c r="H68" i="21"/>
  <c r="G68" i="21"/>
  <c r="L67" i="21"/>
  <c r="I67" i="21"/>
  <c r="H67" i="21"/>
  <c r="G67" i="21"/>
  <c r="L66" i="21"/>
  <c r="I66" i="21"/>
  <c r="H66" i="21"/>
  <c r="G66" i="21"/>
  <c r="L65" i="21"/>
  <c r="I65" i="21"/>
  <c r="H65" i="21"/>
  <c r="G65" i="21"/>
  <c r="L64" i="21"/>
  <c r="I64" i="21"/>
  <c r="H64" i="21"/>
  <c r="G64" i="21"/>
  <c r="L63" i="21"/>
  <c r="I63" i="21"/>
  <c r="H63" i="21"/>
  <c r="G63" i="21"/>
  <c r="L62" i="21"/>
  <c r="I62" i="21"/>
  <c r="H62" i="21"/>
  <c r="G62" i="21"/>
  <c r="L61" i="21"/>
  <c r="I61" i="21"/>
  <c r="H61" i="21"/>
  <c r="G61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N37" i="21"/>
  <c r="L37" i="21"/>
  <c r="K37" i="21"/>
  <c r="J37" i="21"/>
  <c r="I37" i="21"/>
  <c r="H37" i="21"/>
  <c r="G37" i="21"/>
  <c r="F37" i="21"/>
  <c r="E37" i="21"/>
  <c r="D37" i="21"/>
  <c r="N36" i="21"/>
  <c r="L36" i="21"/>
  <c r="K36" i="21"/>
  <c r="J36" i="21"/>
  <c r="I36" i="21"/>
  <c r="H36" i="21"/>
  <c r="G36" i="21"/>
  <c r="F36" i="21"/>
  <c r="E36" i="21"/>
  <c r="D36" i="21"/>
  <c r="N35" i="21"/>
  <c r="L35" i="21"/>
  <c r="K35" i="21"/>
  <c r="J35" i="21"/>
  <c r="I35" i="21"/>
  <c r="H35" i="21"/>
  <c r="G35" i="21"/>
  <c r="F35" i="21"/>
  <c r="E35" i="21"/>
  <c r="D35" i="21"/>
  <c r="N34" i="21"/>
  <c r="L34" i="21"/>
  <c r="K34" i="21"/>
  <c r="J34" i="21"/>
  <c r="I34" i="21"/>
  <c r="H34" i="21"/>
  <c r="G34" i="21"/>
  <c r="F34" i="21"/>
  <c r="E34" i="21"/>
  <c r="D34" i="21"/>
  <c r="N33" i="21"/>
  <c r="L33" i="21"/>
  <c r="K33" i="21"/>
  <c r="J33" i="21"/>
  <c r="I33" i="21"/>
  <c r="H33" i="21"/>
  <c r="G33" i="21"/>
  <c r="F33" i="21"/>
  <c r="E33" i="21"/>
  <c r="D33" i="21"/>
  <c r="N32" i="21"/>
  <c r="L32" i="21"/>
  <c r="K32" i="21"/>
  <c r="J32" i="21"/>
  <c r="I32" i="21"/>
  <c r="H32" i="21"/>
  <c r="G32" i="21"/>
  <c r="F32" i="21"/>
  <c r="E32" i="21"/>
  <c r="D32" i="21"/>
  <c r="N31" i="21"/>
  <c r="L31" i="21"/>
  <c r="K31" i="21"/>
  <c r="J31" i="21"/>
  <c r="I31" i="21"/>
  <c r="H31" i="21"/>
  <c r="G31" i="21"/>
  <c r="F31" i="21"/>
  <c r="E31" i="21"/>
  <c r="D31" i="21"/>
  <c r="N30" i="21"/>
  <c r="L30" i="21"/>
  <c r="K30" i="21"/>
  <c r="J30" i="21"/>
  <c r="I30" i="21"/>
  <c r="H30" i="21"/>
  <c r="G30" i="21"/>
  <c r="F30" i="21"/>
  <c r="E30" i="21"/>
  <c r="D30" i="21"/>
  <c r="N29" i="21"/>
  <c r="L29" i="21"/>
  <c r="K29" i="21"/>
  <c r="J29" i="21"/>
  <c r="I29" i="21"/>
  <c r="H29" i="21"/>
  <c r="G29" i="21"/>
  <c r="F29" i="21"/>
  <c r="E29" i="21"/>
  <c r="D29" i="21"/>
  <c r="N28" i="21"/>
  <c r="L28" i="21"/>
  <c r="K28" i="21"/>
  <c r="J28" i="21"/>
  <c r="I28" i="21"/>
  <c r="H28" i="21"/>
  <c r="G28" i="21"/>
  <c r="F28" i="21"/>
  <c r="E28" i="21"/>
  <c r="D28" i="21"/>
  <c r="N27" i="21"/>
  <c r="L27" i="21"/>
  <c r="K27" i="21"/>
  <c r="J27" i="21"/>
  <c r="I27" i="21"/>
  <c r="H27" i="21"/>
  <c r="G27" i="21"/>
  <c r="F27" i="21"/>
  <c r="E27" i="21"/>
  <c r="D27" i="21"/>
  <c r="N26" i="21"/>
  <c r="L26" i="21"/>
  <c r="K26" i="21"/>
  <c r="J26" i="21"/>
  <c r="I26" i="21"/>
  <c r="H26" i="21"/>
  <c r="G26" i="21"/>
  <c r="F26" i="21"/>
  <c r="E26" i="21"/>
  <c r="D26" i="21"/>
  <c r="N25" i="21"/>
  <c r="L25" i="21"/>
  <c r="K25" i="21"/>
  <c r="J25" i="21"/>
  <c r="I25" i="21"/>
  <c r="H25" i="21"/>
  <c r="G25" i="21"/>
  <c r="F25" i="21"/>
  <c r="E25" i="21"/>
  <c r="D25" i="21"/>
  <c r="N24" i="21"/>
  <c r="L24" i="21"/>
  <c r="K24" i="21"/>
  <c r="J24" i="21"/>
  <c r="I24" i="21"/>
  <c r="H24" i="21"/>
  <c r="G24" i="21"/>
  <c r="F24" i="21"/>
  <c r="E24" i="21"/>
  <c r="D24" i="21"/>
  <c r="N23" i="21"/>
  <c r="L23" i="21"/>
  <c r="K23" i="21"/>
  <c r="J23" i="21"/>
  <c r="I23" i="21"/>
  <c r="H23" i="21"/>
  <c r="G23" i="21"/>
  <c r="F23" i="21"/>
  <c r="E23" i="21"/>
  <c r="D23" i="21"/>
  <c r="N22" i="21"/>
  <c r="L22" i="21"/>
  <c r="K22" i="21"/>
  <c r="J22" i="21"/>
  <c r="I22" i="21"/>
  <c r="H22" i="21"/>
  <c r="G22" i="21"/>
  <c r="F22" i="21"/>
  <c r="E22" i="21"/>
  <c r="D22" i="21"/>
  <c r="N21" i="21"/>
  <c r="L21" i="21"/>
  <c r="K21" i="21"/>
  <c r="J21" i="21"/>
  <c r="I21" i="21"/>
  <c r="H21" i="21"/>
  <c r="G21" i="21"/>
  <c r="F21" i="21"/>
  <c r="E21" i="21"/>
  <c r="D21" i="21"/>
  <c r="N20" i="21"/>
  <c r="L20" i="21"/>
  <c r="K20" i="21"/>
  <c r="J20" i="21"/>
  <c r="I20" i="21"/>
  <c r="H20" i="21"/>
  <c r="G20" i="21"/>
  <c r="F20" i="21"/>
  <c r="E20" i="21"/>
  <c r="D20" i="21"/>
  <c r="N19" i="21"/>
  <c r="L19" i="21"/>
  <c r="K19" i="21"/>
  <c r="J19" i="21"/>
  <c r="I19" i="21"/>
  <c r="H19" i="21"/>
  <c r="G19" i="21"/>
  <c r="F19" i="21"/>
  <c r="E19" i="21"/>
  <c r="D19" i="21"/>
  <c r="N18" i="21"/>
  <c r="L18" i="21"/>
  <c r="K18" i="21"/>
  <c r="J18" i="21"/>
  <c r="I18" i="21"/>
  <c r="H18" i="21"/>
  <c r="G18" i="21"/>
  <c r="F18" i="21"/>
  <c r="E18" i="21"/>
  <c r="D18" i="21"/>
  <c r="N17" i="21"/>
  <c r="L17" i="21"/>
  <c r="K17" i="21"/>
  <c r="J17" i="21"/>
  <c r="I17" i="21"/>
  <c r="H17" i="21"/>
  <c r="G17" i="21"/>
  <c r="F17" i="21"/>
  <c r="E17" i="21"/>
  <c r="D17" i="21"/>
  <c r="N16" i="21"/>
  <c r="L16" i="21"/>
  <c r="K16" i="21"/>
  <c r="J16" i="21"/>
  <c r="I16" i="21"/>
  <c r="H16" i="21"/>
  <c r="G16" i="21"/>
  <c r="F16" i="21"/>
  <c r="E16" i="21"/>
  <c r="D16" i="21"/>
  <c r="N15" i="21"/>
  <c r="L15" i="21"/>
  <c r="K15" i="21"/>
  <c r="J15" i="21"/>
  <c r="I15" i="21"/>
  <c r="H15" i="21"/>
  <c r="G15" i="21"/>
  <c r="F15" i="21"/>
  <c r="E15" i="21"/>
  <c r="D15" i="21"/>
  <c r="N14" i="21"/>
  <c r="L14" i="21"/>
  <c r="K14" i="21"/>
  <c r="J14" i="21"/>
  <c r="I14" i="21"/>
  <c r="H14" i="21"/>
  <c r="G14" i="21"/>
  <c r="F14" i="21"/>
  <c r="E14" i="21"/>
  <c r="D14" i="21"/>
  <c r="N13" i="21"/>
  <c r="L13" i="21"/>
  <c r="K13" i="21"/>
  <c r="J13" i="21"/>
  <c r="I13" i="21"/>
  <c r="H13" i="21"/>
  <c r="G13" i="21"/>
  <c r="F13" i="21"/>
  <c r="E13" i="21"/>
  <c r="D13" i="21"/>
  <c r="N12" i="21"/>
  <c r="L12" i="21"/>
  <c r="K12" i="21"/>
  <c r="J12" i="21"/>
  <c r="I12" i="21"/>
  <c r="H12" i="21"/>
  <c r="G12" i="21"/>
  <c r="F12" i="21"/>
  <c r="E12" i="21"/>
  <c r="D12" i="21"/>
  <c r="N11" i="21"/>
  <c r="L11" i="21"/>
  <c r="K11" i="21"/>
  <c r="J11" i="21"/>
  <c r="I11" i="21"/>
  <c r="H11" i="21"/>
  <c r="G11" i="21"/>
  <c r="F11" i="21"/>
  <c r="E11" i="21"/>
  <c r="D11" i="21"/>
  <c r="N10" i="21"/>
  <c r="L10" i="21"/>
  <c r="K10" i="21"/>
  <c r="J10" i="21"/>
  <c r="I10" i="21"/>
  <c r="H10" i="21"/>
  <c r="G10" i="21"/>
  <c r="F10" i="21"/>
  <c r="E10" i="21"/>
  <c r="D10" i="21"/>
  <c r="N9" i="21"/>
  <c r="L9" i="21"/>
  <c r="K9" i="21"/>
  <c r="J9" i="21"/>
  <c r="I9" i="21"/>
  <c r="H9" i="21"/>
  <c r="G9" i="21"/>
  <c r="F9" i="21"/>
  <c r="E9" i="21"/>
  <c r="D9" i="21"/>
  <c r="N8" i="21"/>
  <c r="L8" i="21"/>
  <c r="K8" i="21"/>
  <c r="J8" i="21"/>
  <c r="I8" i="21"/>
  <c r="H8" i="21"/>
  <c r="G8" i="21"/>
  <c r="F8" i="21"/>
  <c r="E8" i="21"/>
  <c r="D8" i="21"/>
  <c r="AG71" i="20"/>
  <c r="AF71" i="20"/>
  <c r="AE71" i="20"/>
  <c r="AD71" i="20"/>
  <c r="AC71" i="20"/>
  <c r="AB71" i="20"/>
  <c r="AA71" i="20"/>
  <c r="Z71" i="20"/>
  <c r="Y71" i="20"/>
  <c r="X71" i="20"/>
  <c r="W71" i="20"/>
  <c r="V71" i="20"/>
  <c r="AG70" i="20"/>
  <c r="AF70" i="20"/>
  <c r="AE70" i="20"/>
  <c r="AD70" i="20"/>
  <c r="AC70" i="20"/>
  <c r="AB70" i="20"/>
  <c r="AA70" i="20"/>
  <c r="Z70" i="20"/>
  <c r="Y70" i="20"/>
  <c r="X70" i="20"/>
  <c r="W70" i="20"/>
  <c r="V70" i="20"/>
  <c r="AG69" i="20"/>
  <c r="AF69" i="20"/>
  <c r="AE69" i="20"/>
  <c r="AD69" i="20"/>
  <c r="AC69" i="20"/>
  <c r="AB69" i="20"/>
  <c r="AA69" i="20"/>
  <c r="Z69" i="20"/>
  <c r="Y69" i="20"/>
  <c r="X69" i="20"/>
  <c r="W69" i="20"/>
  <c r="V69" i="20"/>
  <c r="AG68" i="20"/>
  <c r="AF68" i="20"/>
  <c r="AE68" i="20"/>
  <c r="AD68" i="20"/>
  <c r="AC68" i="20"/>
  <c r="AB68" i="20"/>
  <c r="AA68" i="20"/>
  <c r="Z68" i="20"/>
  <c r="Y68" i="20"/>
  <c r="X68" i="20"/>
  <c r="W68" i="20"/>
  <c r="V68" i="20"/>
  <c r="AG67" i="20"/>
  <c r="AF67" i="20"/>
  <c r="AE67" i="20"/>
  <c r="AD67" i="20"/>
  <c r="AC67" i="20"/>
  <c r="AB67" i="20"/>
  <c r="AA67" i="20"/>
  <c r="Z67" i="20"/>
  <c r="Y67" i="20"/>
  <c r="X67" i="20"/>
  <c r="W67" i="20"/>
  <c r="V67" i="20"/>
  <c r="AG66" i="20"/>
  <c r="AF66" i="20"/>
  <c r="AE66" i="20"/>
  <c r="AD66" i="20"/>
  <c r="AC66" i="20"/>
  <c r="AB66" i="20"/>
  <c r="AA66" i="20"/>
  <c r="Z66" i="20"/>
  <c r="Y66" i="20"/>
  <c r="X66" i="20"/>
  <c r="W66" i="20"/>
  <c r="V66" i="20"/>
  <c r="AG65" i="20"/>
  <c r="AF65" i="20"/>
  <c r="AE65" i="20"/>
  <c r="AD65" i="20"/>
  <c r="AC65" i="20"/>
  <c r="AB65" i="20"/>
  <c r="AA65" i="20"/>
  <c r="Z65" i="20"/>
  <c r="Y65" i="20"/>
  <c r="X65" i="20"/>
  <c r="W65" i="20"/>
  <c r="V65" i="20"/>
  <c r="AG64" i="20"/>
  <c r="AF64" i="20"/>
  <c r="AE64" i="20"/>
  <c r="AD64" i="20"/>
  <c r="AC64" i="20"/>
  <c r="AB64" i="20"/>
  <c r="AA64" i="20"/>
  <c r="Z64" i="20"/>
  <c r="Y64" i="20"/>
  <c r="X64" i="20"/>
  <c r="W64" i="20"/>
  <c r="V64" i="20"/>
  <c r="AG63" i="20"/>
  <c r="AF63" i="20"/>
  <c r="AE63" i="20"/>
  <c r="AD63" i="20"/>
  <c r="AC63" i="20"/>
  <c r="AB63" i="20"/>
  <c r="AA63" i="20"/>
  <c r="Z63" i="20"/>
  <c r="Y63" i="20"/>
  <c r="X63" i="20"/>
  <c r="W63" i="20"/>
  <c r="V63" i="20"/>
  <c r="AG62" i="20"/>
  <c r="AF62" i="20"/>
  <c r="AE62" i="20"/>
  <c r="AD62" i="20"/>
  <c r="AC62" i="20"/>
  <c r="AB62" i="20"/>
  <c r="AA62" i="20"/>
  <c r="Z62" i="20"/>
  <c r="Y62" i="20"/>
  <c r="X62" i="20"/>
  <c r="W62" i="20"/>
  <c r="V62" i="20"/>
  <c r="AG61" i="20"/>
  <c r="AF61" i="20"/>
  <c r="AE61" i="20"/>
  <c r="AD61" i="20"/>
  <c r="AC61" i="20"/>
  <c r="AB61" i="20"/>
  <c r="AA61" i="20"/>
  <c r="Z61" i="20"/>
  <c r="Y61" i="20"/>
  <c r="X61" i="20"/>
  <c r="W61" i="20"/>
  <c r="V61" i="20"/>
  <c r="AG60" i="20"/>
  <c r="AF60" i="20"/>
  <c r="AE60" i="20"/>
  <c r="AD60" i="20"/>
  <c r="AC60" i="20"/>
  <c r="AB60" i="20"/>
  <c r="AA60" i="20"/>
  <c r="Z60" i="20"/>
  <c r="Y60" i="20"/>
  <c r="X60" i="20"/>
  <c r="W60" i="20"/>
  <c r="V60" i="20"/>
  <c r="AG59" i="20"/>
  <c r="AF59" i="20"/>
  <c r="AE59" i="20"/>
  <c r="AD59" i="20"/>
  <c r="AC59" i="20"/>
  <c r="AB59" i="20"/>
  <c r="AA59" i="20"/>
  <c r="Z59" i="20"/>
  <c r="Y59" i="20"/>
  <c r="X59" i="20"/>
  <c r="W59" i="20"/>
  <c r="V59" i="20"/>
  <c r="AG58" i="20"/>
  <c r="AF58" i="20"/>
  <c r="AE58" i="20"/>
  <c r="AD58" i="20"/>
  <c r="AC58" i="20"/>
  <c r="AB58" i="20"/>
  <c r="AA58" i="20"/>
  <c r="Z58" i="20"/>
  <c r="Y58" i="20"/>
  <c r="X58" i="20"/>
  <c r="W58" i="20"/>
  <c r="V58" i="20"/>
  <c r="AG57" i="20"/>
  <c r="AF57" i="20"/>
  <c r="AE57" i="20"/>
  <c r="AD57" i="20"/>
  <c r="AC57" i="20"/>
  <c r="AB57" i="20"/>
  <c r="AA57" i="20"/>
  <c r="Z57" i="20"/>
  <c r="Y57" i="20"/>
  <c r="X57" i="20"/>
  <c r="W57" i="20"/>
  <c r="V57" i="20"/>
  <c r="AG56" i="20"/>
  <c r="AF56" i="20"/>
  <c r="AE56" i="20"/>
  <c r="AD56" i="20"/>
  <c r="AC56" i="20"/>
  <c r="AB56" i="20"/>
  <c r="AA56" i="20"/>
  <c r="Z56" i="20"/>
  <c r="Y56" i="20"/>
  <c r="X56" i="20"/>
  <c r="W56" i="20"/>
  <c r="V56" i="20"/>
  <c r="AG55" i="20"/>
  <c r="AF55" i="20"/>
  <c r="AE55" i="20"/>
  <c r="AD55" i="20"/>
  <c r="AC55" i="20"/>
  <c r="AB55" i="20"/>
  <c r="AA55" i="20"/>
  <c r="Z55" i="20"/>
  <c r="Y55" i="20"/>
  <c r="X55" i="20"/>
  <c r="W55" i="20"/>
  <c r="V55" i="20"/>
  <c r="AG54" i="20"/>
  <c r="AF54" i="20"/>
  <c r="AE54" i="20"/>
  <c r="AD54" i="20"/>
  <c r="AC54" i="20"/>
  <c r="AB54" i="20"/>
  <c r="AA54" i="20"/>
  <c r="Z54" i="20"/>
  <c r="Y54" i="20"/>
  <c r="X54" i="20"/>
  <c r="W54" i="20"/>
  <c r="V54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AG51" i="20"/>
  <c r="AF51" i="20"/>
  <c r="AE51" i="20"/>
  <c r="AD51" i="20"/>
  <c r="AC51" i="20"/>
  <c r="AB51" i="20"/>
  <c r="AA51" i="20"/>
  <c r="Z51" i="20"/>
  <c r="Y51" i="20"/>
  <c r="X51" i="20"/>
  <c r="W51" i="20"/>
  <c r="V51" i="20"/>
  <c r="AG50" i="20"/>
  <c r="AF50" i="20"/>
  <c r="AE50" i="20"/>
  <c r="AD50" i="20"/>
  <c r="AC50" i="20"/>
  <c r="AB50" i="20"/>
  <c r="AA50" i="20"/>
  <c r="Z50" i="20"/>
  <c r="Y50" i="20"/>
  <c r="X50" i="20"/>
  <c r="W50" i="20"/>
  <c r="V50" i="20"/>
  <c r="AG49" i="20"/>
  <c r="AF49" i="20"/>
  <c r="AE49" i="20"/>
  <c r="AD49" i="20"/>
  <c r="AC49" i="20"/>
  <c r="AB49" i="20"/>
  <c r="AA49" i="20"/>
  <c r="Z49" i="20"/>
  <c r="Y49" i="20"/>
  <c r="X49" i="20"/>
  <c r="W49" i="20"/>
  <c r="V49" i="20"/>
  <c r="AG48" i="20"/>
  <c r="AF48" i="20"/>
  <c r="AE48" i="20"/>
  <c r="AD48" i="20"/>
  <c r="AC48" i="20"/>
  <c r="AB48" i="20"/>
  <c r="AA48" i="20"/>
  <c r="Z48" i="20"/>
  <c r="Y48" i="20"/>
  <c r="X48" i="20"/>
  <c r="W48" i="20"/>
  <c r="V48" i="20"/>
  <c r="AG47" i="20"/>
  <c r="AF47" i="20"/>
  <c r="AE47" i="20"/>
  <c r="AD47" i="20"/>
  <c r="AC47" i="20"/>
  <c r="AB47" i="20"/>
  <c r="AA47" i="20"/>
  <c r="Z47" i="20"/>
  <c r="Y47" i="20"/>
  <c r="X47" i="20"/>
  <c r="W47" i="20"/>
  <c r="V47" i="20"/>
  <c r="AG46" i="20"/>
  <c r="AF46" i="20"/>
  <c r="AE46" i="20"/>
  <c r="AD46" i="20"/>
  <c r="AC46" i="20"/>
  <c r="AB46" i="20"/>
  <c r="AA46" i="20"/>
  <c r="Z46" i="20"/>
  <c r="Y46" i="20"/>
  <c r="X46" i="20"/>
  <c r="W46" i="20"/>
  <c r="V46" i="20"/>
  <c r="AG45" i="20"/>
  <c r="AF45" i="20"/>
  <c r="AE45" i="20"/>
  <c r="AD45" i="20"/>
  <c r="AC45" i="20"/>
  <c r="AB45" i="20"/>
  <c r="AA45" i="20"/>
  <c r="Z45" i="20"/>
  <c r="Y45" i="20"/>
  <c r="X45" i="20"/>
  <c r="W45" i="20"/>
  <c r="V45" i="20"/>
  <c r="AG44" i="20"/>
  <c r="AF44" i="20"/>
  <c r="AE44" i="20"/>
  <c r="AD44" i="20"/>
  <c r="AC44" i="20"/>
  <c r="AB44" i="20"/>
  <c r="AA44" i="20"/>
  <c r="Z44" i="20"/>
  <c r="Y44" i="20"/>
  <c r="X44" i="20"/>
  <c r="W44" i="20"/>
  <c r="V44" i="20"/>
  <c r="AG43" i="20"/>
  <c r="AF43" i="20"/>
  <c r="AE43" i="20"/>
  <c r="AD43" i="20"/>
  <c r="AC43" i="20"/>
  <c r="AB43" i="20"/>
  <c r="AA43" i="20"/>
  <c r="Z43" i="20"/>
  <c r="Y43" i="20"/>
  <c r="X43" i="20"/>
  <c r="W43" i="20"/>
  <c r="V43" i="20"/>
  <c r="AG42" i="20"/>
  <c r="AF42" i="20"/>
  <c r="AE42" i="20"/>
  <c r="AD42" i="20"/>
  <c r="AC42" i="20"/>
  <c r="AB42" i="20"/>
  <c r="AA42" i="20"/>
  <c r="Z42" i="20"/>
  <c r="Y42" i="20"/>
  <c r="X42" i="20"/>
  <c r="W42" i="20"/>
  <c r="V42" i="20"/>
  <c r="AG41" i="20"/>
  <c r="AF41" i="20"/>
  <c r="AE41" i="20"/>
  <c r="AD41" i="20"/>
  <c r="AC41" i="20"/>
  <c r="AB41" i="20"/>
  <c r="AA41" i="20"/>
  <c r="Z41" i="20"/>
  <c r="Y41" i="20"/>
  <c r="X41" i="20"/>
  <c r="W41" i="20"/>
  <c r="V41" i="20"/>
  <c r="AG40" i="20"/>
  <c r="AF40" i="20"/>
  <c r="AE40" i="20"/>
  <c r="AD40" i="20"/>
  <c r="AC40" i="20"/>
  <c r="AB40" i="20"/>
  <c r="AA40" i="20"/>
  <c r="Z40" i="20"/>
  <c r="Y40" i="20"/>
  <c r="X40" i="20"/>
  <c r="W40" i="20"/>
  <c r="V40" i="20"/>
  <c r="AG39" i="20"/>
  <c r="AF39" i="20"/>
  <c r="AE39" i="20"/>
  <c r="AD39" i="20"/>
  <c r="AC39" i="20"/>
  <c r="AB39" i="20"/>
  <c r="AA39" i="20"/>
  <c r="Z39" i="20"/>
  <c r="Y39" i="20"/>
  <c r="X39" i="20"/>
  <c r="W39" i="20"/>
  <c r="V39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AG35" i="20"/>
  <c r="AF35" i="20"/>
  <c r="AE35" i="20"/>
  <c r="AD35" i="20"/>
  <c r="AC35" i="20"/>
  <c r="AB35" i="20"/>
  <c r="AA35" i="20"/>
  <c r="Z35" i="20"/>
  <c r="Y35" i="20"/>
  <c r="X35" i="20"/>
  <c r="W35" i="20"/>
  <c r="V35" i="20"/>
  <c r="AG34" i="20"/>
  <c r="AF34" i="20"/>
  <c r="AE34" i="20"/>
  <c r="AD34" i="20"/>
  <c r="AC34" i="20"/>
  <c r="AB34" i="20"/>
  <c r="AA34" i="20"/>
  <c r="Z34" i="20"/>
  <c r="Y34" i="20"/>
  <c r="X34" i="20"/>
  <c r="W34" i="20"/>
  <c r="V34" i="20"/>
  <c r="AG33" i="20"/>
  <c r="AF33" i="20"/>
  <c r="AE33" i="20"/>
  <c r="AD33" i="20"/>
  <c r="AC33" i="20"/>
  <c r="AB33" i="20"/>
  <c r="AA33" i="20"/>
  <c r="Z33" i="20"/>
  <c r="Y33" i="20"/>
  <c r="X33" i="20"/>
  <c r="W33" i="20"/>
  <c r="V33" i="20"/>
  <c r="AG32" i="20"/>
  <c r="AF32" i="20"/>
  <c r="AE32" i="20"/>
  <c r="AD32" i="20"/>
  <c r="AC32" i="20"/>
  <c r="AB32" i="20"/>
  <c r="AA32" i="20"/>
  <c r="Z32" i="20"/>
  <c r="Y32" i="20"/>
  <c r="X32" i="20"/>
  <c r="W32" i="20"/>
  <c r="V32" i="20"/>
  <c r="AG31" i="20"/>
  <c r="AF31" i="20"/>
  <c r="AE31" i="20"/>
  <c r="AD31" i="20"/>
  <c r="AC31" i="20"/>
  <c r="AB31" i="20"/>
  <c r="AA31" i="20"/>
  <c r="Z31" i="20"/>
  <c r="Y31" i="20"/>
  <c r="X31" i="20"/>
  <c r="W31" i="20"/>
  <c r="V31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AG26" i="20"/>
  <c r="AF26" i="20"/>
  <c r="AE26" i="20"/>
  <c r="AD26" i="20"/>
  <c r="AC26" i="20"/>
  <c r="AB26" i="20"/>
  <c r="AA26" i="20"/>
  <c r="Z26" i="20"/>
  <c r="Y26" i="20"/>
  <c r="X26" i="20"/>
  <c r="W26" i="20"/>
  <c r="V26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E185" i="21" l="1"/>
  <c r="AC177" i="21"/>
  <c r="E184" i="21"/>
  <c r="I185" i="21"/>
  <c r="M186" i="21"/>
  <c r="E188" i="21"/>
  <c r="I189" i="21"/>
  <c r="M190" i="21"/>
  <c r="E192" i="21"/>
  <c r="X207" i="21"/>
  <c r="X214" i="21" s="1"/>
  <c r="AB259" i="21"/>
  <c r="AB264" i="21"/>
  <c r="AB265" i="21"/>
  <c r="AB272" i="21"/>
  <c r="Y177" i="21"/>
  <c r="M187" i="21"/>
  <c r="AG177" i="21"/>
  <c r="I184" i="21"/>
  <c r="M185" i="21"/>
  <c r="E187" i="21"/>
  <c r="I188" i="21"/>
  <c r="M189" i="21"/>
  <c r="E191" i="21"/>
  <c r="I192" i="21"/>
  <c r="AB257" i="21"/>
  <c r="AB258" i="21"/>
  <c r="E189" i="21"/>
  <c r="M191" i="21"/>
  <c r="M184" i="21"/>
  <c r="E186" i="21"/>
  <c r="I187" i="21"/>
  <c r="M188" i="21"/>
  <c r="AB260" i="21"/>
  <c r="AB268" i="21"/>
  <c r="AB269" i="21"/>
  <c r="V300" i="21"/>
  <c r="Z300" i="21"/>
  <c r="AD300" i="21"/>
  <c r="L192" i="21"/>
  <c r="L191" i="21"/>
  <c r="L190" i="21"/>
  <c r="L189" i="21"/>
  <c r="L188" i="21"/>
  <c r="L187" i="21"/>
  <c r="L186" i="21"/>
  <c r="L185" i="21"/>
  <c r="L184" i="21"/>
  <c r="AF177" i="21"/>
  <c r="F192" i="21"/>
  <c r="F191" i="21"/>
  <c r="F190" i="21"/>
  <c r="F189" i="21"/>
  <c r="F188" i="21"/>
  <c r="F187" i="21"/>
  <c r="F186" i="21"/>
  <c r="F185" i="21"/>
  <c r="F184" i="21"/>
  <c r="Z177" i="21"/>
  <c r="P192" i="21"/>
  <c r="P191" i="21"/>
  <c r="P190" i="21"/>
  <c r="P189" i="21"/>
  <c r="P188" i="21"/>
  <c r="P187" i="21"/>
  <c r="P186" i="21"/>
  <c r="P185" i="21"/>
  <c r="P184" i="21"/>
  <c r="AJ177" i="21"/>
  <c r="AA177" i="21"/>
  <c r="W293" i="21"/>
  <c r="O8" i="21"/>
  <c r="O9" i="21"/>
  <c r="O10" i="21"/>
  <c r="O13" i="21"/>
  <c r="M8" i="21"/>
  <c r="M9" i="21"/>
  <c r="M10" i="21"/>
  <c r="M11" i="21"/>
  <c r="M12" i="21"/>
  <c r="M13" i="21"/>
  <c r="M14" i="21"/>
  <c r="M15" i="21"/>
  <c r="M16" i="21"/>
  <c r="M18" i="21"/>
  <c r="M19" i="21"/>
  <c r="M20" i="21"/>
  <c r="M21" i="21"/>
  <c r="M22" i="21"/>
  <c r="M23" i="21"/>
  <c r="M24" i="21"/>
  <c r="M25" i="21"/>
  <c r="M26" i="21"/>
  <c r="M28" i="21"/>
  <c r="M29" i="21"/>
  <c r="M30" i="21"/>
  <c r="M31" i="21"/>
  <c r="M32" i="21"/>
  <c r="M33" i="21"/>
  <c r="M34" i="21"/>
  <c r="M35" i="21"/>
  <c r="M36" i="21"/>
  <c r="G184" i="21"/>
  <c r="O184" i="21"/>
  <c r="K185" i="21"/>
  <c r="G186" i="21"/>
  <c r="O186" i="21"/>
  <c r="K187" i="21"/>
  <c r="G188" i="21"/>
  <c r="O188" i="21"/>
  <c r="K189" i="21"/>
  <c r="G190" i="21"/>
  <c r="O190" i="21"/>
  <c r="K191" i="21"/>
  <c r="G192" i="21"/>
  <c r="Y287" i="21"/>
  <c r="Y299" i="21"/>
  <c r="U301" i="21"/>
  <c r="Y301" i="21"/>
  <c r="AC301" i="21"/>
  <c r="Y302" i="21"/>
  <c r="AC302" i="21"/>
  <c r="AI177" i="21"/>
  <c r="AE293" i="21"/>
  <c r="O12" i="21"/>
  <c r="O15" i="21"/>
  <c r="O16" i="21"/>
  <c r="O18" i="21"/>
  <c r="O20" i="21"/>
  <c r="O21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N192" i="21"/>
  <c r="N191" i="21"/>
  <c r="N190" i="21"/>
  <c r="N189" i="21"/>
  <c r="N188" i="21"/>
  <c r="N187" i="21"/>
  <c r="N186" i="21"/>
  <c r="N185" i="21"/>
  <c r="N184" i="21"/>
  <c r="AH177" i="21"/>
  <c r="K184" i="21"/>
  <c r="G185" i="21"/>
  <c r="O185" i="21"/>
  <c r="K186" i="21"/>
  <c r="G187" i="21"/>
  <c r="O187" i="21"/>
  <c r="K188" i="21"/>
  <c r="G189" i="21"/>
  <c r="O189" i="21"/>
  <c r="K190" i="21"/>
  <c r="O191" i="21"/>
  <c r="U296" i="21"/>
  <c r="U292" i="21"/>
  <c r="U288" i="21"/>
  <c r="U290" i="21"/>
  <c r="U294" i="21"/>
  <c r="AC288" i="21"/>
  <c r="AC296" i="21"/>
  <c r="U304" i="21"/>
  <c r="U300" i="21"/>
  <c r="U306" i="21"/>
  <c r="U302" i="21"/>
  <c r="AC300" i="21"/>
  <c r="AC304" i="21"/>
  <c r="U291" i="21"/>
  <c r="Y291" i="21"/>
  <c r="AC291" i="21"/>
  <c r="T298" i="21"/>
  <c r="X298" i="21"/>
  <c r="AB298" i="21"/>
  <c r="U298" i="21"/>
  <c r="H192" i="21"/>
  <c r="H191" i="21"/>
  <c r="H190" i="21"/>
  <c r="H189" i="21"/>
  <c r="H188" i="21"/>
  <c r="H187" i="21"/>
  <c r="H186" i="21"/>
  <c r="H185" i="21"/>
  <c r="H184" i="21"/>
  <c r="AB177" i="21"/>
  <c r="AA293" i="21"/>
  <c r="O11" i="21"/>
  <c r="O14" i="21"/>
  <c r="O19" i="21"/>
  <c r="AE177" i="21"/>
  <c r="J192" i="21"/>
  <c r="J191" i="21"/>
  <c r="J190" i="21"/>
  <c r="J189" i="21"/>
  <c r="J188" i="21"/>
  <c r="J187" i="21"/>
  <c r="J186" i="21"/>
  <c r="J185" i="21"/>
  <c r="J184" i="21"/>
  <c r="AD177" i="21"/>
  <c r="Y296" i="21"/>
  <c r="AB282" i="21"/>
  <c r="AB286" i="21"/>
  <c r="V288" i="21"/>
  <c r="Z288" i="21"/>
  <c r="AD288" i="21"/>
  <c r="U289" i="21"/>
  <c r="Y289" i="21"/>
  <c r="AC289" i="21"/>
  <c r="Y290" i="21"/>
  <c r="AC290" i="21"/>
  <c r="U295" i="21"/>
  <c r="AC295" i="21"/>
  <c r="W297" i="21"/>
  <c r="AA297" i="21"/>
  <c r="AE297" i="21"/>
  <c r="Y300" i="21"/>
  <c r="T302" i="21"/>
  <c r="X302" i="21"/>
  <c r="AB302" i="21"/>
  <c r="V304" i="21"/>
  <c r="Z304" i="21"/>
  <c r="AD304" i="21"/>
  <c r="U305" i="21"/>
  <c r="Y305" i="21"/>
  <c r="AC305" i="21"/>
  <c r="Y306" i="21"/>
  <c r="AC306" i="21"/>
  <c r="AB267" i="21"/>
  <c r="AB273" i="21"/>
  <c r="AB275" i="21"/>
  <c r="U287" i="21"/>
  <c r="AC287" i="21"/>
  <c r="W289" i="21"/>
  <c r="AA289" i="21"/>
  <c r="AE289" i="21"/>
  <c r="Y292" i="21"/>
  <c r="T294" i="21"/>
  <c r="X294" i="21"/>
  <c r="AB294" i="21"/>
  <c r="V296" i="21"/>
  <c r="Z296" i="21"/>
  <c r="AD296" i="21"/>
  <c r="U297" i="21"/>
  <c r="Y297" i="21"/>
  <c r="AC297" i="21"/>
  <c r="Y298" i="21"/>
  <c r="AC298" i="21"/>
  <c r="U303" i="21"/>
  <c r="AC303" i="21"/>
  <c r="W305" i="21"/>
  <c r="AA305" i="21"/>
  <c r="AE305" i="21"/>
  <c r="AB274" i="21"/>
  <c r="AB277" i="21"/>
  <c r="Y288" i="21"/>
  <c r="T290" i="21"/>
  <c r="X290" i="21"/>
  <c r="AB290" i="21"/>
  <c r="V292" i="21"/>
  <c r="Z292" i="21"/>
  <c r="AD292" i="21"/>
  <c r="U293" i="21"/>
  <c r="Y293" i="21"/>
  <c r="AC293" i="21"/>
  <c r="Y294" i="21"/>
  <c r="AC294" i="21"/>
  <c r="U299" i="21"/>
  <c r="AC299" i="21"/>
  <c r="W301" i="21"/>
  <c r="AA301" i="21"/>
  <c r="AE301" i="21"/>
  <c r="Y304" i="21"/>
  <c r="T306" i="21"/>
  <c r="X306" i="21"/>
  <c r="AB306" i="21"/>
  <c r="AB279" i="21"/>
  <c r="AB283" i="21"/>
  <c r="T287" i="21"/>
  <c r="X287" i="21"/>
  <c r="AB287" i="21"/>
  <c r="V289" i="21"/>
  <c r="Z289" i="21"/>
  <c r="AD289" i="21"/>
  <c r="W290" i="21"/>
  <c r="AA290" i="21"/>
  <c r="AE290" i="21"/>
  <c r="T291" i="21"/>
  <c r="X291" i="21"/>
  <c r="AB291" i="21"/>
  <c r="V293" i="21"/>
  <c r="Z293" i="21"/>
  <c r="AD293" i="21"/>
  <c r="W294" i="21"/>
  <c r="AA294" i="21"/>
  <c r="AE294" i="21"/>
  <c r="T295" i="21"/>
  <c r="X295" i="21"/>
  <c r="AB295" i="21"/>
  <c r="V297" i="21"/>
  <c r="Z297" i="21"/>
  <c r="AD297" i="21"/>
  <c r="W298" i="21"/>
  <c r="AA298" i="21"/>
  <c r="AE298" i="21"/>
  <c r="T299" i="21"/>
  <c r="X299" i="21"/>
  <c r="AB299" i="21"/>
  <c r="V301" i="21"/>
  <c r="Z301" i="21"/>
  <c r="AD301" i="21"/>
  <c r="W302" i="21"/>
  <c r="AA302" i="21"/>
  <c r="AE302" i="21"/>
  <c r="T303" i="21"/>
  <c r="X303" i="21"/>
  <c r="AB303" i="21"/>
  <c r="V305" i="21"/>
  <c r="Z305" i="21"/>
  <c r="AD305" i="21"/>
  <c r="W306" i="21"/>
  <c r="AA306" i="21"/>
  <c r="AE306" i="21"/>
  <c r="AB278" i="21"/>
  <c r="AB281" i="21"/>
  <c r="AB285" i="21"/>
  <c r="V287" i="21"/>
  <c r="Z287" i="21"/>
  <c r="AD287" i="21"/>
  <c r="W288" i="21"/>
  <c r="AA288" i="21"/>
  <c r="AE288" i="21"/>
  <c r="T289" i="21"/>
  <c r="X289" i="21"/>
  <c r="AB289" i="21"/>
  <c r="V291" i="21"/>
  <c r="Z291" i="21"/>
  <c r="AD291" i="21"/>
  <c r="W292" i="21"/>
  <c r="AA292" i="21"/>
  <c r="AE292" i="21"/>
  <c r="T293" i="21"/>
  <c r="X293" i="21"/>
  <c r="AB293" i="21"/>
  <c r="V295" i="21"/>
  <c r="Z295" i="21"/>
  <c r="AD295" i="21"/>
  <c r="W296" i="21"/>
  <c r="AA296" i="21"/>
  <c r="AE296" i="21"/>
  <c r="T297" i="21"/>
  <c r="X297" i="21"/>
  <c r="AB297" i="21"/>
  <c r="V299" i="21"/>
  <c r="Z299" i="21"/>
  <c r="AD299" i="21"/>
  <c r="W300" i="21"/>
  <c r="AA300" i="21"/>
  <c r="AE300" i="21"/>
  <c r="T301" i="21"/>
  <c r="X301" i="21"/>
  <c r="AB301" i="21"/>
  <c r="V303" i="21"/>
  <c r="Z303" i="21"/>
  <c r="AD303" i="21"/>
  <c r="W304" i="21"/>
  <c r="AA304" i="21"/>
  <c r="AE304" i="21"/>
  <c r="T305" i="21"/>
  <c r="X305" i="21"/>
  <c r="AB305" i="21"/>
  <c r="AB280" i="21"/>
  <c r="AB284" i="21"/>
  <c r="W287" i="21"/>
  <c r="AA287" i="21"/>
  <c r="AE287" i="21"/>
  <c r="T288" i="21"/>
  <c r="X288" i="21"/>
  <c r="AB288" i="21"/>
  <c r="V290" i="21"/>
  <c r="Z290" i="21"/>
  <c r="AD290" i="21"/>
  <c r="W291" i="21"/>
  <c r="AA291" i="21"/>
  <c r="AE291" i="21"/>
  <c r="T292" i="21"/>
  <c r="X292" i="21"/>
  <c r="AB292" i="21"/>
  <c r="V294" i="21"/>
  <c r="Z294" i="21"/>
  <c r="AD294" i="21"/>
  <c r="W295" i="21"/>
  <c r="AA295" i="21"/>
  <c r="AE295" i="21"/>
  <c r="T296" i="21"/>
  <c r="X296" i="21"/>
  <c r="AB296" i="21"/>
  <c r="V298" i="21"/>
  <c r="Z298" i="21"/>
  <c r="AD298" i="21"/>
  <c r="W299" i="21"/>
  <c r="AA299" i="21"/>
  <c r="AE299" i="21"/>
  <c r="T300" i="21"/>
  <c r="X300" i="21"/>
  <c r="AB300" i="21"/>
  <c r="V302" i="21"/>
  <c r="Z302" i="21"/>
  <c r="AD302" i="21"/>
  <c r="W303" i="21"/>
  <c r="AA303" i="21"/>
  <c r="AE303" i="21"/>
  <c r="T304" i="21"/>
  <c r="X304" i="21"/>
  <c r="AB304" i="21"/>
  <c r="V306" i="21"/>
  <c r="Z306" i="21"/>
  <c r="AD306" i="21"/>
  <c r="S42" i="7" l="1"/>
  <c r="AA42" i="7" s="1"/>
  <c r="F98" i="19" l="1"/>
  <c r="F97" i="19"/>
  <c r="F96" i="19"/>
  <c r="F95" i="19"/>
  <c r="F94" i="19"/>
  <c r="F93" i="19"/>
  <c r="F92" i="19"/>
  <c r="F91" i="19"/>
  <c r="F90" i="19"/>
  <c r="F89" i="19"/>
  <c r="F88" i="19"/>
  <c r="F87" i="19"/>
  <c r="AD7" i="7" l="1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" i="7"/>
  <c r="AF42" i="7" l="1"/>
  <c r="S19" i="7"/>
  <c r="S17" i="7"/>
  <c r="AF19" i="7" l="1"/>
  <c r="AA19" i="7"/>
  <c r="AF17" i="7"/>
  <c r="AA17" i="7"/>
  <c r="Q26" i="7"/>
  <c r="Q27" i="7"/>
  <c r="Q28" i="7"/>
  <c r="Q29" i="7"/>
  <c r="Q30" i="7"/>
  <c r="P28" i="7"/>
  <c r="P29" i="7"/>
  <c r="P30" i="7"/>
  <c r="P27" i="7"/>
  <c r="P26" i="7"/>
  <c r="L7" i="7" l="1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" i="7"/>
  <c r="K51" i="17"/>
  <c r="J51" i="17"/>
  <c r="I51" i="17"/>
  <c r="H51" i="17"/>
  <c r="G51" i="17"/>
  <c r="BD21" i="7" l="1"/>
  <c r="BD22" i="7"/>
  <c r="BD23" i="7"/>
  <c r="BD24" i="7"/>
  <c r="BD25" i="7"/>
  <c r="G29" i="17" l="1"/>
  <c r="H29" i="17"/>
  <c r="J29" i="17"/>
  <c r="K29" i="17"/>
  <c r="L29" i="17"/>
  <c r="M29" i="17"/>
  <c r="N29" i="17"/>
  <c r="O29" i="17"/>
  <c r="P29" i="17"/>
  <c r="Q29" i="17"/>
  <c r="F29" i="17"/>
  <c r="K25" i="17" l="1"/>
  <c r="M25" i="17"/>
  <c r="N25" i="17"/>
  <c r="O25" i="17"/>
  <c r="P25" i="17"/>
  <c r="Q25" i="17"/>
  <c r="G17" i="17" l="1"/>
  <c r="H17" i="17"/>
  <c r="I17" i="17"/>
  <c r="J17" i="17"/>
  <c r="K17" i="17"/>
  <c r="L17" i="17"/>
  <c r="M17" i="17"/>
  <c r="N17" i="17"/>
  <c r="O17" i="17"/>
  <c r="P17" i="17"/>
  <c r="Q17" i="17"/>
  <c r="F17" i="17"/>
  <c r="G9" i="17"/>
  <c r="H9" i="17"/>
  <c r="I9" i="17"/>
  <c r="J9" i="17"/>
  <c r="K9" i="17"/>
  <c r="L9" i="17"/>
  <c r="M9" i="17"/>
  <c r="N9" i="17"/>
  <c r="O9" i="17"/>
  <c r="P9" i="17"/>
  <c r="Q9" i="17"/>
  <c r="F9" i="17"/>
  <c r="AX7" i="7" l="1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48" i="7"/>
  <c r="AX49" i="7"/>
  <c r="AX50" i="7"/>
  <c r="AX51" i="7"/>
  <c r="AX52" i="7"/>
  <c r="AX53" i="7"/>
  <c r="AX54" i="7"/>
  <c r="AX55" i="7"/>
  <c r="AX56" i="7"/>
  <c r="AX57" i="7"/>
  <c r="AX58" i="7"/>
  <c r="AX59" i="7"/>
  <c r="AX60" i="7"/>
  <c r="AX61" i="7"/>
  <c r="AX62" i="7"/>
  <c r="AX63" i="7"/>
  <c r="AX64" i="7"/>
  <c r="AX65" i="7"/>
  <c r="AX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" i="7"/>
  <c r="S37" i="7" l="1"/>
  <c r="AF37" i="7" l="1"/>
  <c r="AA37" i="7"/>
  <c r="AH37" i="7"/>
  <c r="AN37" i="7" s="1"/>
  <c r="AQ37" i="7"/>
  <c r="AR37" i="7"/>
  <c r="G21" i="17"/>
  <c r="G25" i="17" s="1"/>
  <c r="H21" i="17"/>
  <c r="H25" i="17" s="1"/>
  <c r="I21" i="17"/>
  <c r="I25" i="17" s="1"/>
  <c r="J21" i="17"/>
  <c r="J25" i="17" s="1"/>
  <c r="L21" i="17"/>
  <c r="L25" i="17" s="1"/>
  <c r="F21" i="17"/>
  <c r="F25" i="17" s="1"/>
  <c r="Q20" i="17"/>
  <c r="G20" i="17"/>
  <c r="H20" i="17"/>
  <c r="I20" i="17"/>
  <c r="J20" i="17"/>
  <c r="K20" i="17"/>
  <c r="L20" i="17"/>
  <c r="M20" i="17"/>
  <c r="N20" i="17"/>
  <c r="O20" i="17"/>
  <c r="P20" i="17"/>
  <c r="F20" i="17"/>
  <c r="AT37" i="7" l="1"/>
  <c r="AS37" i="7"/>
  <c r="S60" i="7" l="1"/>
  <c r="AF60" i="7" s="1"/>
  <c r="S61" i="7"/>
  <c r="AF61" i="7" s="1"/>
  <c r="S62" i="7"/>
  <c r="AF62" i="7" s="1"/>
  <c r="S63" i="7"/>
  <c r="AF63" i="7" s="1"/>
  <c r="S64" i="7"/>
  <c r="AF64" i="7" s="1"/>
  <c r="S65" i="7"/>
  <c r="AF65" i="7" s="1"/>
  <c r="S54" i="7"/>
  <c r="S55" i="7"/>
  <c r="S56" i="7"/>
  <c r="S57" i="7"/>
  <c r="AF57" i="7" s="1"/>
  <c r="S58" i="7"/>
  <c r="AF58" i="7" s="1"/>
  <c r="S59" i="7"/>
  <c r="AF59" i="7" s="1"/>
  <c r="S53" i="7"/>
  <c r="S52" i="7"/>
  <c r="S51" i="7"/>
  <c r="S45" i="7"/>
  <c r="S46" i="7"/>
  <c r="S47" i="7"/>
  <c r="S48" i="7"/>
  <c r="S49" i="7"/>
  <c r="S50" i="7"/>
  <c r="S44" i="7"/>
  <c r="S39" i="7"/>
  <c r="S40" i="7"/>
  <c r="S41" i="7"/>
  <c r="S38" i="7"/>
  <c r="S43" i="7"/>
  <c r="S31" i="7"/>
  <c r="S32" i="7"/>
  <c r="S33" i="7"/>
  <c r="S34" i="7"/>
  <c r="S35" i="7"/>
  <c r="S36" i="7"/>
  <c r="S21" i="7"/>
  <c r="S22" i="7"/>
  <c r="S23" i="7"/>
  <c r="S24" i="7"/>
  <c r="S25" i="7"/>
  <c r="S26" i="7"/>
  <c r="S27" i="7"/>
  <c r="S28" i="7"/>
  <c r="S29" i="7"/>
  <c r="S30" i="7"/>
  <c r="S20" i="7"/>
  <c r="S18" i="7"/>
  <c r="S15" i="7"/>
  <c r="S16" i="7"/>
  <c r="S14" i="7"/>
  <c r="S7" i="7"/>
  <c r="S8" i="7"/>
  <c r="S9" i="7"/>
  <c r="S10" i="7"/>
  <c r="S11" i="7"/>
  <c r="S12" i="7"/>
  <c r="S13" i="7"/>
  <c r="S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6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31" i="7"/>
  <c r="P32" i="7"/>
  <c r="P33" i="7"/>
  <c r="P34" i="7"/>
  <c r="P35" i="7"/>
  <c r="P36" i="7"/>
  <c r="P37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6" i="7"/>
  <c r="AF22" i="7" l="1"/>
  <c r="AA22" i="7"/>
  <c r="AF43" i="7"/>
  <c r="AA43" i="7"/>
  <c r="AF48" i="7"/>
  <c r="AA48" i="7"/>
  <c r="AF54" i="7"/>
  <c r="AA54" i="7"/>
  <c r="AF8" i="7"/>
  <c r="AA8" i="7"/>
  <c r="AF29" i="7"/>
  <c r="AA29" i="7"/>
  <c r="AF21" i="7"/>
  <c r="AA21" i="7"/>
  <c r="AF38" i="7"/>
  <c r="AA38" i="7"/>
  <c r="AF47" i="7"/>
  <c r="AA47" i="7"/>
  <c r="AF6" i="7"/>
  <c r="AA6" i="7"/>
  <c r="AF10" i="7"/>
  <c r="AA10" i="7"/>
  <c r="AF14" i="7"/>
  <c r="AA14" i="7"/>
  <c r="AF20" i="7"/>
  <c r="AA20" i="7"/>
  <c r="AF27" i="7"/>
  <c r="AA27" i="7"/>
  <c r="AF23" i="7"/>
  <c r="AA23" i="7"/>
  <c r="AF35" i="7"/>
  <c r="AA35" i="7"/>
  <c r="AF31" i="7"/>
  <c r="AA31" i="7"/>
  <c r="AF40" i="7"/>
  <c r="AA40" i="7"/>
  <c r="AF49" i="7"/>
  <c r="AA49" i="7"/>
  <c r="AF45" i="7"/>
  <c r="AA45" i="7"/>
  <c r="AF55" i="7"/>
  <c r="AA55" i="7"/>
  <c r="AF13" i="7"/>
  <c r="AA13" i="7"/>
  <c r="AF9" i="7"/>
  <c r="AA9" i="7"/>
  <c r="AF16" i="7"/>
  <c r="AA16" i="7"/>
  <c r="AF30" i="7"/>
  <c r="AA30" i="7"/>
  <c r="AF26" i="7"/>
  <c r="AA26" i="7"/>
  <c r="AF34" i="7"/>
  <c r="AA34" i="7"/>
  <c r="AF39" i="7"/>
  <c r="AA39" i="7"/>
  <c r="AF51" i="7"/>
  <c r="AA51" i="7"/>
  <c r="AF12" i="7"/>
  <c r="AA12" i="7"/>
  <c r="AF15" i="7"/>
  <c r="AA15" i="7"/>
  <c r="AF25" i="7"/>
  <c r="AA25" i="7"/>
  <c r="AF33" i="7"/>
  <c r="AA33" i="7"/>
  <c r="AF44" i="7"/>
  <c r="AA44" i="7"/>
  <c r="AF52" i="7"/>
  <c r="AA52" i="7"/>
  <c r="AF11" i="7"/>
  <c r="AA11" i="7"/>
  <c r="AF7" i="7"/>
  <c r="AA7" i="7"/>
  <c r="AF18" i="7"/>
  <c r="AA18" i="7"/>
  <c r="AF28" i="7"/>
  <c r="AA28" i="7"/>
  <c r="AF24" i="7"/>
  <c r="AA24" i="7"/>
  <c r="AF36" i="7"/>
  <c r="AA36" i="7"/>
  <c r="AF32" i="7"/>
  <c r="AA32" i="7"/>
  <c r="AF41" i="7"/>
  <c r="AA41" i="7"/>
  <c r="AF50" i="7"/>
  <c r="AA50" i="7"/>
  <c r="AF46" i="7"/>
  <c r="AA46" i="7"/>
  <c r="AF53" i="7"/>
  <c r="AA53" i="7"/>
  <c r="AF56" i="7"/>
  <c r="AA56" i="7"/>
  <c r="AH17" i="7"/>
  <c r="AN17" i="7" s="1"/>
  <c r="AQ17" i="7"/>
  <c r="AR17" i="7"/>
  <c r="AR42" i="7"/>
  <c r="AQ42" i="7"/>
  <c r="AH42" i="7"/>
  <c r="AN42" i="7" s="1"/>
  <c r="AR43" i="7"/>
  <c r="AH43" i="7"/>
  <c r="AN43" i="7" s="1"/>
  <c r="AQ43" i="7"/>
  <c r="AR51" i="7"/>
  <c r="AQ51" i="7"/>
  <c r="AH51" i="7"/>
  <c r="AN51" i="7" s="1"/>
  <c r="AH11" i="7"/>
  <c r="AN11" i="7" s="1"/>
  <c r="AQ11" i="7"/>
  <c r="AR11" i="7"/>
  <c r="AH7" i="7"/>
  <c r="AN7" i="7" s="1"/>
  <c r="AQ7" i="7"/>
  <c r="AR7" i="7"/>
  <c r="AH30" i="7"/>
  <c r="AN30" i="7" s="1"/>
  <c r="AQ30" i="7"/>
  <c r="AR30" i="7"/>
  <c r="AH26" i="7"/>
  <c r="AN26" i="7" s="1"/>
  <c r="AQ26" i="7"/>
  <c r="AR26" i="7"/>
  <c r="AH22" i="7"/>
  <c r="AN22" i="7" s="1"/>
  <c r="AQ22" i="7"/>
  <c r="AR22" i="7"/>
  <c r="AH34" i="7"/>
  <c r="AN34" i="7" s="1"/>
  <c r="AQ34" i="7"/>
  <c r="AR34" i="7"/>
  <c r="AQ40" i="7"/>
  <c r="AR40" i="7"/>
  <c r="AH40" i="7"/>
  <c r="AN40" i="7" s="1"/>
  <c r="AQ49" i="7"/>
  <c r="AR49" i="7"/>
  <c r="AH49" i="7"/>
  <c r="AN49" i="7" s="1"/>
  <c r="AQ45" i="7"/>
  <c r="AR45" i="7"/>
  <c r="AH45" i="7"/>
  <c r="AN45" i="7" s="1"/>
  <c r="AH59" i="7"/>
  <c r="AN59" i="7" s="1"/>
  <c r="AQ59" i="7"/>
  <c r="AR59" i="7"/>
  <c r="AH55" i="7"/>
  <c r="AN55" i="7" s="1"/>
  <c r="AQ55" i="7"/>
  <c r="AR55" i="7"/>
  <c r="AH63" i="7"/>
  <c r="AN63" i="7" s="1"/>
  <c r="AQ63" i="7"/>
  <c r="AR63" i="7"/>
  <c r="AQ10" i="7"/>
  <c r="AR10" i="7"/>
  <c r="AH10" i="7"/>
  <c r="AN10" i="7" s="1"/>
  <c r="AR18" i="7"/>
  <c r="AH18" i="7"/>
  <c r="AN18" i="7" s="1"/>
  <c r="AQ18" i="7"/>
  <c r="AQ29" i="7"/>
  <c r="AR29" i="7"/>
  <c r="AH29" i="7"/>
  <c r="AN29" i="7" s="1"/>
  <c r="AQ25" i="7"/>
  <c r="AR25" i="7"/>
  <c r="AH25" i="7"/>
  <c r="AN25" i="7" s="1"/>
  <c r="AQ21" i="7"/>
  <c r="AR21" i="7"/>
  <c r="AH21" i="7"/>
  <c r="AN21" i="7" s="1"/>
  <c r="AQ33" i="7"/>
  <c r="AR33" i="7"/>
  <c r="AH33" i="7"/>
  <c r="AN33" i="7" s="1"/>
  <c r="AR39" i="7"/>
  <c r="AH39" i="7"/>
  <c r="AN39" i="7" s="1"/>
  <c r="AQ39" i="7"/>
  <c r="AQ48" i="7"/>
  <c r="AR48" i="7"/>
  <c r="AH48" i="7"/>
  <c r="AN48" i="7" s="1"/>
  <c r="AQ58" i="7"/>
  <c r="AR58" i="7"/>
  <c r="AH58" i="7"/>
  <c r="AN58" i="7" s="1"/>
  <c r="AQ54" i="7"/>
  <c r="AR54" i="7"/>
  <c r="AH54" i="7"/>
  <c r="AN54" i="7" s="1"/>
  <c r="AQ62" i="7"/>
  <c r="AR62" i="7"/>
  <c r="AH62" i="7"/>
  <c r="AN62" i="7" s="1"/>
  <c r="AQ13" i="7"/>
  <c r="AR13" i="7"/>
  <c r="AH13" i="7"/>
  <c r="AN13" i="7" s="1"/>
  <c r="AQ9" i="7"/>
  <c r="AR9" i="7"/>
  <c r="AH9" i="7"/>
  <c r="AN9" i="7" s="1"/>
  <c r="AQ16" i="7"/>
  <c r="AR16" i="7"/>
  <c r="AH16" i="7"/>
  <c r="AN16" i="7" s="1"/>
  <c r="AQ28" i="7"/>
  <c r="AR28" i="7"/>
  <c r="AH28" i="7"/>
  <c r="AN28" i="7" s="1"/>
  <c r="AQ24" i="7"/>
  <c r="AR24" i="7"/>
  <c r="AH24" i="7"/>
  <c r="AN24" i="7" s="1"/>
  <c r="AQ36" i="7"/>
  <c r="AR36" i="7"/>
  <c r="AH36" i="7"/>
  <c r="AN36" i="7" s="1"/>
  <c r="AQ32" i="7"/>
  <c r="AR32" i="7"/>
  <c r="AH32" i="7"/>
  <c r="AN32" i="7" s="1"/>
  <c r="AH38" i="7"/>
  <c r="AN38" i="7" s="1"/>
  <c r="AQ38" i="7"/>
  <c r="AR38" i="7"/>
  <c r="AQ44" i="7"/>
  <c r="AR44" i="7"/>
  <c r="AH44" i="7"/>
  <c r="AN44" i="7" s="1"/>
  <c r="AR47" i="7"/>
  <c r="AH47" i="7"/>
  <c r="AN47" i="7" s="1"/>
  <c r="AQ47" i="7"/>
  <c r="AQ57" i="7"/>
  <c r="AR57" i="7"/>
  <c r="AH57" i="7"/>
  <c r="AN57" i="7" s="1"/>
  <c r="AQ65" i="7"/>
  <c r="AR65" i="7"/>
  <c r="AH65" i="7"/>
  <c r="AN65" i="7" s="1"/>
  <c r="AQ61" i="7"/>
  <c r="AR61" i="7"/>
  <c r="AH61" i="7"/>
  <c r="AN61" i="7" s="1"/>
  <c r="AR12" i="7"/>
  <c r="AH12" i="7"/>
  <c r="AN12" i="7" s="1"/>
  <c r="AQ12" i="7"/>
  <c r="AR8" i="7"/>
  <c r="AH8" i="7"/>
  <c r="AN8" i="7" s="1"/>
  <c r="AQ8" i="7"/>
  <c r="AQ20" i="7"/>
  <c r="AR20" i="7"/>
  <c r="AH20" i="7"/>
  <c r="AN20" i="7" s="1"/>
  <c r="AR27" i="7"/>
  <c r="AH27" i="7"/>
  <c r="AN27" i="7" s="1"/>
  <c r="AQ27" i="7"/>
  <c r="AR23" i="7"/>
  <c r="AH23" i="7"/>
  <c r="AN23" i="7" s="1"/>
  <c r="AQ23" i="7"/>
  <c r="AR35" i="7"/>
  <c r="AH35" i="7"/>
  <c r="AN35" i="7" s="1"/>
  <c r="AQ35" i="7"/>
  <c r="AR31" i="7"/>
  <c r="AH31" i="7"/>
  <c r="AN31" i="7" s="1"/>
  <c r="AQ31" i="7"/>
  <c r="AQ41" i="7"/>
  <c r="AR41" i="7"/>
  <c r="AH41" i="7"/>
  <c r="AN41" i="7" s="1"/>
  <c r="AH50" i="7"/>
  <c r="AN50" i="7" s="1"/>
  <c r="AQ50" i="7"/>
  <c r="AR50" i="7"/>
  <c r="AH46" i="7"/>
  <c r="AN46" i="7" s="1"/>
  <c r="AQ46" i="7"/>
  <c r="AR46" i="7"/>
  <c r="AQ53" i="7"/>
  <c r="AR53" i="7"/>
  <c r="AH53" i="7"/>
  <c r="AN53" i="7" s="1"/>
  <c r="AR56" i="7"/>
  <c r="AH56" i="7"/>
  <c r="AN56" i="7" s="1"/>
  <c r="AQ56" i="7"/>
  <c r="AR64" i="7"/>
  <c r="AQ64" i="7"/>
  <c r="AH64" i="7"/>
  <c r="AN64" i="7" s="1"/>
  <c r="AR60" i="7"/>
  <c r="AH60" i="7"/>
  <c r="AN60" i="7" s="1"/>
  <c r="AQ60" i="7"/>
  <c r="AH6" i="7"/>
  <c r="AN6" i="7" s="1"/>
  <c r="AR6" i="7"/>
  <c r="AQ6" i="7"/>
  <c r="AH14" i="7"/>
  <c r="AN14" i="7" s="1"/>
  <c r="AR14" i="7"/>
  <c r="AQ14" i="7"/>
  <c r="AH19" i="7"/>
  <c r="AN19" i="7" s="1"/>
  <c r="AR19" i="7"/>
  <c r="AQ19" i="7"/>
  <c r="AH52" i="7"/>
  <c r="AN52" i="7" s="1"/>
  <c r="AR52" i="7"/>
  <c r="AQ52" i="7"/>
  <c r="AH15" i="7"/>
  <c r="AN15" i="7" s="1"/>
  <c r="AR15" i="7"/>
  <c r="AQ15" i="7"/>
  <c r="AE13" i="7"/>
  <c r="AE11" i="7"/>
  <c r="AE9" i="7"/>
  <c r="AE7" i="7"/>
  <c r="AE16" i="7"/>
  <c r="AE17" i="7"/>
  <c r="AE19" i="7"/>
  <c r="AE30" i="7"/>
  <c r="AE28" i="7"/>
  <c r="AE26" i="7"/>
  <c r="AE24" i="7"/>
  <c r="AE22" i="7"/>
  <c r="AE36" i="7"/>
  <c r="AE34" i="7"/>
  <c r="AE32" i="7"/>
  <c r="AE37" i="7"/>
  <c r="AE43" i="7"/>
  <c r="AE41" i="7"/>
  <c r="AE39" i="7"/>
  <c r="AE50" i="7"/>
  <c r="AE48" i="7"/>
  <c r="AE46" i="7"/>
  <c r="AE51" i="7"/>
  <c r="AE53" i="7"/>
  <c r="AE58" i="7"/>
  <c r="AE56" i="7"/>
  <c r="AE54" i="7"/>
  <c r="AE64" i="7"/>
  <c r="AE62" i="7"/>
  <c r="AE60" i="7"/>
  <c r="AE6" i="7"/>
  <c r="AE12" i="7"/>
  <c r="AE10" i="7"/>
  <c r="AE8" i="7"/>
  <c r="AE14" i="7"/>
  <c r="AE15" i="7"/>
  <c r="AE18" i="7"/>
  <c r="AE20" i="7"/>
  <c r="AE29" i="7"/>
  <c r="AE27" i="7"/>
  <c r="AE25" i="7"/>
  <c r="AE23" i="7"/>
  <c r="AE21" i="7"/>
  <c r="AE35" i="7"/>
  <c r="AE33" i="7"/>
  <c r="AE31" i="7"/>
  <c r="AE42" i="7"/>
  <c r="AE38" i="7"/>
  <c r="AE40" i="7"/>
  <c r="AE44" i="7"/>
  <c r="AE49" i="7"/>
  <c r="AE47" i="7"/>
  <c r="AE45" i="7"/>
  <c r="AE52" i="7"/>
  <c r="AE59" i="7"/>
  <c r="AE57" i="7"/>
  <c r="AE55" i="7"/>
  <c r="AE65" i="7"/>
  <c r="AE63" i="7"/>
  <c r="AE61" i="7"/>
  <c r="R67" i="7"/>
  <c r="P67" i="7"/>
  <c r="R68" i="7"/>
  <c r="Q68" i="7"/>
  <c r="Q67" i="7"/>
  <c r="P68" i="7"/>
  <c r="AT50" i="7" l="1"/>
  <c r="AT41" i="7"/>
  <c r="AT61" i="7"/>
  <c r="AT44" i="7"/>
  <c r="AT24" i="7"/>
  <c r="AT13" i="7"/>
  <c r="AT48" i="7"/>
  <c r="AT49" i="7"/>
  <c r="AT22" i="7"/>
  <c r="AT11" i="7"/>
  <c r="AT17" i="7"/>
  <c r="AT31" i="7"/>
  <c r="AT39" i="7"/>
  <c r="AT25" i="7"/>
  <c r="AT43" i="7"/>
  <c r="AT46" i="7"/>
  <c r="AT36" i="7"/>
  <c r="BC36" i="7" s="1"/>
  <c r="BC37" i="7" s="1"/>
  <c r="BC38" i="7" s="1"/>
  <c r="BC39" i="7" s="1"/>
  <c r="BC40" i="7" s="1"/>
  <c r="AT9" i="7"/>
  <c r="AT58" i="7"/>
  <c r="AT21" i="7"/>
  <c r="AT10" i="7"/>
  <c r="AT59" i="7"/>
  <c r="AT45" i="7"/>
  <c r="AT34" i="7"/>
  <c r="AT7" i="7"/>
  <c r="AG63" i="7"/>
  <c r="AG55" i="7"/>
  <c r="AG59" i="7"/>
  <c r="AG45" i="7"/>
  <c r="AG49" i="7"/>
  <c r="AG40" i="7"/>
  <c r="AG42" i="7"/>
  <c r="AG33" i="7"/>
  <c r="AG21" i="7"/>
  <c r="AG25" i="7"/>
  <c r="AG18" i="7"/>
  <c r="AG14" i="7"/>
  <c r="AG10" i="7"/>
  <c r="AG6" i="7"/>
  <c r="AG62" i="7"/>
  <c r="AG54" i="7"/>
  <c r="AG58" i="7"/>
  <c r="AG51" i="7"/>
  <c r="AG48" i="7"/>
  <c r="AG39" i="7"/>
  <c r="AG43" i="7"/>
  <c r="AG13" i="7"/>
  <c r="AT6" i="7"/>
  <c r="AT60" i="7"/>
  <c r="AT35" i="7"/>
  <c r="AT8" i="7"/>
  <c r="AT29" i="7"/>
  <c r="AT18" i="7"/>
  <c r="AT63" i="7"/>
  <c r="AT40" i="7"/>
  <c r="AT42" i="7"/>
  <c r="R70" i="7"/>
  <c r="AG29" i="7"/>
  <c r="AS51" i="7"/>
  <c r="AS43" i="7"/>
  <c r="AT51" i="7"/>
  <c r="AS42" i="7"/>
  <c r="AS17" i="7"/>
  <c r="AT26" i="7"/>
  <c r="AT53" i="7"/>
  <c r="AS46" i="7"/>
  <c r="AS41" i="7"/>
  <c r="AS31" i="7"/>
  <c r="AT20" i="7"/>
  <c r="AS61" i="7"/>
  <c r="AT65" i="7"/>
  <c r="AS44" i="7"/>
  <c r="AS24" i="7"/>
  <c r="AT28" i="7"/>
  <c r="AS13" i="7"/>
  <c r="AT62" i="7"/>
  <c r="AS48" i="7"/>
  <c r="AS39" i="7"/>
  <c r="AS25" i="7"/>
  <c r="AS59" i="7"/>
  <c r="AS49" i="7"/>
  <c r="AS34" i="7"/>
  <c r="AS7" i="7"/>
  <c r="AS64" i="7"/>
  <c r="AS56" i="7"/>
  <c r="AS27" i="7"/>
  <c r="AS38" i="7"/>
  <c r="AS36" i="7"/>
  <c r="AS9" i="7"/>
  <c r="AS58" i="7"/>
  <c r="AS21" i="7"/>
  <c r="AS10" i="7"/>
  <c r="AS55" i="7"/>
  <c r="AS45" i="7"/>
  <c r="AS30" i="7"/>
  <c r="AT19" i="7"/>
  <c r="AT56" i="7"/>
  <c r="AS23" i="7"/>
  <c r="AT27" i="7"/>
  <c r="AS12" i="7"/>
  <c r="AS57" i="7"/>
  <c r="AS47" i="7"/>
  <c r="AS32" i="7"/>
  <c r="AS16" i="7"/>
  <c r="AS54" i="7"/>
  <c r="AS33" i="7"/>
  <c r="AS63" i="7"/>
  <c r="AS26" i="7"/>
  <c r="AS60" i="7"/>
  <c r="AT64" i="7"/>
  <c r="AS53" i="7"/>
  <c r="AS50" i="7"/>
  <c r="AS35" i="7"/>
  <c r="AT23" i="7"/>
  <c r="AS20" i="7"/>
  <c r="AS8" i="7"/>
  <c r="AT12" i="7"/>
  <c r="AS65" i="7"/>
  <c r="AT57" i="7"/>
  <c r="AT47" i="7"/>
  <c r="AT38" i="7"/>
  <c r="AT32" i="7"/>
  <c r="AS28" i="7"/>
  <c r="AT16" i="7"/>
  <c r="AS62" i="7"/>
  <c r="AT54" i="7"/>
  <c r="AT33" i="7"/>
  <c r="AS29" i="7"/>
  <c r="AS18" i="7"/>
  <c r="AT55" i="7"/>
  <c r="AS40" i="7"/>
  <c r="AS22" i="7"/>
  <c r="AT30" i="7"/>
  <c r="AS11" i="7"/>
  <c r="AS14" i="7"/>
  <c r="AT52" i="7"/>
  <c r="AS19" i="7"/>
  <c r="AT15" i="7"/>
  <c r="AS52" i="7"/>
  <c r="AS15" i="7"/>
  <c r="AT14" i="7"/>
  <c r="AP6" i="7"/>
  <c r="AS6" i="7"/>
  <c r="AP63" i="7"/>
  <c r="AO63" i="7"/>
  <c r="AM63" i="7" s="1"/>
  <c r="AP55" i="7"/>
  <c r="AO55" i="7"/>
  <c r="AM55" i="7" s="1"/>
  <c r="AP49" i="7"/>
  <c r="AO49" i="7"/>
  <c r="AM49" i="7" s="1"/>
  <c r="AP42" i="7"/>
  <c r="AO42" i="7"/>
  <c r="AM42" i="7" s="1"/>
  <c r="AP21" i="7"/>
  <c r="AO21" i="7"/>
  <c r="AM21" i="7" s="1"/>
  <c r="AP25" i="7"/>
  <c r="AO25" i="7"/>
  <c r="AM25" i="7" s="1"/>
  <c r="AP29" i="7"/>
  <c r="AO29" i="7"/>
  <c r="AM29" i="7" s="1"/>
  <c r="AP18" i="7"/>
  <c r="AO18" i="7"/>
  <c r="AM18" i="7" s="1"/>
  <c r="AP61" i="7"/>
  <c r="AO61" i="7"/>
  <c r="AM61" i="7" s="1"/>
  <c r="AP65" i="7"/>
  <c r="AO65" i="7"/>
  <c r="AM65" i="7" s="1"/>
  <c r="AP57" i="7"/>
  <c r="AO57" i="7"/>
  <c r="AM57" i="7" s="1"/>
  <c r="AP52" i="7"/>
  <c r="AO52" i="7"/>
  <c r="AM52" i="7" s="1"/>
  <c r="AP47" i="7"/>
  <c r="AO47" i="7"/>
  <c r="AM47" i="7" s="1"/>
  <c r="AP44" i="7"/>
  <c r="AO44" i="7"/>
  <c r="AM44" i="7" s="1"/>
  <c r="AP38" i="7"/>
  <c r="AO38" i="7"/>
  <c r="AM38" i="7" s="1"/>
  <c r="AP31" i="7"/>
  <c r="AO31" i="7"/>
  <c r="AM31" i="7" s="1"/>
  <c r="AP35" i="7"/>
  <c r="AO35" i="7"/>
  <c r="AM35" i="7" s="1"/>
  <c r="AP23" i="7"/>
  <c r="AO23" i="7"/>
  <c r="AM23" i="7" s="1"/>
  <c r="AP27" i="7"/>
  <c r="AO27" i="7"/>
  <c r="AM27" i="7" s="1"/>
  <c r="AP20" i="7"/>
  <c r="AO20" i="7"/>
  <c r="AM20" i="7" s="1"/>
  <c r="AP15" i="7"/>
  <c r="AO15" i="7"/>
  <c r="AM15" i="7" s="1"/>
  <c r="AP8" i="7"/>
  <c r="AO8" i="7"/>
  <c r="AM8" i="7" s="1"/>
  <c r="AP12" i="7"/>
  <c r="AO12" i="7"/>
  <c r="AM12" i="7" s="1"/>
  <c r="AP60" i="7"/>
  <c r="AO60" i="7"/>
  <c r="AM60" i="7" s="1"/>
  <c r="AP64" i="7"/>
  <c r="AO64" i="7"/>
  <c r="AM64" i="7" s="1"/>
  <c r="AP56" i="7"/>
  <c r="AO56" i="7"/>
  <c r="AM56" i="7" s="1"/>
  <c r="AP53" i="7"/>
  <c r="AO53" i="7"/>
  <c r="AM53" i="7" s="1"/>
  <c r="AP46" i="7"/>
  <c r="AO46" i="7"/>
  <c r="AM46" i="7" s="1"/>
  <c r="AP50" i="7"/>
  <c r="AO50" i="7"/>
  <c r="AM50" i="7" s="1"/>
  <c r="AP41" i="7"/>
  <c r="AO41" i="7"/>
  <c r="AM41" i="7" s="1"/>
  <c r="AG37" i="7"/>
  <c r="AP37" i="7"/>
  <c r="AO37" i="7"/>
  <c r="AM37" i="7" s="1"/>
  <c r="AG34" i="7"/>
  <c r="AP34" i="7"/>
  <c r="AO34" i="7"/>
  <c r="AM34" i="7" s="1"/>
  <c r="AG22" i="7"/>
  <c r="AP22" i="7"/>
  <c r="AO22" i="7"/>
  <c r="AM22" i="7" s="1"/>
  <c r="AG26" i="7"/>
  <c r="AP26" i="7"/>
  <c r="AO26" i="7"/>
  <c r="AM26" i="7" s="1"/>
  <c r="AG30" i="7"/>
  <c r="AP30" i="7"/>
  <c r="AO30" i="7"/>
  <c r="AM30" i="7" s="1"/>
  <c r="AG17" i="7"/>
  <c r="AP17" i="7"/>
  <c r="AO17" i="7"/>
  <c r="AM17" i="7" s="1"/>
  <c r="AG7" i="7"/>
  <c r="AP7" i="7"/>
  <c r="AO7" i="7"/>
  <c r="AM7" i="7" s="1"/>
  <c r="AP11" i="7"/>
  <c r="AO11" i="7"/>
  <c r="AM11" i="7" s="1"/>
  <c r="AP59" i="7"/>
  <c r="AO59" i="7"/>
  <c r="AM59" i="7" s="1"/>
  <c r="AP45" i="7"/>
  <c r="AO45" i="7"/>
  <c r="AM45" i="7" s="1"/>
  <c r="AP40" i="7"/>
  <c r="AO40" i="7"/>
  <c r="AM40" i="7" s="1"/>
  <c r="AP33" i="7"/>
  <c r="AO33" i="7"/>
  <c r="AM33" i="7" s="1"/>
  <c r="AP14" i="7"/>
  <c r="AO14" i="7"/>
  <c r="AM14" i="7" s="1"/>
  <c r="AP10" i="7"/>
  <c r="AO10" i="7"/>
  <c r="AM10" i="7" s="1"/>
  <c r="AO6" i="7"/>
  <c r="AM6" i="7" s="1"/>
  <c r="AP62" i="7"/>
  <c r="AO62" i="7"/>
  <c r="AM62" i="7" s="1"/>
  <c r="AP54" i="7"/>
  <c r="AO54" i="7"/>
  <c r="AM54" i="7" s="1"/>
  <c r="AP58" i="7"/>
  <c r="AO58" i="7"/>
  <c r="AM58" i="7" s="1"/>
  <c r="AP51" i="7"/>
  <c r="AO51" i="7"/>
  <c r="AM51" i="7" s="1"/>
  <c r="AP48" i="7"/>
  <c r="AO48" i="7"/>
  <c r="AM48" i="7" s="1"/>
  <c r="AP39" i="7"/>
  <c r="AO39" i="7"/>
  <c r="AM39" i="7" s="1"/>
  <c r="AP43" i="7"/>
  <c r="AO43" i="7"/>
  <c r="AM43" i="7" s="1"/>
  <c r="AP32" i="7"/>
  <c r="AO32" i="7"/>
  <c r="AM32" i="7" s="1"/>
  <c r="AP36" i="7"/>
  <c r="AO36" i="7"/>
  <c r="AM36" i="7" s="1"/>
  <c r="AP24" i="7"/>
  <c r="AO24" i="7"/>
  <c r="AM24" i="7" s="1"/>
  <c r="AP28" i="7"/>
  <c r="AO28" i="7"/>
  <c r="AM28" i="7" s="1"/>
  <c r="AP19" i="7"/>
  <c r="AO19" i="7"/>
  <c r="AM19" i="7" s="1"/>
  <c r="AP16" i="7"/>
  <c r="AO16" i="7"/>
  <c r="AM16" i="7" s="1"/>
  <c r="AP9" i="7"/>
  <c r="AO9" i="7"/>
  <c r="AM9" i="7" s="1"/>
  <c r="AP13" i="7"/>
  <c r="AO13" i="7"/>
  <c r="AM13" i="7" s="1"/>
  <c r="AG61" i="7"/>
  <c r="AG65" i="7"/>
  <c r="AG57" i="7"/>
  <c r="AG52" i="7"/>
  <c r="AG47" i="7"/>
  <c r="AG44" i="7"/>
  <c r="AG38" i="7"/>
  <c r="AG31" i="7"/>
  <c r="AG35" i="7"/>
  <c r="AG23" i="7"/>
  <c r="AG27" i="7"/>
  <c r="AG20" i="7"/>
  <c r="AG15" i="7"/>
  <c r="AG8" i="7"/>
  <c r="AG12" i="7"/>
  <c r="AG60" i="7"/>
  <c r="AG64" i="7"/>
  <c r="AG56" i="7"/>
  <c r="AG53" i="7"/>
  <c r="AG46" i="7"/>
  <c r="AG50" i="7"/>
  <c r="AG41" i="7"/>
  <c r="AG11" i="7"/>
  <c r="AG32" i="7"/>
  <c r="AG36" i="7"/>
  <c r="AG24" i="7"/>
  <c r="AG28" i="7"/>
  <c r="AG19" i="7"/>
  <c r="AG16" i="7"/>
  <c r="AG9" i="7"/>
  <c r="R69" i="7"/>
  <c r="P70" i="7"/>
  <c r="P69" i="7"/>
  <c r="Q69" i="7"/>
  <c r="Q70" i="7"/>
  <c r="AJ39" i="7" l="1"/>
  <c r="AJ51" i="7"/>
  <c r="AJ54" i="7"/>
  <c r="AJ18" i="7"/>
  <c r="AJ25" i="7"/>
  <c r="AJ42" i="7"/>
  <c r="AJ55" i="7"/>
  <c r="AJ26" i="7"/>
  <c r="AJ9" i="7"/>
  <c r="AJ19" i="7"/>
  <c r="AJ24" i="7"/>
  <c r="AJ16" i="7"/>
  <c r="AJ36" i="7"/>
  <c r="AJ14" i="7"/>
  <c r="AJ40" i="7"/>
  <c r="AJ59" i="7"/>
  <c r="AJ7" i="7"/>
  <c r="AJ22" i="7"/>
  <c r="BB36" i="7"/>
  <c r="BB37" i="7" s="1"/>
  <c r="BB38" i="7" s="1"/>
  <c r="BB39" i="7" s="1"/>
  <c r="BB40" i="7" s="1"/>
  <c r="AJ32" i="7"/>
  <c r="AJ41" i="7"/>
  <c r="AJ46" i="7"/>
  <c r="AJ56" i="7"/>
  <c r="AJ60" i="7"/>
  <c r="AJ8" i="7"/>
  <c r="AJ20" i="7"/>
  <c r="AJ23" i="7"/>
  <c r="AJ31" i="7"/>
  <c r="AJ44" i="7"/>
  <c r="AJ52" i="7"/>
  <c r="AJ65" i="7"/>
  <c r="AJ10" i="7"/>
  <c r="AJ33" i="7"/>
  <c r="AJ45" i="7"/>
  <c r="AJ11" i="7"/>
  <c r="AJ30" i="7"/>
  <c r="AJ37" i="7"/>
  <c r="AJ13" i="7"/>
  <c r="AJ28" i="7"/>
  <c r="AJ43" i="7"/>
  <c r="AJ48" i="7"/>
  <c r="AJ58" i="7"/>
  <c r="AJ62" i="7"/>
  <c r="AJ17" i="7"/>
  <c r="AJ34" i="7"/>
  <c r="AJ50" i="7"/>
  <c r="AJ53" i="7"/>
  <c r="AJ64" i="7"/>
  <c r="AJ12" i="7"/>
  <c r="AJ15" i="7"/>
  <c r="AJ27" i="7"/>
  <c r="AJ35" i="7"/>
  <c r="AJ38" i="7"/>
  <c r="AJ47" i="7"/>
  <c r="AJ57" i="7"/>
  <c r="AJ61" i="7"/>
  <c r="AJ29" i="7"/>
  <c r="AJ21" i="7"/>
  <c r="AJ49" i="7"/>
  <c r="AJ63" i="7"/>
  <c r="AJ6" i="7"/>
  <c r="BC21" i="7"/>
  <c r="BC22" i="7" s="1"/>
  <c r="BC23" i="7" s="1"/>
  <c r="BC24" i="7" s="1"/>
  <c r="BC25" i="7" s="1"/>
  <c r="BB46" i="7"/>
  <c r="BB47" i="7" s="1"/>
  <c r="BB48" i="7" s="1"/>
  <c r="BB49" i="7" s="1"/>
  <c r="BB50" i="7" s="1"/>
  <c r="BB6" i="7"/>
  <c r="BB7" i="7" s="1"/>
  <c r="BB8" i="7" s="1"/>
  <c r="BB9" i="7" s="1"/>
  <c r="BB10" i="7" s="1"/>
  <c r="AJ1" i="7"/>
  <c r="BB41" i="7"/>
  <c r="BB42" i="7" s="1"/>
  <c r="BB43" i="7" s="1"/>
  <c r="BB44" i="7" s="1"/>
  <c r="BB45" i="7" s="1"/>
  <c r="BC41" i="7"/>
  <c r="BC42" i="7" s="1"/>
  <c r="BC43" i="7" s="1"/>
  <c r="BC44" i="7" s="1"/>
  <c r="BC45" i="7" s="1"/>
  <c r="BC16" i="7"/>
  <c r="BC17" i="7" s="1"/>
  <c r="BC18" i="7" s="1"/>
  <c r="BC19" i="7" s="1"/>
  <c r="BC20" i="7" s="1"/>
  <c r="BB61" i="7"/>
  <c r="BB62" i="7" s="1"/>
  <c r="BB63" i="7" s="1"/>
  <c r="BB64" i="7" s="1"/>
  <c r="BB65" i="7" s="1"/>
  <c r="BC6" i="7"/>
  <c r="BC7" i="7" s="1"/>
  <c r="BC8" i="7" s="1"/>
  <c r="BC9" i="7" s="1"/>
  <c r="BC10" i="7" s="1"/>
  <c r="BB16" i="7"/>
  <c r="BB17" i="7" s="1"/>
  <c r="BB18" i="7" s="1"/>
  <c r="BB19" i="7" s="1"/>
  <c r="BB20" i="7" s="1"/>
  <c r="BC26" i="7"/>
  <c r="BC27" i="7" s="1"/>
  <c r="BC28" i="7" s="1"/>
  <c r="BC29" i="7" s="1"/>
  <c r="BC30" i="7" s="1"/>
  <c r="BB31" i="7"/>
  <c r="BB32" i="7" s="1"/>
  <c r="BB33" i="7" s="1"/>
  <c r="BB34" i="7" s="1"/>
  <c r="BB35" i="7" s="1"/>
  <c r="BB21" i="7"/>
  <c r="BB22" i="7" s="1"/>
  <c r="BB23" i="7" s="1"/>
  <c r="BB24" i="7" s="1"/>
  <c r="BB25" i="7" s="1"/>
  <c r="BB56" i="7"/>
  <c r="BB57" i="7" s="1"/>
  <c r="BB58" i="7" s="1"/>
  <c r="BB59" i="7" s="1"/>
  <c r="BB60" i="7" s="1"/>
  <c r="BC56" i="7"/>
  <c r="BC57" i="7" s="1"/>
  <c r="BC58" i="7" s="1"/>
  <c r="BC59" i="7" s="1"/>
  <c r="BC60" i="7" s="1"/>
  <c r="BB26" i="7"/>
  <c r="BB27" i="7" s="1"/>
  <c r="BB28" i="7" s="1"/>
  <c r="BB29" i="7" s="1"/>
  <c r="BB30" i="7" s="1"/>
  <c r="BC31" i="7"/>
  <c r="BC32" i="7" s="1"/>
  <c r="BC33" i="7" s="1"/>
  <c r="BC34" i="7" s="1"/>
  <c r="BC35" i="7" s="1"/>
  <c r="BC46" i="7"/>
  <c r="BC47" i="7" s="1"/>
  <c r="BC48" i="7" s="1"/>
  <c r="BC49" i="7" s="1"/>
  <c r="BC50" i="7" s="1"/>
  <c r="BC61" i="7"/>
  <c r="BC62" i="7" s="1"/>
  <c r="BC63" i="7" s="1"/>
  <c r="BC64" i="7" s="1"/>
  <c r="BC65" i="7" s="1"/>
  <c r="BC11" i="7"/>
  <c r="BC12" i="7" s="1"/>
  <c r="BC13" i="7" s="1"/>
  <c r="BC14" i="7" s="1"/>
  <c r="BC15" i="7" s="1"/>
  <c r="BB11" i="7"/>
  <c r="BB12" i="7" s="1"/>
  <c r="BB13" i="7" s="1"/>
  <c r="BB14" i="7" s="1"/>
  <c r="BB15" i="7" s="1"/>
  <c r="BC51" i="7"/>
  <c r="BC52" i="7" s="1"/>
  <c r="BC53" i="7" s="1"/>
  <c r="BC54" i="7" s="1"/>
  <c r="BC55" i="7" s="1"/>
  <c r="BB51" i="7"/>
  <c r="BB52" i="7" s="1"/>
  <c r="BB53" i="7" s="1"/>
  <c r="BB54" i="7" s="1"/>
  <c r="BB55" i="7" s="1"/>
  <c r="AI26" i="7"/>
  <c r="AI41" i="7"/>
  <c r="AI60" i="7"/>
  <c r="AI23" i="7"/>
  <c r="AI52" i="7"/>
  <c r="AI18" i="7"/>
  <c r="AI55" i="7"/>
  <c r="AL55" i="7" s="1"/>
  <c r="AI9" i="7"/>
  <c r="AI19" i="7"/>
  <c r="AI24" i="7"/>
  <c r="AI32" i="7"/>
  <c r="AI39" i="7"/>
  <c r="AI51" i="7"/>
  <c r="AI54" i="7"/>
  <c r="AI14" i="7"/>
  <c r="AI40" i="7"/>
  <c r="AI59" i="7"/>
  <c r="AI7" i="7"/>
  <c r="AI22" i="7"/>
  <c r="AI46" i="7"/>
  <c r="AL46" i="7" s="1"/>
  <c r="AI8" i="7"/>
  <c r="AI31" i="7"/>
  <c r="AI65" i="7"/>
  <c r="AI42" i="7"/>
  <c r="AI13" i="7"/>
  <c r="AI16" i="7"/>
  <c r="AI28" i="7"/>
  <c r="AI36" i="7"/>
  <c r="AI43" i="7"/>
  <c r="AI48" i="7"/>
  <c r="AI58" i="7"/>
  <c r="AL58" i="7" s="1"/>
  <c r="AI62" i="7"/>
  <c r="AL62" i="7" s="1"/>
  <c r="AI10" i="7"/>
  <c r="AI33" i="7"/>
  <c r="AI45" i="7"/>
  <c r="AI11" i="7"/>
  <c r="AI30" i="7"/>
  <c r="AI37" i="7"/>
  <c r="AI56" i="7"/>
  <c r="AI20" i="7"/>
  <c r="AI44" i="7"/>
  <c r="AI25" i="7"/>
  <c r="AI17" i="7"/>
  <c r="AI34" i="7"/>
  <c r="AI50" i="7"/>
  <c r="AI53" i="7"/>
  <c r="AI64" i="7"/>
  <c r="AI12" i="7"/>
  <c r="AI15" i="7"/>
  <c r="AI27" i="7"/>
  <c r="AI35" i="7"/>
  <c r="AI38" i="7"/>
  <c r="AI47" i="7"/>
  <c r="AI57" i="7"/>
  <c r="AL57" i="7" s="1"/>
  <c r="AI61" i="7"/>
  <c r="AI29" i="7"/>
  <c r="AI21" i="7"/>
  <c r="AI49" i="7"/>
  <c r="AI63" i="7"/>
  <c r="AI6" i="7"/>
  <c r="AK26" i="7" l="1"/>
  <c r="AL10" i="7"/>
  <c r="AL26" i="7"/>
  <c r="AL34" i="7"/>
  <c r="AL20" i="7"/>
  <c r="AL36" i="7"/>
  <c r="AL42" i="7"/>
  <c r="AL39" i="7"/>
  <c r="AL23" i="7"/>
  <c r="AL17" i="7"/>
  <c r="AL14" i="7"/>
  <c r="AL41" i="7"/>
  <c r="AL6" i="7"/>
  <c r="AK55" i="7"/>
  <c r="AK14" i="7"/>
  <c r="AK10" i="7"/>
  <c r="AK17" i="7"/>
  <c r="AK58" i="7"/>
  <c r="AK57" i="7"/>
  <c r="AK41" i="7"/>
  <c r="AK36" i="7"/>
  <c r="AK38" i="7"/>
  <c r="AK34" i="7"/>
  <c r="AK20" i="7"/>
  <c r="AK62" i="7"/>
  <c r="AK46" i="7"/>
  <c r="AK39" i="7"/>
  <c r="AL38" i="7"/>
  <c r="AK23" i="7"/>
  <c r="AK42" i="7"/>
  <c r="AK63" i="7"/>
  <c r="AL63" i="7"/>
  <c r="AK45" i="7"/>
  <c r="AL45" i="7"/>
  <c r="AL35" i="7"/>
  <c r="AK35" i="7"/>
  <c r="AL60" i="7"/>
  <c r="AK60" i="7"/>
  <c r="AK43" i="7"/>
  <c r="AL43" i="7"/>
  <c r="AK65" i="7"/>
  <c r="AL65" i="7"/>
  <c r="AK44" i="7"/>
  <c r="AL44" i="7"/>
  <c r="AK27" i="7"/>
  <c r="AL27" i="7"/>
  <c r="AK12" i="7"/>
  <c r="AL12" i="7"/>
  <c r="AL29" i="7"/>
  <c r="AK29" i="7"/>
  <c r="AK18" i="7"/>
  <c r="AL18" i="7"/>
  <c r="AK6" i="7"/>
  <c r="AK59" i="7"/>
  <c r="AL59" i="7"/>
  <c r="AK49" i="7"/>
  <c r="AL49" i="7"/>
  <c r="AK47" i="7"/>
  <c r="AL47" i="7"/>
  <c r="AK8" i="7"/>
  <c r="AL8" i="7"/>
  <c r="AL64" i="7"/>
  <c r="AK64" i="7"/>
  <c r="AK37" i="7"/>
  <c r="AL37" i="7"/>
  <c r="AK54" i="7"/>
  <c r="AL54" i="7"/>
  <c r="AK48" i="7"/>
  <c r="AL48" i="7"/>
  <c r="AK52" i="7"/>
  <c r="AL52" i="7"/>
  <c r="AK31" i="7"/>
  <c r="AL31" i="7"/>
  <c r="AK15" i="7"/>
  <c r="AL15" i="7"/>
  <c r="AK50" i="7"/>
  <c r="AL50" i="7"/>
  <c r="AL11" i="7"/>
  <c r="AK11" i="7"/>
  <c r="AK25" i="7"/>
  <c r="AL25" i="7"/>
  <c r="AK32" i="7"/>
  <c r="AL32" i="7"/>
  <c r="AK9" i="7"/>
  <c r="AL9" i="7"/>
  <c r="AK7" i="7"/>
  <c r="AL7" i="7"/>
  <c r="AL21" i="7"/>
  <c r="AK21" i="7"/>
  <c r="AK51" i="7"/>
  <c r="AL51" i="7"/>
  <c r="AL28" i="7"/>
  <c r="AK28" i="7"/>
  <c r="AK40" i="7"/>
  <c r="AL40" i="7"/>
  <c r="AK56" i="7"/>
  <c r="AL56" i="7"/>
  <c r="AK22" i="7"/>
  <c r="AL22" i="7"/>
  <c r="AL61" i="7"/>
  <c r="AK61" i="7"/>
  <c r="AK53" i="7"/>
  <c r="AL53" i="7"/>
  <c r="AK24" i="7"/>
  <c r="AL24" i="7"/>
  <c r="AL16" i="7"/>
  <c r="AK16" i="7"/>
  <c r="AK13" i="7"/>
  <c r="AL13" i="7"/>
  <c r="AK30" i="7"/>
  <c r="AL30" i="7"/>
  <c r="AK33" i="7"/>
  <c r="AL33" i="7"/>
  <c r="AK19" i="7"/>
  <c r="AL19" i="7"/>
  <c r="BA6" i="7" l="1"/>
  <c r="BA7" i="7" s="1"/>
  <c r="BA8" i="7" s="1"/>
  <c r="BA9" i="7" s="1"/>
  <c r="BA10" i="7" s="1"/>
  <c r="BD56" i="7"/>
  <c r="BD57" i="7" s="1"/>
  <c r="BD58" i="7" s="1"/>
  <c r="BD59" i="7" s="1"/>
  <c r="BD60" i="7" s="1"/>
  <c r="AZ36" i="7"/>
  <c r="AZ37" i="7" s="1"/>
  <c r="AZ38" i="7" s="1"/>
  <c r="AZ39" i="7" s="1"/>
  <c r="AZ40" i="7" s="1"/>
  <c r="BD16" i="7"/>
  <c r="BD17" i="7" s="1"/>
  <c r="BD18" i="7" s="1"/>
  <c r="BD19" i="7" s="1"/>
  <c r="BD20" i="7" s="1"/>
  <c r="BD61" i="7"/>
  <c r="BD62" i="7" s="1"/>
  <c r="BD63" i="7" s="1"/>
  <c r="BD64" i="7" s="1"/>
  <c r="BD65" i="7" s="1"/>
  <c r="BD41" i="7"/>
  <c r="BD42" i="7" s="1"/>
  <c r="BD43" i="7" s="1"/>
  <c r="BD44" i="7" s="1"/>
  <c r="BD45" i="7" s="1"/>
  <c r="BD26" i="7"/>
  <c r="BD27" i="7" s="1"/>
  <c r="BD28" i="7" s="1"/>
  <c r="BD29" i="7" s="1"/>
  <c r="BD30" i="7" s="1"/>
  <c r="BD31" i="7"/>
  <c r="BD32" i="7" s="1"/>
  <c r="BD33" i="7" s="1"/>
  <c r="BD34" i="7" s="1"/>
  <c r="BD35" i="7" s="1"/>
  <c r="BD6" i="7"/>
  <c r="BD7" i="7" s="1"/>
  <c r="BD8" i="7" s="1"/>
  <c r="BD9" i="7" s="1"/>
  <c r="BD10" i="7" s="1"/>
  <c r="BD11" i="7"/>
  <c r="BD12" i="7" s="1"/>
  <c r="BD13" i="7" s="1"/>
  <c r="BD14" i="7" s="1"/>
  <c r="BD15" i="7" s="1"/>
  <c r="BD46" i="7"/>
  <c r="BD47" i="7" s="1"/>
  <c r="BD48" i="7" s="1"/>
  <c r="BD49" i="7" s="1"/>
  <c r="BD50" i="7" s="1"/>
  <c r="BD51" i="7"/>
  <c r="BD52" i="7" s="1"/>
  <c r="BD53" i="7" s="1"/>
  <c r="BD54" i="7" s="1"/>
  <c r="BD55" i="7" s="1"/>
  <c r="BD36" i="7"/>
  <c r="BD37" i="7" s="1"/>
  <c r="BD38" i="7" s="1"/>
  <c r="BD39" i="7" s="1"/>
  <c r="BD40" i="7" s="1"/>
  <c r="BA41" i="7"/>
  <c r="BA42" i="7" s="1"/>
  <c r="BA43" i="7" s="1"/>
  <c r="BA44" i="7" s="1"/>
  <c r="BA45" i="7" s="1"/>
  <c r="BA46" i="7"/>
  <c r="BA47" i="7" s="1"/>
  <c r="BA48" i="7" s="1"/>
  <c r="BA49" i="7" s="1"/>
  <c r="BA50" i="7" s="1"/>
  <c r="AZ41" i="7"/>
  <c r="AZ42" i="7" s="1"/>
  <c r="AZ43" i="7" s="1"/>
  <c r="AZ44" i="7" s="1"/>
  <c r="AZ45" i="7" s="1"/>
  <c r="AZ26" i="7"/>
  <c r="AZ27" i="7" s="1"/>
  <c r="AZ28" i="7" s="1"/>
  <c r="AZ29" i="7" s="1"/>
  <c r="AZ30" i="7" s="1"/>
  <c r="BA36" i="7"/>
  <c r="BA37" i="7" s="1"/>
  <c r="BA38" i="7" s="1"/>
  <c r="BA39" i="7" s="1"/>
  <c r="BA40" i="7" s="1"/>
  <c r="BA21" i="7"/>
  <c r="BA22" i="7" s="1"/>
  <c r="BA23" i="7" s="1"/>
  <c r="BA24" i="7" s="1"/>
  <c r="BA25" i="7" s="1"/>
  <c r="AZ21" i="7"/>
  <c r="AZ22" i="7" s="1"/>
  <c r="AZ23" i="7" s="1"/>
  <c r="AZ24" i="7" s="1"/>
  <c r="AZ25" i="7" s="1"/>
  <c r="BA26" i="7"/>
  <c r="BA27" i="7" s="1"/>
  <c r="BA28" i="7" s="1"/>
  <c r="BA29" i="7" s="1"/>
  <c r="BA30" i="7" s="1"/>
  <c r="AZ46" i="7"/>
  <c r="AZ47" i="7" s="1"/>
  <c r="AZ48" i="7" s="1"/>
  <c r="AZ49" i="7" s="1"/>
  <c r="AZ50" i="7" s="1"/>
  <c r="AZ16" i="7"/>
  <c r="AZ17" i="7" s="1"/>
  <c r="AZ18" i="7" s="1"/>
  <c r="AZ19" i="7" s="1"/>
  <c r="AZ20" i="7" s="1"/>
  <c r="BA16" i="7"/>
  <c r="BA17" i="7" s="1"/>
  <c r="BA18" i="7" s="1"/>
  <c r="BA19" i="7" s="1"/>
  <c r="BA20" i="7" s="1"/>
  <c r="BA11" i="7"/>
  <c r="BA12" i="7" s="1"/>
  <c r="BA13" i="7" s="1"/>
  <c r="BA14" i="7" s="1"/>
  <c r="BA15" i="7" s="1"/>
  <c r="AZ11" i="7"/>
  <c r="AZ12" i="7" s="1"/>
  <c r="AZ13" i="7" s="1"/>
  <c r="AZ14" i="7" s="1"/>
  <c r="AZ15" i="7" s="1"/>
  <c r="BA51" i="7"/>
  <c r="BA52" i="7" s="1"/>
  <c r="BA53" i="7" s="1"/>
  <c r="BA54" i="7" s="1"/>
  <c r="BA55" i="7" s="1"/>
  <c r="AZ51" i="7"/>
  <c r="AZ52" i="7" s="1"/>
  <c r="AZ53" i="7" s="1"/>
  <c r="AZ54" i="7" s="1"/>
  <c r="AZ55" i="7" s="1"/>
  <c r="BA61" i="7"/>
  <c r="BA62" i="7" s="1"/>
  <c r="BA63" i="7" s="1"/>
  <c r="BA64" i="7" s="1"/>
  <c r="BA65" i="7" s="1"/>
  <c r="AZ61" i="7"/>
  <c r="AZ62" i="7" s="1"/>
  <c r="AZ63" i="7" s="1"/>
  <c r="AZ64" i="7" s="1"/>
  <c r="AZ65" i="7" s="1"/>
  <c r="AZ56" i="7"/>
  <c r="AZ57" i="7" s="1"/>
  <c r="AZ58" i="7" s="1"/>
  <c r="AZ59" i="7" s="1"/>
  <c r="AZ60" i="7" s="1"/>
  <c r="BA56" i="7"/>
  <c r="BA57" i="7" s="1"/>
  <c r="BA58" i="7" s="1"/>
  <c r="BA59" i="7" s="1"/>
  <c r="BA60" i="7" s="1"/>
  <c r="AZ31" i="7"/>
  <c r="AZ32" i="7" s="1"/>
  <c r="AZ33" i="7" s="1"/>
  <c r="AZ34" i="7" s="1"/>
  <c r="AZ35" i="7" s="1"/>
  <c r="BA31" i="7"/>
  <c r="BA32" i="7" s="1"/>
  <c r="BA33" i="7" s="1"/>
  <c r="BA34" i="7" s="1"/>
  <c r="BA35" i="7" s="1"/>
  <c r="AZ6" i="7"/>
  <c r="AZ7" i="7" s="1"/>
  <c r="AZ8" i="7" s="1"/>
  <c r="AZ9" i="7" s="1"/>
  <c r="AZ10" i="7" s="1"/>
</calcChain>
</file>

<file path=xl/comments1.xml><?xml version="1.0" encoding="utf-8"?>
<comments xmlns="http://schemas.openxmlformats.org/spreadsheetml/2006/main">
  <authors>
    <author>Yourek, Matthew</author>
    <author>your3353</author>
  </authors>
  <commentList>
    <comment ref="J6" authorId="0">
      <text>
        <r>
          <rPr>
            <b/>
            <sz val="9"/>
            <color indexed="81"/>
            <rFont val="Tahoma"/>
            <family val="2"/>
          </rPr>
          <t>Yourek, Matthew:</t>
        </r>
        <r>
          <rPr>
            <sz val="9"/>
            <color indexed="81"/>
            <rFont val="Tahoma"/>
            <family val="2"/>
          </rPr>
          <t xml:space="preserve">
excludes 10-20 cm
</t>
        </r>
      </text>
    </comment>
    <comment ref="V34" authorId="1">
      <text>
        <r>
          <rPr>
            <b/>
            <sz val="9"/>
            <color indexed="81"/>
            <rFont val="Tahoma"/>
            <family val="2"/>
          </rPr>
          <t>your3353:</t>
        </r>
        <r>
          <rPr>
            <sz val="9"/>
            <color indexed="81"/>
            <rFont val="Tahoma"/>
            <family val="2"/>
          </rPr>
          <t xml:space="preserve">
GWC is questionable</t>
        </r>
      </text>
    </comment>
    <comment ref="S37" authorId="1">
      <text>
        <r>
          <rPr>
            <b/>
            <sz val="9"/>
            <color indexed="81"/>
            <rFont val="Tahoma"/>
            <family val="2"/>
          </rPr>
          <t>your3353:</t>
        </r>
        <r>
          <rPr>
            <sz val="9"/>
            <color indexed="81"/>
            <rFont val="Tahoma"/>
            <family val="2"/>
          </rPr>
          <t xml:space="preserve">
actual BD is closer to 1.45</t>
        </r>
      </text>
    </comment>
    <comment ref="S51" authorId="1">
      <text>
        <r>
          <rPr>
            <b/>
            <sz val="9"/>
            <color indexed="81"/>
            <rFont val="Tahoma"/>
            <family val="2"/>
          </rPr>
          <t>your3353:</t>
        </r>
        <r>
          <rPr>
            <sz val="9"/>
            <color indexed="81"/>
            <rFont val="Tahoma"/>
            <family val="2"/>
          </rPr>
          <t xml:space="preserve">
actual BD is probably about 1.4 (from GWC and Decagon probes)
</t>
        </r>
      </text>
    </comment>
    <comment ref="S52" authorId="1">
      <text>
        <r>
          <rPr>
            <b/>
            <sz val="9"/>
            <color indexed="81"/>
            <rFont val="Tahoma"/>
            <family val="2"/>
          </rPr>
          <t>your3353:</t>
        </r>
        <r>
          <rPr>
            <sz val="9"/>
            <color indexed="81"/>
            <rFont val="Tahoma"/>
            <family val="2"/>
          </rPr>
          <t xml:space="preserve">
actual BD is probably closer to 1.3
</t>
        </r>
      </text>
    </comment>
  </commentList>
</comments>
</file>

<file path=xl/sharedStrings.xml><?xml version="1.0" encoding="utf-8"?>
<sst xmlns="http://schemas.openxmlformats.org/spreadsheetml/2006/main" count="1757" uniqueCount="260">
  <si>
    <t>Column Labels</t>
  </si>
  <si>
    <t>Row Labels</t>
  </si>
  <si>
    <t>J6</t>
  </si>
  <si>
    <t>J7</t>
  </si>
  <si>
    <t>no E horizon</t>
  </si>
  <si>
    <t>Depth to E horizon (cm)</t>
  </si>
  <si>
    <t>J1</t>
  </si>
  <si>
    <t>J2</t>
  </si>
  <si>
    <t>J3</t>
  </si>
  <si>
    <t>J4</t>
  </si>
  <si>
    <t>J5</t>
  </si>
  <si>
    <t>J8</t>
  </si>
  <si>
    <t>J9</t>
  </si>
  <si>
    <t>J10</t>
  </si>
  <si>
    <t>J11</t>
  </si>
  <si>
    <t>J12</t>
  </si>
  <si>
    <t>85-100</t>
  </si>
  <si>
    <t>110-120</t>
  </si>
  <si>
    <t>no comments</t>
  </si>
  <si>
    <t>NA</t>
  </si>
  <si>
    <t>Farm</t>
  </si>
  <si>
    <t>Site</t>
  </si>
  <si>
    <t>Depth (ft.)</t>
  </si>
  <si>
    <t>JNS</t>
  </si>
  <si>
    <t>slight color change at 36"</t>
  </si>
  <si>
    <t>slight color change at 46"</t>
  </si>
  <si>
    <t>E horizon at 32"</t>
  </si>
  <si>
    <t>drastic color change at 34"</t>
  </si>
  <si>
    <t>definite E horizon at 30"</t>
  </si>
  <si>
    <t>29"</t>
  </si>
  <si>
    <t>BD_2012</t>
  </si>
  <si>
    <t>BD_2013</t>
  </si>
  <si>
    <t>BD_2014</t>
  </si>
  <si>
    <t>% diff</t>
  </si>
  <si>
    <t>average</t>
  </si>
  <si>
    <t>stdev</t>
  </si>
  <si>
    <t>Depth</t>
  </si>
  <si>
    <t>Date</t>
  </si>
  <si>
    <t>Fall-GWC</t>
  </si>
  <si>
    <t>Spring-GWC</t>
  </si>
  <si>
    <t>Δθg</t>
  </si>
  <si>
    <t>Fall-VWC</t>
  </si>
  <si>
    <t>Spring-VWC</t>
  </si>
  <si>
    <t>Δθv</t>
  </si>
  <si>
    <t>sand</t>
  </si>
  <si>
    <t>silt</t>
  </si>
  <si>
    <t>clay</t>
  </si>
  <si>
    <t>Fall 2011</t>
  </si>
  <si>
    <t>Fall 2012</t>
  </si>
  <si>
    <t>2013 Observations</t>
  </si>
  <si>
    <t>porosity</t>
  </si>
  <si>
    <t>field_cap</t>
  </si>
  <si>
    <t>wilt_pt</t>
  </si>
  <si>
    <t>AWC</t>
  </si>
  <si>
    <t>θdp</t>
  </si>
  <si>
    <t>hb</t>
  </si>
  <si>
    <t>λ</t>
  </si>
  <si>
    <t>ϴr</t>
  </si>
  <si>
    <t>BD</t>
  </si>
  <si>
    <t>Grand Total</t>
  </si>
  <si>
    <t>Clay</t>
  </si>
  <si>
    <t>Observed Clay&amp;BD</t>
  </si>
  <si>
    <t>Observed BD</t>
  </si>
  <si>
    <t>wp.ss</t>
  </si>
  <si>
    <t>fc.ss</t>
  </si>
  <si>
    <t>theta_drain</t>
  </si>
  <si>
    <t>awc.ss</t>
  </si>
  <si>
    <t>soil.depth (clay+BD)</t>
  </si>
  <si>
    <t>soil.depth (cm)</t>
  </si>
  <si>
    <t>soil.depth (avg)</t>
  </si>
  <si>
    <t>taw.Brack.obs</t>
  </si>
  <si>
    <t>taw.Brack.avg</t>
  </si>
  <si>
    <t>taw.ss.obs</t>
  </si>
  <si>
    <t>taw.ss.avg</t>
  </si>
  <si>
    <t xml:space="preserve">perched water </t>
  </si>
  <si>
    <t>wettest&gt;driest</t>
  </si>
  <si>
    <t>11&gt;9&gt;7&gt;5&gt;3&gt;4&gt;12&gt;6&gt;2&gt;8&gt;1&gt;10</t>
  </si>
  <si>
    <t>high clay&gt;low clay</t>
  </si>
  <si>
    <t>7&gt;11&gt;9&gt;2&gt;5&gt;3&gt;12&gt;8&gt;4&gt;6&gt;1&gt;10</t>
  </si>
  <si>
    <t>high BD&gt;low BD</t>
  </si>
  <si>
    <t>7&gt;4&gt;5&gt;2&gt;9&gt;1&gt;8&gt;11&gt;12&gt;6&gt;3&gt;10</t>
  </si>
  <si>
    <t>soil depth</t>
  </si>
  <si>
    <t>shallow&gt;deep</t>
  </si>
  <si>
    <t>7&gt;5&gt;1&gt;2&gt;8&gt;9&gt;3&gt;4&gt;10&gt;12&gt;11&gt;6</t>
  </si>
  <si>
    <t>Decagon</t>
  </si>
  <si>
    <t>Observed Clay</t>
  </si>
  <si>
    <t>E</t>
  </si>
  <si>
    <t>field notes</t>
  </si>
  <si>
    <t>Matteo core descriptions</t>
  </si>
  <si>
    <t>ΔTC</t>
  </si>
  <si>
    <t>ΔTN</t>
  </si>
  <si>
    <t>TN-2012</t>
  </si>
  <si>
    <t>TC-2012</t>
  </si>
  <si>
    <t>TN-2011</t>
  </si>
  <si>
    <t>TC-2011</t>
  </si>
  <si>
    <t>Jones</t>
  </si>
  <si>
    <t>Winter Wheat</t>
  </si>
  <si>
    <t>Bag Label</t>
  </si>
  <si>
    <t xml:space="preserve">SPAD  </t>
  </si>
  <si>
    <t>LAI</t>
  </si>
  <si>
    <t>Height</t>
  </si>
  <si>
    <t>Notes</t>
  </si>
  <si>
    <t>N/A</t>
  </si>
  <si>
    <t>LAI might be high - dense rows here</t>
  </si>
  <si>
    <t>dry soil</t>
  </si>
  <si>
    <t>supes sparse</t>
  </si>
  <si>
    <t xml:space="preserve">  </t>
  </si>
  <si>
    <t>sunny; low LAI</t>
  </si>
  <si>
    <t>Sum of LAI</t>
  </si>
  <si>
    <t>old</t>
  </si>
  <si>
    <t>new</t>
  </si>
  <si>
    <t>fc_new</t>
  </si>
  <si>
    <t>B</t>
  </si>
  <si>
    <t>fc=min((1-BD/2.65)-0.03,0.2417*BD+.0174)</t>
  </si>
  <si>
    <t>1/3 bar</t>
  </si>
  <si>
    <t>dry</t>
  </si>
  <si>
    <t>wp=0.2933*BD-0.2118</t>
  </si>
  <si>
    <t>wp=.2376BD-.172</t>
  </si>
  <si>
    <t>Average of clay</t>
  </si>
  <si>
    <t>Average of TC-2011</t>
  </si>
  <si>
    <t>Giddings probe correction for BD at 4 ft. and 5 ft.:</t>
  </si>
  <si>
    <t>Bulk Density (BD)</t>
  </si>
  <si>
    <t>Microsite</t>
  </si>
  <si>
    <t>Hand probe</t>
  </si>
  <si>
    <t>1ft.</t>
  </si>
  <si>
    <t>Hand=0.51*Giddings+0.6</t>
  </si>
  <si>
    <t>filled Hand probe</t>
  </si>
  <si>
    <t>2ft.</t>
  </si>
  <si>
    <t>Hand=.25*Giddings+1.06</t>
  </si>
  <si>
    <t>corrected Giddings</t>
  </si>
  <si>
    <t>3ft.</t>
  </si>
  <si>
    <t>Hand=1.19*Giddings-0.4</t>
  </si>
  <si>
    <t>Gravimetric Water Content (GWC)</t>
  </si>
  <si>
    <t>Volumetric Water Content (VWC)</t>
  </si>
  <si>
    <t>Sampling</t>
  </si>
  <si>
    <t>Sampling Date</t>
  </si>
  <si>
    <t>Hand Probe</t>
  </si>
  <si>
    <t>wp_new</t>
  </si>
  <si>
    <t>Palouse retention</t>
  </si>
  <si>
    <t>Brack</t>
  </si>
  <si>
    <t>Giddings Probe</t>
  </si>
  <si>
    <t>VWC=1-BDnew/2.65=BDnew/Bdold*VWCold</t>
  </si>
  <si>
    <t>BDold/VWCold=Bdnew+Bdold/VWCold*Bdnew/2.65</t>
  </si>
  <si>
    <t>Bdnew(1+Bdold/VWCold/2.65)</t>
  </si>
  <si>
    <t>Bdnew=Bdold/VWCold/(1+Bdold/VWCold/2.65)</t>
  </si>
  <si>
    <t>Bdnew=1/GWC/(1+1/(2.65*GWC))</t>
  </si>
  <si>
    <t>GWC*BD=VWC</t>
  </si>
  <si>
    <t>Bdnew=(GWCmax+1/2.65)^-1</t>
  </si>
  <si>
    <t>J2-4</t>
  </si>
  <si>
    <t>Bdold</t>
  </si>
  <si>
    <t>VWCold</t>
  </si>
  <si>
    <t>VWCnew</t>
  </si>
  <si>
    <t>Bdnew</t>
  </si>
  <si>
    <t>Volumetric Water Content</t>
  </si>
  <si>
    <t>Bulk Density (Giddings)</t>
  </si>
  <si>
    <t>GWC max</t>
  </si>
  <si>
    <t>Bdmax</t>
  </si>
  <si>
    <t>Bulk Density (hand probe)</t>
  </si>
  <si>
    <t>Gravimetric Water Content</t>
  </si>
  <si>
    <t xml:space="preserve">Volumetric Water Content </t>
  </si>
  <si>
    <t>J-DG3</t>
  </si>
  <si>
    <t>J-DG9</t>
  </si>
  <si>
    <t>J-DG6</t>
  </si>
  <si>
    <t>5.5, purged, 8.1</t>
  </si>
  <si>
    <t>3.8, purged, 7.73</t>
  </si>
  <si>
    <t xml:space="preserve">102 mm </t>
  </si>
  <si>
    <t>0 mm</t>
  </si>
  <si>
    <t>39.25",815 mm,"empty" at 774 mm</t>
  </si>
  <si>
    <t>top of sensor</t>
  </si>
  <si>
    <t>7.4 ft., 4094 mm</t>
  </si>
  <si>
    <t>67 mm</t>
  </si>
  <si>
    <t>4094 mm</t>
  </si>
  <si>
    <t>6.5 ft.</t>
  </si>
  <si>
    <t>2.79 ft.,661 mm</t>
  </si>
  <si>
    <t>top of sensor, 8 mm</t>
  </si>
  <si>
    <t>top of sensor, 7 mm</t>
  </si>
  <si>
    <t>165 ml</t>
  </si>
  <si>
    <t>at sensor</t>
  </si>
  <si>
    <t>5.23', 7.5 L</t>
  </si>
  <si>
    <t>3.08', 8.75 L</t>
  </si>
  <si>
    <t>5.6', 5.9 L</t>
  </si>
  <si>
    <t>2.83', 8.9 L</t>
  </si>
  <si>
    <t>1.83', 9.4 L</t>
  </si>
  <si>
    <t>2.43', 9.1 L</t>
  </si>
  <si>
    <t>Well Top</t>
  </si>
  <si>
    <t>Total Depth</t>
  </si>
  <si>
    <t>Depth below ground</t>
  </si>
  <si>
    <t>well depth (12/5/2011)</t>
  </si>
  <si>
    <t>Distance from the ground surface to perched water table (Perched water depth)</t>
  </si>
  <si>
    <t>Height of perched water table</t>
  </si>
  <si>
    <t>J3 (mm)</t>
  </si>
  <si>
    <t>J9 (mm)</t>
  </si>
  <si>
    <t>Depth (in.)</t>
  </si>
  <si>
    <t>0-2</t>
  </si>
  <si>
    <t>patchy</t>
  </si>
  <si>
    <t>Weight</t>
  </si>
  <si>
    <t>12.5=tube</t>
  </si>
  <si>
    <t>swe=snow water equivalent</t>
  </si>
  <si>
    <t>swe (in.)</t>
  </si>
  <si>
    <t>Giddings_BD</t>
  </si>
  <si>
    <t>Hand_BD</t>
  </si>
  <si>
    <t>depth.core</t>
  </si>
  <si>
    <t>taw.core</t>
  </si>
  <si>
    <t>Grower</t>
  </si>
  <si>
    <t>Season</t>
  </si>
  <si>
    <t>Eca</t>
  </si>
  <si>
    <t>N</t>
  </si>
  <si>
    <t>Aes</t>
  </si>
  <si>
    <t>Spring</t>
  </si>
  <si>
    <t>J</t>
  </si>
  <si>
    <t>Sum of Eca</t>
  </si>
  <si>
    <t>Delta</t>
  </si>
  <si>
    <t>Fall</t>
  </si>
  <si>
    <t>OD</t>
  </si>
  <si>
    <t>W</t>
  </si>
  <si>
    <t>Yield (lb/ac)</t>
  </si>
  <si>
    <t>Protein (%)</t>
  </si>
  <si>
    <t>topo_index</t>
  </si>
  <si>
    <t/>
  </si>
  <si>
    <t>2013 WW</t>
  </si>
  <si>
    <t>Rawls and Brakensiek, 1985</t>
  </si>
  <si>
    <t>Palouse region soil survey retention curve data</t>
  </si>
  <si>
    <t>fc=min((1-BD/2.65)-0.03,0.1737*BD+0.084)</t>
  </si>
  <si>
    <t>Thatuna Silt loam at parker farm</t>
  </si>
  <si>
    <t>Depth (inches)</t>
  </si>
  <si>
    <t>.3 bar Vol. Moisture</t>
  </si>
  <si>
    <t>dry Bdens g/cm3</t>
  </si>
  <si>
    <t>filled dry Bdens g/cm3</t>
  </si>
  <si>
    <t>sat.mc from dry bdense</t>
  </si>
  <si>
    <t>.3 bar Bdense</t>
  </si>
  <si>
    <t>sat.mc-fc.mc from bdense dry</t>
  </si>
  <si>
    <t>sat.mc from .3 bar Bdense</t>
  </si>
  <si>
    <t>sat.mc-fc.mc for .3 bar bdense</t>
  </si>
  <si>
    <t>wp</t>
  </si>
  <si>
    <t>sat.mc-wp.mc for .3 bar bdense</t>
  </si>
  <si>
    <t>sat. hydraulic cond. (in./hr)</t>
  </si>
  <si>
    <t>0.3 bar</t>
  </si>
  <si>
    <t>dry BD</t>
  </si>
  <si>
    <t>filled dry BD</t>
  </si>
  <si>
    <t>fc</t>
  </si>
  <si>
    <t>awc</t>
  </si>
  <si>
    <t>Bdense</t>
  </si>
  <si>
    <t>Thatuna</t>
  </si>
  <si>
    <t>1/3 bar relationships</t>
  </si>
  <si>
    <t>Garfield</t>
  </si>
  <si>
    <t>Palouse</t>
  </si>
  <si>
    <t>.1737x+.084</t>
  </si>
  <si>
    <t>Naff</t>
  </si>
  <si>
    <t>Fall_NO3 (ppm)</t>
  </si>
  <si>
    <t>Fall_NH3 (ppm)</t>
  </si>
  <si>
    <t>Spr_NO3 (ppm)</t>
  </si>
  <si>
    <t>CONVERT(1,"us_acre","ha")*CONVERT(1,"kg","lbm")</t>
  </si>
  <si>
    <t>1 ppm=25/6*(1+GWC)*BD*0.001*CONVERT(1,"ft","m")*CONVERT(1,"kg","lbm")*CONVERT(1,"ha","m^2")*CONVERT(1,"us_acre","ha")</t>
  </si>
  <si>
    <t>*BD*(1+GWC) lb/ac</t>
  </si>
  <si>
    <t xml:space="preserve">1 ppm = </t>
  </si>
  <si>
    <t>Fall-IN (lb/ac)</t>
  </si>
  <si>
    <t>Spring-IN (lb/ac)</t>
  </si>
  <si>
    <t>Spr_NH3 (ppm)</t>
  </si>
  <si>
    <t>ΔIN (lb/ac)</t>
  </si>
  <si>
    <t>Average of AWC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</si>
</sst>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"/>
    <numFmt numFmtId="167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10" fillId="0" borderId="0"/>
    <xf numFmtId="9" fontId="10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0" xfId="0" pivotButton="1"/>
    <xf numFmtId="14" fontId="1" fillId="2" borderId="1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Fill="1"/>
    <xf numFmtId="165" fontId="0" fillId="0" borderId="0" xfId="0" applyNumberFormat="1" applyFill="1"/>
    <xf numFmtId="165" fontId="5" fillId="0" borderId="0" xfId="0" applyNumberFormat="1" applyFont="1" applyFill="1"/>
    <xf numFmtId="14" fontId="0" fillId="0" borderId="0" xfId="0" applyNumberFormat="1" applyAlignment="1">
      <alignment horizontal="left" indent="2"/>
    </xf>
    <xf numFmtId="0" fontId="0" fillId="7" borderId="0" xfId="0" applyFill="1"/>
    <xf numFmtId="0" fontId="1" fillId="2" borderId="0" xfId="0" applyFont="1" applyFill="1"/>
    <xf numFmtId="0" fontId="3" fillId="6" borderId="0" xfId="0" applyFont="1" applyFill="1" applyAlignment="1">
      <alignment horizontal="center"/>
    </xf>
    <xf numFmtId="0" fontId="0" fillId="0" borderId="0" xfId="0" applyFont="1" applyFill="1"/>
    <xf numFmtId="0" fontId="0" fillId="0" borderId="2" xfId="0" applyBorder="1"/>
    <xf numFmtId="0" fontId="0" fillId="0" borderId="2" xfId="0" applyFill="1" applyBorder="1"/>
    <xf numFmtId="14" fontId="0" fillId="0" borderId="2" xfId="0" applyNumberFormat="1" applyBorder="1"/>
    <xf numFmtId="0" fontId="0" fillId="0" borderId="3" xfId="0" applyFill="1" applyBorder="1"/>
    <xf numFmtId="0" fontId="0" fillId="0" borderId="0" xfId="0" applyBorder="1"/>
    <xf numFmtId="0" fontId="0" fillId="8" borderId="0" xfId="0" applyNumberFormat="1" applyFill="1"/>
    <xf numFmtId="0" fontId="0" fillId="8" borderId="0" xfId="0" applyFill="1"/>
    <xf numFmtId="0" fontId="0" fillId="4" borderId="0" xfId="0" quotePrefix="1" applyFill="1"/>
    <xf numFmtId="0" fontId="0" fillId="9" borderId="0" xfId="0" applyFill="1"/>
    <xf numFmtId="0" fontId="0" fillId="0" borderId="4" xfId="0" applyBorder="1"/>
    <xf numFmtId="0" fontId="1" fillId="0" borderId="0" xfId="0" applyFont="1"/>
    <xf numFmtId="0" fontId="1" fillId="0" borderId="1" xfId="0" applyFont="1" applyBorder="1"/>
    <xf numFmtId="0" fontId="0" fillId="10" borderId="0" xfId="0" applyFill="1"/>
    <xf numFmtId="14" fontId="0" fillId="10" borderId="0" xfId="0" applyNumberFormat="1" applyFill="1"/>
    <xf numFmtId="0" fontId="0" fillId="10" borderId="0" xfId="0" applyNumberFormat="1" applyFill="1"/>
    <xf numFmtId="0" fontId="10" fillId="0" borderId="0" xfId="3"/>
    <xf numFmtId="0" fontId="11" fillId="0" borderId="0" xfId="3" applyFont="1"/>
    <xf numFmtId="167" fontId="0" fillId="0" borderId="0" xfId="4" applyNumberFormat="1" applyFont="1"/>
    <xf numFmtId="0" fontId="10" fillId="5" borderId="0" xfId="3" applyFill="1"/>
    <xf numFmtId="0" fontId="10" fillId="0" borderId="0" xfId="3" applyAlignment="1">
      <alignment horizontal="center" vertical="center" wrapText="1"/>
    </xf>
    <xf numFmtId="167" fontId="0" fillId="0" borderId="0" xfId="4" applyNumberFormat="1" applyFont="1" applyAlignment="1">
      <alignment horizontal="center" vertical="center" wrapText="1"/>
    </xf>
    <xf numFmtId="0" fontId="12" fillId="0" borderId="0" xfId="3" applyFont="1"/>
    <xf numFmtId="167" fontId="10" fillId="0" borderId="0" xfId="3" applyNumberFormat="1" applyAlignment="1">
      <alignment horizontal="center"/>
    </xf>
    <xf numFmtId="167" fontId="10" fillId="4" borderId="0" xfId="3" applyNumberFormat="1" applyFill="1" applyAlignment="1">
      <alignment horizontal="center"/>
    </xf>
    <xf numFmtId="167" fontId="10" fillId="0" borderId="0" xfId="3" applyNumberFormat="1"/>
    <xf numFmtId="167" fontId="11" fillId="0" borderId="0" xfId="4" applyNumberFormat="1" applyFont="1"/>
    <xf numFmtId="167" fontId="11" fillId="0" borderId="0" xfId="3" applyNumberFormat="1" applyFont="1" applyAlignment="1">
      <alignment horizontal="center"/>
    </xf>
    <xf numFmtId="0" fontId="10" fillId="4" borderId="0" xfId="3" applyFill="1"/>
    <xf numFmtId="0" fontId="3" fillId="0" borderId="0" xfId="0" applyFont="1" applyFill="1"/>
    <xf numFmtId="0" fontId="0" fillId="0" borderId="0" xfId="0" applyNumberFormat="1" applyFill="1"/>
    <xf numFmtId="164" fontId="0" fillId="0" borderId="0" xfId="0" applyNumberFormat="1" applyFill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5">
    <cellStyle name="Normal" xfId="0" builtinId="0"/>
    <cellStyle name="Normal 2" xfId="1"/>
    <cellStyle name="Normal 3" xfId="2"/>
    <cellStyle name="Normal 4" xfId="3"/>
    <cellStyle name="Percent 2" xfId="4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3467282106978"/>
          <c:y val="1.9033197460275673E-2"/>
          <c:w val="0.6661352158566386"/>
          <c:h val="0.930744525088545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745189609919449"/>
                  <c:y val="6.3289335789341122E-2"/>
                </c:manualLayout>
              </c:layout>
              <c:numFmt formatCode="General" sourceLinked="0"/>
            </c:trendlineLbl>
          </c:trendline>
          <c:xVal>
            <c:numRef>
              <c:f>'Palouse PTF'!$D$4:$D$59</c:f>
              <c:numCache>
                <c:formatCode>General</c:formatCode>
                <c:ptCount val="56"/>
                <c:pt idx="0">
                  <c:v>1.2077120000000001</c:v>
                </c:pt>
                <c:pt idx="1">
                  <c:v>1.4</c:v>
                </c:pt>
                <c:pt idx="2">
                  <c:v>1.47</c:v>
                </c:pt>
                <c:pt idx="3">
                  <c:v>1.5</c:v>
                </c:pt>
                <c:pt idx="4">
                  <c:v>1.66</c:v>
                </c:pt>
                <c:pt idx="5">
                  <c:v>1.71</c:v>
                </c:pt>
                <c:pt idx="6">
                  <c:v>1.66</c:v>
                </c:pt>
                <c:pt idx="9">
                  <c:v>1.37</c:v>
                </c:pt>
                <c:pt idx="10">
                  <c:v>1.38</c:v>
                </c:pt>
                <c:pt idx="11">
                  <c:v>1.37</c:v>
                </c:pt>
                <c:pt idx="12">
                  <c:v>1.51</c:v>
                </c:pt>
                <c:pt idx="13">
                  <c:v>1.53</c:v>
                </c:pt>
                <c:pt idx="14">
                  <c:v>1.68</c:v>
                </c:pt>
                <c:pt idx="15">
                  <c:v>1.65</c:v>
                </c:pt>
                <c:pt idx="16">
                  <c:v>1.67</c:v>
                </c:pt>
                <c:pt idx="20">
                  <c:v>1.56</c:v>
                </c:pt>
                <c:pt idx="21">
                  <c:v>1.81</c:v>
                </c:pt>
                <c:pt idx="22">
                  <c:v>1.71</c:v>
                </c:pt>
                <c:pt idx="23">
                  <c:v>1.55</c:v>
                </c:pt>
                <c:pt idx="26">
                  <c:v>1.5239870000000002</c:v>
                </c:pt>
                <c:pt idx="27">
                  <c:v>1.77</c:v>
                </c:pt>
                <c:pt idx="28">
                  <c:v>1.73</c:v>
                </c:pt>
                <c:pt idx="31">
                  <c:v>1.1824100000000002</c:v>
                </c:pt>
                <c:pt idx="32">
                  <c:v>1.49</c:v>
                </c:pt>
                <c:pt idx="33">
                  <c:v>1.48</c:v>
                </c:pt>
                <c:pt idx="34">
                  <c:v>1.67</c:v>
                </c:pt>
                <c:pt idx="35">
                  <c:v>1.6</c:v>
                </c:pt>
                <c:pt idx="38">
                  <c:v>1.2077120000000001</c:v>
                </c:pt>
                <c:pt idx="39">
                  <c:v>1.270967</c:v>
                </c:pt>
                <c:pt idx="40">
                  <c:v>1.63</c:v>
                </c:pt>
                <c:pt idx="41">
                  <c:v>1.61</c:v>
                </c:pt>
                <c:pt idx="42">
                  <c:v>1.51</c:v>
                </c:pt>
                <c:pt idx="45">
                  <c:v>1.4</c:v>
                </c:pt>
                <c:pt idx="46">
                  <c:v>1.43</c:v>
                </c:pt>
                <c:pt idx="47">
                  <c:v>1.77</c:v>
                </c:pt>
                <c:pt idx="48">
                  <c:v>1.79</c:v>
                </c:pt>
                <c:pt idx="49">
                  <c:v>1.4607320000000001</c:v>
                </c:pt>
                <c:pt idx="52">
                  <c:v>1.1950610000000002</c:v>
                </c:pt>
                <c:pt idx="53">
                  <c:v>1.43</c:v>
                </c:pt>
                <c:pt idx="54">
                  <c:v>1.8</c:v>
                </c:pt>
                <c:pt idx="55">
                  <c:v>1.69</c:v>
                </c:pt>
              </c:numCache>
            </c:numRef>
          </c:xVal>
          <c:yVal>
            <c:numRef>
              <c:f>'Palouse PTF'!$K$4:$K$59</c:f>
              <c:numCache>
                <c:formatCode>0.0%</c:formatCode>
                <c:ptCount val="56"/>
                <c:pt idx="0">
                  <c:v>0.1363</c:v>
                </c:pt>
                <c:pt idx="1">
                  <c:v>0.19789999999999999</c:v>
                </c:pt>
                <c:pt idx="2">
                  <c:v>0.17760000000000001</c:v>
                </c:pt>
                <c:pt idx="4">
                  <c:v>0.27149999999999996</c:v>
                </c:pt>
                <c:pt idx="6">
                  <c:v>0.27399999999999997</c:v>
                </c:pt>
                <c:pt idx="9">
                  <c:v>0.1593</c:v>
                </c:pt>
                <c:pt idx="10">
                  <c:v>0.15839999999999999</c:v>
                </c:pt>
                <c:pt idx="11">
                  <c:v>0.1575</c:v>
                </c:pt>
                <c:pt idx="12">
                  <c:v>0.17670000000000002</c:v>
                </c:pt>
                <c:pt idx="13">
                  <c:v>0.17510000000000001</c:v>
                </c:pt>
                <c:pt idx="14">
                  <c:v>0.19570000000000001</c:v>
                </c:pt>
                <c:pt idx="15">
                  <c:v>0.25650000000000001</c:v>
                </c:pt>
                <c:pt idx="16">
                  <c:v>0.26250000000000001</c:v>
                </c:pt>
                <c:pt idx="20">
                  <c:v>0.1449</c:v>
                </c:pt>
                <c:pt idx="21">
                  <c:v>0.24109999999999998</c:v>
                </c:pt>
                <c:pt idx="22">
                  <c:v>0.24299999999999999</c:v>
                </c:pt>
                <c:pt idx="23">
                  <c:v>0.21030000000000001</c:v>
                </c:pt>
                <c:pt idx="26">
                  <c:v>0.17300000000000001</c:v>
                </c:pt>
                <c:pt idx="27">
                  <c:v>0.22640000000000002</c:v>
                </c:pt>
                <c:pt idx="28">
                  <c:v>0.23329999999999998</c:v>
                </c:pt>
                <c:pt idx="31">
                  <c:v>9.8000000000000004E-2</c:v>
                </c:pt>
                <c:pt idx="32">
                  <c:v>0.17010000000000003</c:v>
                </c:pt>
                <c:pt idx="33">
                  <c:v>0.1736</c:v>
                </c:pt>
                <c:pt idx="34">
                  <c:v>0.19079999999999997</c:v>
                </c:pt>
                <c:pt idx="35">
                  <c:v>0.1956</c:v>
                </c:pt>
                <c:pt idx="38">
                  <c:v>0.13189999999999999</c:v>
                </c:pt>
                <c:pt idx="39">
                  <c:v>0.1386</c:v>
                </c:pt>
                <c:pt idx="40">
                  <c:v>0.21899999999999997</c:v>
                </c:pt>
                <c:pt idx="41">
                  <c:v>0.2213</c:v>
                </c:pt>
                <c:pt idx="42">
                  <c:v>0.18230000000000002</c:v>
                </c:pt>
                <c:pt idx="45">
                  <c:v>0.13200000000000001</c:v>
                </c:pt>
                <c:pt idx="46">
                  <c:v>0.1736</c:v>
                </c:pt>
                <c:pt idx="47">
                  <c:v>0.23760000000000001</c:v>
                </c:pt>
                <c:pt idx="48">
                  <c:v>0.22949999999999998</c:v>
                </c:pt>
                <c:pt idx="49">
                  <c:v>0.17309999999999998</c:v>
                </c:pt>
                <c:pt idx="52">
                  <c:v>0.1124</c:v>
                </c:pt>
                <c:pt idx="53">
                  <c:v>0.17460000000000001</c:v>
                </c:pt>
                <c:pt idx="54">
                  <c:v>0.2515</c:v>
                </c:pt>
                <c:pt idx="55">
                  <c:v>0.25819999999999999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28608"/>
        <c:axId val="273030144"/>
      </c:scatterChart>
      <c:valAx>
        <c:axId val="27302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030144"/>
        <c:crosses val="autoZero"/>
        <c:crossBetween val="midCat"/>
      </c:valAx>
      <c:valAx>
        <c:axId val="27303014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73028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05656620508646"/>
          <c:y val="0.55732175978792386"/>
          <c:w val="0.21294343379491357"/>
          <c:h val="0.122544081142171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SOIL_PROPERTIES!$BP$42:$BP$53</c:f>
              <c:numCache>
                <c:formatCode>General</c:formatCode>
                <c:ptCount val="12"/>
              </c:numCache>
            </c:numRef>
          </c:xVal>
          <c:yVal>
            <c:numRef>
              <c:f>SOIL_PROPERTIES!$BQ$42:$BQ$53</c:f>
              <c:numCache>
                <c:formatCode>General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04448"/>
        <c:axId val="279379968"/>
      </c:scatterChart>
      <c:valAx>
        <c:axId val="2793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9968"/>
        <c:crosses val="autoZero"/>
        <c:crossBetween val="midCat"/>
      </c:valAx>
      <c:valAx>
        <c:axId val="2793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0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194728783902013"/>
                  <c:y val="-0.55862204724409448"/>
                </c:manualLayout>
              </c:layout>
              <c:numFmt formatCode="General" sourceLinked="0"/>
            </c:trendlineLbl>
          </c:trendline>
          <c:xVal>
            <c:numRef>
              <c:f>'Palouse PTF'!$D$4:$D$59</c:f>
              <c:numCache>
                <c:formatCode>General</c:formatCode>
                <c:ptCount val="56"/>
                <c:pt idx="0">
                  <c:v>1.2077120000000001</c:v>
                </c:pt>
                <c:pt idx="1">
                  <c:v>1.4</c:v>
                </c:pt>
                <c:pt idx="2">
                  <c:v>1.47</c:v>
                </c:pt>
                <c:pt idx="3">
                  <c:v>1.5</c:v>
                </c:pt>
                <c:pt idx="4">
                  <c:v>1.66</c:v>
                </c:pt>
                <c:pt idx="5">
                  <c:v>1.71</c:v>
                </c:pt>
                <c:pt idx="6">
                  <c:v>1.66</c:v>
                </c:pt>
                <c:pt idx="9">
                  <c:v>1.37</c:v>
                </c:pt>
                <c:pt idx="10">
                  <c:v>1.38</c:v>
                </c:pt>
                <c:pt idx="11">
                  <c:v>1.37</c:v>
                </c:pt>
                <c:pt idx="12">
                  <c:v>1.51</c:v>
                </c:pt>
                <c:pt idx="13">
                  <c:v>1.53</c:v>
                </c:pt>
                <c:pt idx="14">
                  <c:v>1.68</c:v>
                </c:pt>
                <c:pt idx="15">
                  <c:v>1.65</c:v>
                </c:pt>
                <c:pt idx="16">
                  <c:v>1.67</c:v>
                </c:pt>
                <c:pt idx="20">
                  <c:v>1.56</c:v>
                </c:pt>
                <c:pt idx="21">
                  <c:v>1.81</c:v>
                </c:pt>
                <c:pt idx="22">
                  <c:v>1.71</c:v>
                </c:pt>
                <c:pt idx="23">
                  <c:v>1.55</c:v>
                </c:pt>
                <c:pt idx="26">
                  <c:v>1.5239870000000002</c:v>
                </c:pt>
                <c:pt idx="27">
                  <c:v>1.77</c:v>
                </c:pt>
                <c:pt idx="28">
                  <c:v>1.73</c:v>
                </c:pt>
                <c:pt idx="31">
                  <c:v>1.1824100000000002</c:v>
                </c:pt>
                <c:pt idx="32">
                  <c:v>1.49</c:v>
                </c:pt>
                <c:pt idx="33">
                  <c:v>1.48</c:v>
                </c:pt>
                <c:pt idx="34">
                  <c:v>1.67</c:v>
                </c:pt>
                <c:pt idx="35">
                  <c:v>1.6</c:v>
                </c:pt>
                <c:pt idx="38">
                  <c:v>1.2077120000000001</c:v>
                </c:pt>
                <c:pt idx="39">
                  <c:v>1.270967</c:v>
                </c:pt>
                <c:pt idx="40">
                  <c:v>1.63</c:v>
                </c:pt>
                <c:pt idx="41">
                  <c:v>1.61</c:v>
                </c:pt>
                <c:pt idx="42">
                  <c:v>1.51</c:v>
                </c:pt>
                <c:pt idx="45">
                  <c:v>1.4</c:v>
                </c:pt>
                <c:pt idx="46">
                  <c:v>1.43</c:v>
                </c:pt>
                <c:pt idx="47">
                  <c:v>1.77</c:v>
                </c:pt>
                <c:pt idx="48">
                  <c:v>1.79</c:v>
                </c:pt>
                <c:pt idx="49">
                  <c:v>1.4607320000000001</c:v>
                </c:pt>
                <c:pt idx="52">
                  <c:v>1.1950610000000002</c:v>
                </c:pt>
                <c:pt idx="53">
                  <c:v>1.43</c:v>
                </c:pt>
                <c:pt idx="54">
                  <c:v>1.8</c:v>
                </c:pt>
                <c:pt idx="55">
                  <c:v>1.69</c:v>
                </c:pt>
              </c:numCache>
            </c:numRef>
          </c:xVal>
          <c:yVal>
            <c:numRef>
              <c:f>'Palouse PTF'!$B$4:$B$59</c:f>
              <c:numCache>
                <c:formatCode>0.0%</c:formatCode>
                <c:ptCount val="56"/>
                <c:pt idx="0">
                  <c:v>0.2989</c:v>
                </c:pt>
                <c:pt idx="1">
                  <c:v>0.36979999999999996</c:v>
                </c:pt>
                <c:pt idx="2">
                  <c:v>0.40509999999999996</c:v>
                </c:pt>
                <c:pt idx="3">
                  <c:v>0.35590000000000005</c:v>
                </c:pt>
                <c:pt idx="4">
                  <c:v>0.39789999999999998</c:v>
                </c:pt>
                <c:pt idx="5">
                  <c:v>0.39909999999999995</c:v>
                </c:pt>
                <c:pt idx="6">
                  <c:v>0.32350000000000001</c:v>
                </c:pt>
                <c:pt idx="7">
                  <c:v>0</c:v>
                </c:pt>
                <c:pt idx="9">
                  <c:v>0.3407</c:v>
                </c:pt>
                <c:pt idx="10">
                  <c:v>0.36030000000000001</c:v>
                </c:pt>
                <c:pt idx="11">
                  <c:v>0.35070000000000001</c:v>
                </c:pt>
                <c:pt idx="12">
                  <c:v>0.3836</c:v>
                </c:pt>
                <c:pt idx="13">
                  <c:v>0.37270000000000003</c:v>
                </c:pt>
                <c:pt idx="14">
                  <c:v>0.4108</c:v>
                </c:pt>
                <c:pt idx="15">
                  <c:v>0.42119999999999996</c:v>
                </c:pt>
                <c:pt idx="16">
                  <c:v>0.40639999999999998</c:v>
                </c:pt>
                <c:pt idx="17">
                  <c:v>0</c:v>
                </c:pt>
                <c:pt idx="18">
                  <c:v>0</c:v>
                </c:pt>
                <c:pt idx="20">
                  <c:v>0.31329999999999997</c:v>
                </c:pt>
                <c:pt idx="21">
                  <c:v>0.40029999999999999</c:v>
                </c:pt>
                <c:pt idx="22">
                  <c:v>0.3926</c:v>
                </c:pt>
                <c:pt idx="23">
                  <c:v>0.35220000000000001</c:v>
                </c:pt>
                <c:pt idx="24">
                  <c:v>0</c:v>
                </c:pt>
                <c:pt idx="26">
                  <c:v>0.33189999999999997</c:v>
                </c:pt>
                <c:pt idx="27">
                  <c:v>0.36280000000000001</c:v>
                </c:pt>
                <c:pt idx="28">
                  <c:v>0.3705</c:v>
                </c:pt>
                <c:pt idx="29">
                  <c:v>0</c:v>
                </c:pt>
                <c:pt idx="31">
                  <c:v>0.28300000000000003</c:v>
                </c:pt>
                <c:pt idx="32">
                  <c:v>0.2999</c:v>
                </c:pt>
                <c:pt idx="33">
                  <c:v>0.3332</c:v>
                </c:pt>
                <c:pt idx="34">
                  <c:v>0.36820000000000003</c:v>
                </c:pt>
                <c:pt idx="35">
                  <c:v>0.37340000000000001</c:v>
                </c:pt>
                <c:pt idx="36">
                  <c:v>0</c:v>
                </c:pt>
                <c:pt idx="38">
                  <c:v>0.3054</c:v>
                </c:pt>
                <c:pt idx="39">
                  <c:v>0.31370000000000003</c:v>
                </c:pt>
                <c:pt idx="40">
                  <c:v>0.3725</c:v>
                </c:pt>
                <c:pt idx="41">
                  <c:v>0.37060000000000004</c:v>
                </c:pt>
                <c:pt idx="42">
                  <c:v>0.34189999999999998</c:v>
                </c:pt>
                <c:pt idx="43">
                  <c:v>0</c:v>
                </c:pt>
                <c:pt idx="45">
                  <c:v>0.31170000000000003</c:v>
                </c:pt>
                <c:pt idx="46">
                  <c:v>0.2848</c:v>
                </c:pt>
                <c:pt idx="47">
                  <c:v>0.35220000000000001</c:v>
                </c:pt>
                <c:pt idx="48">
                  <c:v>0.37390000000000001</c:v>
                </c:pt>
                <c:pt idx="49">
                  <c:v>0.26679999999999998</c:v>
                </c:pt>
                <c:pt idx="50">
                  <c:v>0</c:v>
                </c:pt>
                <c:pt idx="52">
                  <c:v>0.2427</c:v>
                </c:pt>
                <c:pt idx="53">
                  <c:v>0.29160000000000003</c:v>
                </c:pt>
                <c:pt idx="54">
                  <c:v>0.38380000000000003</c:v>
                </c:pt>
                <c:pt idx="55">
                  <c:v>0.40429999999999999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14080"/>
        <c:axId val="375895936"/>
      </c:scatterChart>
      <c:valAx>
        <c:axId val="27321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5895936"/>
        <c:crosses val="autoZero"/>
        <c:crossBetween val="midCat"/>
      </c:valAx>
      <c:valAx>
        <c:axId val="3758959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73214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'Palouse PTF'!$Z$5:$Z$12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PTF'!$AA$5:$AA$12</c:f>
              <c:numCache>
                <c:formatCode>General</c:formatCode>
                <c:ptCount val="8"/>
                <c:pt idx="0">
                  <c:v>0.62264150943396224</c:v>
                </c:pt>
                <c:pt idx="1">
                  <c:v>0.58490566037735836</c:v>
                </c:pt>
                <c:pt idx="2">
                  <c:v>0.54716981132075471</c:v>
                </c:pt>
                <c:pt idx="3">
                  <c:v>0.50943396226415083</c:v>
                </c:pt>
                <c:pt idx="4">
                  <c:v>0.47169811320754718</c:v>
                </c:pt>
                <c:pt idx="5">
                  <c:v>0.43396226415094341</c:v>
                </c:pt>
                <c:pt idx="6">
                  <c:v>0.39622641509433953</c:v>
                </c:pt>
                <c:pt idx="7">
                  <c:v>0.35849056603773588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'Palouse PTF'!$Z$5:$Z$12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PTF'!$AB$5:$AB$12</c:f>
              <c:numCache>
                <c:formatCode>General</c:formatCode>
                <c:ptCount val="8"/>
                <c:pt idx="0">
                  <c:v>8.1500000000000017E-2</c:v>
                </c:pt>
                <c:pt idx="1">
                  <c:v>0.11083000000000004</c:v>
                </c:pt>
                <c:pt idx="2">
                  <c:v>0.14016000000000001</c:v>
                </c:pt>
                <c:pt idx="3">
                  <c:v>0.16949000000000003</c:v>
                </c:pt>
                <c:pt idx="4">
                  <c:v>0.19882</c:v>
                </c:pt>
                <c:pt idx="5">
                  <c:v>0.22815000000000002</c:v>
                </c:pt>
                <c:pt idx="6">
                  <c:v>0.25748000000000004</c:v>
                </c:pt>
                <c:pt idx="7">
                  <c:v>0.28681000000000001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'Palouse PTF'!$Z$5:$Z$12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PTF'!$AC$5:$AC$12</c:f>
              <c:numCache>
                <c:formatCode>General</c:formatCode>
                <c:ptCount val="8"/>
                <c:pt idx="0">
                  <c:v>0.2591</c:v>
                </c:pt>
                <c:pt idx="1">
                  <c:v>0.28327000000000002</c:v>
                </c:pt>
                <c:pt idx="2">
                  <c:v>0.30743999999999994</c:v>
                </c:pt>
                <c:pt idx="3">
                  <c:v>0.33160999999999996</c:v>
                </c:pt>
                <c:pt idx="4">
                  <c:v>0.35577999999999999</c:v>
                </c:pt>
                <c:pt idx="5">
                  <c:v>0.37995000000000001</c:v>
                </c:pt>
                <c:pt idx="6">
                  <c:v>0.36622641509433951</c:v>
                </c:pt>
                <c:pt idx="7">
                  <c:v>0.32849056603773585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'Palouse PTF'!$Z$5:$Z$12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PTF'!$AD$5:$AD$12</c:f>
              <c:numCache>
                <c:formatCode>General</c:formatCode>
                <c:ptCount val="8"/>
                <c:pt idx="0">
                  <c:v>0.17759999999999998</c:v>
                </c:pt>
                <c:pt idx="1">
                  <c:v>0.17243999999999998</c:v>
                </c:pt>
                <c:pt idx="2">
                  <c:v>0.16727999999999993</c:v>
                </c:pt>
                <c:pt idx="3">
                  <c:v>0.16211999999999993</c:v>
                </c:pt>
                <c:pt idx="4">
                  <c:v>0.15695999999999999</c:v>
                </c:pt>
                <c:pt idx="5">
                  <c:v>0.15179999999999999</c:v>
                </c:pt>
                <c:pt idx="6">
                  <c:v>0.10874641509433947</c:v>
                </c:pt>
                <c:pt idx="7">
                  <c:v>4.1680566037735844E-2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20800"/>
        <c:axId val="386222336"/>
      </c:scatterChart>
      <c:valAx>
        <c:axId val="38622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222336"/>
        <c:crosses val="autoZero"/>
        <c:crossBetween val="midCat"/>
      </c:valAx>
      <c:valAx>
        <c:axId val="38622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220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'Palouse PTF'!$AG$4</c:f>
              <c:strCache>
                <c:ptCount val="1"/>
                <c:pt idx="0">
                  <c:v>porosity</c:v>
                </c:pt>
              </c:strCache>
            </c:strRef>
          </c:tx>
          <c:xVal>
            <c:numRef>
              <c:f>'Palouse PTF'!$AF$5:$AF$12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PTF'!$AG$5:$AG$12</c:f>
              <c:numCache>
                <c:formatCode>General</c:formatCode>
                <c:ptCount val="8"/>
                <c:pt idx="0">
                  <c:v>0.62264150943396224</c:v>
                </c:pt>
                <c:pt idx="1">
                  <c:v>0.58490566037735836</c:v>
                </c:pt>
                <c:pt idx="2">
                  <c:v>0.54716981132075471</c:v>
                </c:pt>
                <c:pt idx="3">
                  <c:v>0.50943396226415083</c:v>
                </c:pt>
                <c:pt idx="4">
                  <c:v>0.47169811320754718</c:v>
                </c:pt>
                <c:pt idx="5">
                  <c:v>0.43396226415094341</c:v>
                </c:pt>
                <c:pt idx="6">
                  <c:v>0.39622641509433953</c:v>
                </c:pt>
                <c:pt idx="7">
                  <c:v>0.35849056603773588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'Palouse PTF'!$AH$4</c:f>
              <c:strCache>
                <c:ptCount val="1"/>
                <c:pt idx="0">
                  <c:v>wp</c:v>
                </c:pt>
              </c:strCache>
            </c:strRef>
          </c:tx>
          <c:xVal>
            <c:numRef>
              <c:f>'Palouse PTF'!$AF$5:$AF$12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PTF'!$AH$5:$AH$12</c:f>
              <c:numCache>
                <c:formatCode>General</c:formatCode>
                <c:ptCount val="8"/>
                <c:pt idx="0">
                  <c:v>7.1500000000000008E-2</c:v>
                </c:pt>
                <c:pt idx="1">
                  <c:v>9.4350000000000017E-2</c:v>
                </c:pt>
                <c:pt idx="2">
                  <c:v>0.1172</c:v>
                </c:pt>
                <c:pt idx="3">
                  <c:v>0.14005000000000004</c:v>
                </c:pt>
                <c:pt idx="4">
                  <c:v>0.16290000000000002</c:v>
                </c:pt>
                <c:pt idx="5">
                  <c:v>0.18575</c:v>
                </c:pt>
                <c:pt idx="6">
                  <c:v>0.20860000000000004</c:v>
                </c:pt>
                <c:pt idx="7">
                  <c:v>0.23145000000000002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'Palouse PTF'!$AI$4</c:f>
              <c:strCache>
                <c:ptCount val="1"/>
                <c:pt idx="0">
                  <c:v>fc</c:v>
                </c:pt>
              </c:strCache>
            </c:strRef>
          </c:tx>
          <c:xVal>
            <c:numRef>
              <c:f>'Palouse PTF'!$AF$5:$AF$12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PTF'!$AI$5:$AI$12</c:f>
              <c:numCache>
                <c:formatCode>General</c:formatCode>
                <c:ptCount val="8"/>
                <c:pt idx="0">
                  <c:v>0.28259999999999996</c:v>
                </c:pt>
                <c:pt idx="1">
                  <c:v>0.29632000000000003</c:v>
                </c:pt>
                <c:pt idx="2">
                  <c:v>0.31003999999999998</c:v>
                </c:pt>
                <c:pt idx="3">
                  <c:v>0.32375999999999999</c:v>
                </c:pt>
                <c:pt idx="4">
                  <c:v>0.33748</c:v>
                </c:pt>
                <c:pt idx="5">
                  <c:v>0.35119999999999996</c:v>
                </c:pt>
                <c:pt idx="6">
                  <c:v>0.36492000000000002</c:v>
                </c:pt>
                <c:pt idx="7">
                  <c:v>0.32849056603773585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'Palouse PTF'!$AJ$4</c:f>
              <c:strCache>
                <c:ptCount val="1"/>
                <c:pt idx="0">
                  <c:v>awc</c:v>
                </c:pt>
              </c:strCache>
            </c:strRef>
          </c:tx>
          <c:xVal>
            <c:numRef>
              <c:f>'Palouse PTF'!$AF$5:$AF$12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PTF'!$AJ$5:$AJ$12</c:f>
              <c:numCache>
                <c:formatCode>General</c:formatCode>
                <c:ptCount val="8"/>
                <c:pt idx="0">
                  <c:v>0.21109999999999995</c:v>
                </c:pt>
                <c:pt idx="1">
                  <c:v>0.20197000000000001</c:v>
                </c:pt>
                <c:pt idx="2">
                  <c:v>0.19283999999999998</c:v>
                </c:pt>
                <c:pt idx="3">
                  <c:v>0.18370999999999996</c:v>
                </c:pt>
                <c:pt idx="4">
                  <c:v>0.17457999999999999</c:v>
                </c:pt>
                <c:pt idx="5">
                  <c:v>0.16544999999999996</c:v>
                </c:pt>
                <c:pt idx="6">
                  <c:v>0.15631999999999999</c:v>
                </c:pt>
                <c:pt idx="7">
                  <c:v>9.7040566037735837E-2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97696"/>
        <c:axId val="272799232"/>
      </c:scatterChart>
      <c:valAx>
        <c:axId val="27279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2799232"/>
        <c:crosses val="autoZero"/>
        <c:crossBetween val="midCat"/>
      </c:valAx>
      <c:valAx>
        <c:axId val="27279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797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'Palouse PTF'!$AD$4</c:f>
              <c:strCache>
                <c:ptCount val="1"/>
                <c:pt idx="0">
                  <c:v>awc</c:v>
                </c:pt>
              </c:strCache>
            </c:strRef>
          </c:tx>
          <c:xVal>
            <c:numRef>
              <c:f>'Palouse PTF'!$Z$5:$Z$12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PTF'!$AD$5:$AD$12</c:f>
              <c:numCache>
                <c:formatCode>General</c:formatCode>
                <c:ptCount val="8"/>
                <c:pt idx="0">
                  <c:v>0.17759999999999998</c:v>
                </c:pt>
                <c:pt idx="1">
                  <c:v>0.17243999999999998</c:v>
                </c:pt>
                <c:pt idx="2">
                  <c:v>0.16727999999999993</c:v>
                </c:pt>
                <c:pt idx="3">
                  <c:v>0.16211999999999993</c:v>
                </c:pt>
                <c:pt idx="4">
                  <c:v>0.15695999999999999</c:v>
                </c:pt>
                <c:pt idx="5">
                  <c:v>0.15179999999999999</c:v>
                </c:pt>
                <c:pt idx="6">
                  <c:v>0.10874641509433947</c:v>
                </c:pt>
                <c:pt idx="7">
                  <c:v>4.1680566037735844E-2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'Palouse PTF'!$AJ$4</c:f>
              <c:strCache>
                <c:ptCount val="1"/>
                <c:pt idx="0">
                  <c:v>awc</c:v>
                </c:pt>
              </c:strCache>
            </c:strRef>
          </c:tx>
          <c:xVal>
            <c:numRef>
              <c:f>'Palouse PTF'!$Z$5:$Z$12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PTF'!$AJ$5:$AJ$12</c:f>
              <c:numCache>
                <c:formatCode>General</c:formatCode>
                <c:ptCount val="8"/>
                <c:pt idx="0">
                  <c:v>0.21109999999999995</c:v>
                </c:pt>
                <c:pt idx="1">
                  <c:v>0.20197000000000001</c:v>
                </c:pt>
                <c:pt idx="2">
                  <c:v>0.19283999999999998</c:v>
                </c:pt>
                <c:pt idx="3">
                  <c:v>0.18370999999999996</c:v>
                </c:pt>
                <c:pt idx="4">
                  <c:v>0.17457999999999999</c:v>
                </c:pt>
                <c:pt idx="5">
                  <c:v>0.16544999999999996</c:v>
                </c:pt>
                <c:pt idx="6">
                  <c:v>0.15631999999999999</c:v>
                </c:pt>
                <c:pt idx="7">
                  <c:v>9.7040566037735837E-2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815616"/>
        <c:axId val="272817152"/>
      </c:scatterChart>
      <c:valAx>
        <c:axId val="27281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2817152"/>
        <c:crosses val="autoZero"/>
        <c:crossBetween val="midCat"/>
      </c:valAx>
      <c:valAx>
        <c:axId val="27281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815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'Palouse PTF'!$AW$4:$AW$65</c:f>
              <c:numCache>
                <c:formatCode>General</c:formatCode>
                <c:ptCount val="62"/>
                <c:pt idx="1">
                  <c:v>1.24</c:v>
                </c:pt>
                <c:pt idx="2">
                  <c:v>1.26</c:v>
                </c:pt>
                <c:pt idx="3">
                  <c:v>1.26</c:v>
                </c:pt>
                <c:pt idx="4">
                  <c:v>1.27</c:v>
                </c:pt>
                <c:pt idx="5">
                  <c:v>1.27</c:v>
                </c:pt>
                <c:pt idx="6">
                  <c:v>1.28</c:v>
                </c:pt>
                <c:pt idx="7">
                  <c:v>1.29</c:v>
                </c:pt>
                <c:pt idx="8">
                  <c:v>1.34</c:v>
                </c:pt>
                <c:pt idx="9">
                  <c:v>1.34</c:v>
                </c:pt>
                <c:pt idx="10">
                  <c:v>1.35</c:v>
                </c:pt>
                <c:pt idx="11">
                  <c:v>1.37</c:v>
                </c:pt>
                <c:pt idx="12">
                  <c:v>1.39</c:v>
                </c:pt>
                <c:pt idx="13">
                  <c:v>1.39</c:v>
                </c:pt>
                <c:pt idx="14">
                  <c:v>1.41</c:v>
                </c:pt>
                <c:pt idx="15">
                  <c:v>1.42</c:v>
                </c:pt>
                <c:pt idx="16">
                  <c:v>1.43</c:v>
                </c:pt>
                <c:pt idx="17">
                  <c:v>1.43</c:v>
                </c:pt>
                <c:pt idx="18">
                  <c:v>1.46</c:v>
                </c:pt>
                <c:pt idx="19">
                  <c:v>1.46</c:v>
                </c:pt>
                <c:pt idx="20">
                  <c:v>1.46</c:v>
                </c:pt>
                <c:pt idx="21">
                  <c:v>1.46</c:v>
                </c:pt>
                <c:pt idx="22">
                  <c:v>1.47</c:v>
                </c:pt>
                <c:pt idx="23">
                  <c:v>1.48</c:v>
                </c:pt>
                <c:pt idx="24">
                  <c:v>1.49</c:v>
                </c:pt>
                <c:pt idx="25">
                  <c:v>1.49</c:v>
                </c:pt>
                <c:pt idx="26">
                  <c:v>1.5</c:v>
                </c:pt>
                <c:pt idx="27">
                  <c:v>1.51</c:v>
                </c:pt>
                <c:pt idx="28">
                  <c:v>1.51</c:v>
                </c:pt>
                <c:pt idx="29">
                  <c:v>1.51</c:v>
                </c:pt>
                <c:pt idx="30">
                  <c:v>1.51</c:v>
                </c:pt>
                <c:pt idx="31">
                  <c:v>1.54</c:v>
                </c:pt>
                <c:pt idx="32">
                  <c:v>1.54</c:v>
                </c:pt>
                <c:pt idx="33">
                  <c:v>1.58</c:v>
                </c:pt>
                <c:pt idx="34">
                  <c:v>1.59</c:v>
                </c:pt>
              </c:numCache>
            </c:numRef>
          </c:xVal>
          <c:yVal>
            <c:numRef>
              <c:f>'Palouse PTF'!$AX$4:$AX$65</c:f>
              <c:numCache>
                <c:formatCode>General</c:formatCode>
                <c:ptCount val="62"/>
                <c:pt idx="1">
                  <c:v>1.37</c:v>
                </c:pt>
                <c:pt idx="2">
                  <c:v>1.4</c:v>
                </c:pt>
                <c:pt idx="3">
                  <c:v>1.37</c:v>
                </c:pt>
                <c:pt idx="4">
                  <c:v>1.4</c:v>
                </c:pt>
                <c:pt idx="5">
                  <c:v>1.43</c:v>
                </c:pt>
                <c:pt idx="6">
                  <c:v>1.38</c:v>
                </c:pt>
                <c:pt idx="7">
                  <c:v>1.43</c:v>
                </c:pt>
                <c:pt idx="8">
                  <c:v>1.48</c:v>
                </c:pt>
                <c:pt idx="9">
                  <c:v>1.51</c:v>
                </c:pt>
                <c:pt idx="10">
                  <c:v>1.49</c:v>
                </c:pt>
                <c:pt idx="11">
                  <c:v>1.47</c:v>
                </c:pt>
                <c:pt idx="12">
                  <c:v>1.53</c:v>
                </c:pt>
                <c:pt idx="13">
                  <c:v>1.55</c:v>
                </c:pt>
                <c:pt idx="14">
                  <c:v>1.56</c:v>
                </c:pt>
                <c:pt idx="15">
                  <c:v>1.51</c:v>
                </c:pt>
                <c:pt idx="16">
                  <c:v>1.5</c:v>
                </c:pt>
                <c:pt idx="17">
                  <c:v>1.61</c:v>
                </c:pt>
                <c:pt idx="18">
                  <c:v>1.66</c:v>
                </c:pt>
                <c:pt idx="19">
                  <c:v>1.81</c:v>
                </c:pt>
                <c:pt idx="20">
                  <c:v>1.6</c:v>
                </c:pt>
                <c:pt idx="21">
                  <c:v>1.63</c:v>
                </c:pt>
                <c:pt idx="22">
                  <c:v>1.66</c:v>
                </c:pt>
                <c:pt idx="23">
                  <c:v>1.69</c:v>
                </c:pt>
                <c:pt idx="24">
                  <c:v>1.65</c:v>
                </c:pt>
                <c:pt idx="25">
                  <c:v>1.77</c:v>
                </c:pt>
                <c:pt idx="26">
                  <c:v>1.68</c:v>
                </c:pt>
                <c:pt idx="27">
                  <c:v>1.67</c:v>
                </c:pt>
                <c:pt idx="28">
                  <c:v>1.67</c:v>
                </c:pt>
                <c:pt idx="29">
                  <c:v>1.77</c:v>
                </c:pt>
                <c:pt idx="30">
                  <c:v>1.8</c:v>
                </c:pt>
                <c:pt idx="31">
                  <c:v>1.71</c:v>
                </c:pt>
                <c:pt idx="32">
                  <c:v>1.73</c:v>
                </c:pt>
                <c:pt idx="33">
                  <c:v>1.71</c:v>
                </c:pt>
                <c:pt idx="34">
                  <c:v>1.79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825728"/>
        <c:axId val="272827520"/>
      </c:scatterChart>
      <c:valAx>
        <c:axId val="2728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2827520"/>
        <c:crosses val="autoZero"/>
        <c:crossBetween val="midCat"/>
      </c:valAx>
      <c:valAx>
        <c:axId val="27282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825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274081364829399"/>
                  <c:y val="-0.27273038786818316"/>
                </c:manualLayout>
              </c:layout>
              <c:numFmt formatCode="General" sourceLinked="0"/>
            </c:trendlineLbl>
          </c:trendline>
          <c:xVal>
            <c:numRef>
              <c:f>'Palouse PTF'!$AW$5:$AW$38</c:f>
              <c:numCache>
                <c:formatCode>General</c:formatCode>
                <c:ptCount val="34"/>
                <c:pt idx="0">
                  <c:v>1.24</c:v>
                </c:pt>
                <c:pt idx="1">
                  <c:v>1.26</c:v>
                </c:pt>
                <c:pt idx="2">
                  <c:v>1.26</c:v>
                </c:pt>
                <c:pt idx="3">
                  <c:v>1.27</c:v>
                </c:pt>
                <c:pt idx="4">
                  <c:v>1.27</c:v>
                </c:pt>
                <c:pt idx="5">
                  <c:v>1.28</c:v>
                </c:pt>
                <c:pt idx="6">
                  <c:v>1.29</c:v>
                </c:pt>
                <c:pt idx="7">
                  <c:v>1.34</c:v>
                </c:pt>
                <c:pt idx="8">
                  <c:v>1.34</c:v>
                </c:pt>
                <c:pt idx="9">
                  <c:v>1.35</c:v>
                </c:pt>
                <c:pt idx="10">
                  <c:v>1.37</c:v>
                </c:pt>
                <c:pt idx="11">
                  <c:v>1.39</c:v>
                </c:pt>
                <c:pt idx="12">
                  <c:v>1.39</c:v>
                </c:pt>
                <c:pt idx="13">
                  <c:v>1.41</c:v>
                </c:pt>
                <c:pt idx="14">
                  <c:v>1.42</c:v>
                </c:pt>
                <c:pt idx="15">
                  <c:v>1.43</c:v>
                </c:pt>
                <c:pt idx="16">
                  <c:v>1.43</c:v>
                </c:pt>
                <c:pt idx="17">
                  <c:v>1.46</c:v>
                </c:pt>
                <c:pt idx="18">
                  <c:v>1.46</c:v>
                </c:pt>
                <c:pt idx="19">
                  <c:v>1.46</c:v>
                </c:pt>
                <c:pt idx="20">
                  <c:v>1.46</c:v>
                </c:pt>
                <c:pt idx="21">
                  <c:v>1.47</c:v>
                </c:pt>
                <c:pt idx="22">
                  <c:v>1.48</c:v>
                </c:pt>
                <c:pt idx="23">
                  <c:v>1.49</c:v>
                </c:pt>
                <c:pt idx="24">
                  <c:v>1.49</c:v>
                </c:pt>
                <c:pt idx="25">
                  <c:v>1.5</c:v>
                </c:pt>
                <c:pt idx="26">
                  <c:v>1.51</c:v>
                </c:pt>
                <c:pt idx="27">
                  <c:v>1.51</c:v>
                </c:pt>
                <c:pt idx="28">
                  <c:v>1.51</c:v>
                </c:pt>
                <c:pt idx="29">
                  <c:v>1.51</c:v>
                </c:pt>
                <c:pt idx="30">
                  <c:v>1.54</c:v>
                </c:pt>
                <c:pt idx="31">
                  <c:v>1.54</c:v>
                </c:pt>
                <c:pt idx="32">
                  <c:v>1.58</c:v>
                </c:pt>
                <c:pt idx="33">
                  <c:v>1.59</c:v>
                </c:pt>
              </c:numCache>
            </c:numRef>
          </c:xVal>
          <c:yVal>
            <c:numRef>
              <c:f>'Palouse PTF'!$AY$5:$AY$38</c:f>
              <c:numCache>
                <c:formatCode>General</c:formatCode>
                <c:ptCount val="34"/>
                <c:pt idx="0">
                  <c:v>0.13000000000000012</c:v>
                </c:pt>
                <c:pt idx="1">
                  <c:v>0.1399999999999999</c:v>
                </c:pt>
                <c:pt idx="2">
                  <c:v>0.1100000000000001</c:v>
                </c:pt>
                <c:pt idx="3">
                  <c:v>0.12999999999999989</c:v>
                </c:pt>
                <c:pt idx="4">
                  <c:v>0.15999999999999992</c:v>
                </c:pt>
                <c:pt idx="5">
                  <c:v>9.9999999999999867E-2</c:v>
                </c:pt>
                <c:pt idx="6">
                  <c:v>0.1399999999999999</c:v>
                </c:pt>
                <c:pt idx="7">
                  <c:v>0.1399999999999999</c:v>
                </c:pt>
                <c:pt idx="8">
                  <c:v>0.16999999999999993</c:v>
                </c:pt>
                <c:pt idx="9">
                  <c:v>0.1399999999999999</c:v>
                </c:pt>
                <c:pt idx="10">
                  <c:v>9.9999999999999867E-2</c:v>
                </c:pt>
                <c:pt idx="11">
                  <c:v>0.14000000000000012</c:v>
                </c:pt>
                <c:pt idx="12">
                  <c:v>0.16000000000000014</c:v>
                </c:pt>
                <c:pt idx="13">
                  <c:v>0.15000000000000013</c:v>
                </c:pt>
                <c:pt idx="14">
                  <c:v>9.000000000000008E-2</c:v>
                </c:pt>
                <c:pt idx="15">
                  <c:v>7.0000000000000062E-2</c:v>
                </c:pt>
                <c:pt idx="16">
                  <c:v>0.18000000000000016</c:v>
                </c:pt>
                <c:pt idx="17">
                  <c:v>0.19999999999999996</c:v>
                </c:pt>
                <c:pt idx="18">
                  <c:v>0.35000000000000009</c:v>
                </c:pt>
                <c:pt idx="19">
                  <c:v>0.14000000000000012</c:v>
                </c:pt>
                <c:pt idx="20">
                  <c:v>0.16999999999999993</c:v>
                </c:pt>
                <c:pt idx="21">
                  <c:v>0.18999999999999995</c:v>
                </c:pt>
                <c:pt idx="22">
                  <c:v>0.20999999999999996</c:v>
                </c:pt>
                <c:pt idx="23">
                  <c:v>0.15999999999999992</c:v>
                </c:pt>
                <c:pt idx="24">
                  <c:v>0.28000000000000003</c:v>
                </c:pt>
                <c:pt idx="25">
                  <c:v>0.17999999999999994</c:v>
                </c:pt>
                <c:pt idx="26">
                  <c:v>0.15999999999999992</c:v>
                </c:pt>
                <c:pt idx="27">
                  <c:v>0.15999999999999992</c:v>
                </c:pt>
                <c:pt idx="28">
                  <c:v>0.26</c:v>
                </c:pt>
                <c:pt idx="29">
                  <c:v>0.29000000000000004</c:v>
                </c:pt>
                <c:pt idx="30">
                  <c:v>0.16999999999999993</c:v>
                </c:pt>
                <c:pt idx="31">
                  <c:v>0.18999999999999995</c:v>
                </c:pt>
                <c:pt idx="32">
                  <c:v>0.12999999999999989</c:v>
                </c:pt>
                <c:pt idx="33">
                  <c:v>0.19999999999999996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852480"/>
        <c:axId val="272854016"/>
      </c:scatterChart>
      <c:valAx>
        <c:axId val="2728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2854016"/>
        <c:crosses val="autoZero"/>
        <c:crossBetween val="midCat"/>
      </c:valAx>
      <c:valAx>
        <c:axId val="2728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852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'Palouse PTF'!$AN$4</c:f>
              <c:strCache>
                <c:ptCount val="1"/>
                <c:pt idx="0">
                  <c:v>porosity</c:v>
                </c:pt>
              </c:strCache>
            </c:strRef>
          </c:tx>
          <c:xVal>
            <c:numRef>
              <c:f>'Palouse PTF'!$AM$5:$AM$12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PTF'!$AN$5:$AN$12</c:f>
              <c:numCache>
                <c:formatCode>General</c:formatCode>
                <c:ptCount val="8"/>
                <c:pt idx="0">
                  <c:v>0.62264150943396224</c:v>
                </c:pt>
                <c:pt idx="1">
                  <c:v>0.58490566037735836</c:v>
                </c:pt>
                <c:pt idx="2">
                  <c:v>0.54716981132075471</c:v>
                </c:pt>
                <c:pt idx="3">
                  <c:v>0.50943396226415083</c:v>
                </c:pt>
                <c:pt idx="4">
                  <c:v>0.47169811320754718</c:v>
                </c:pt>
                <c:pt idx="5">
                  <c:v>0.43396226415094341</c:v>
                </c:pt>
                <c:pt idx="6">
                  <c:v>0.39622641509433953</c:v>
                </c:pt>
                <c:pt idx="7">
                  <c:v>0.35849056603773588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'Palouse PTF'!$AO$4</c:f>
              <c:strCache>
                <c:ptCount val="1"/>
                <c:pt idx="0">
                  <c:v>wp</c:v>
                </c:pt>
              </c:strCache>
            </c:strRef>
          </c:tx>
          <c:xVal>
            <c:numRef>
              <c:f>'Palouse PTF'!$AM$5:$AM$12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PTF'!$AO$5:$AO$12</c:f>
              <c:numCache>
                <c:formatCode>General</c:formatCode>
                <c:ptCount val="8"/>
                <c:pt idx="0">
                  <c:v>6.5600000000000019E-2</c:v>
                </c:pt>
                <c:pt idx="1">
                  <c:v>8.9360000000000051E-2</c:v>
                </c:pt>
                <c:pt idx="2">
                  <c:v>0.11312</c:v>
                </c:pt>
                <c:pt idx="3">
                  <c:v>0.13688000000000006</c:v>
                </c:pt>
                <c:pt idx="4">
                  <c:v>0.16064000000000001</c:v>
                </c:pt>
                <c:pt idx="5">
                  <c:v>0.18440000000000001</c:v>
                </c:pt>
                <c:pt idx="6">
                  <c:v>0.20816000000000007</c:v>
                </c:pt>
                <c:pt idx="7">
                  <c:v>0.23192000000000002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'Palouse PTF'!$AP$4</c:f>
              <c:strCache>
                <c:ptCount val="1"/>
                <c:pt idx="0">
                  <c:v>fc</c:v>
                </c:pt>
              </c:strCache>
            </c:strRef>
          </c:tx>
          <c:xVal>
            <c:numRef>
              <c:f>'Palouse PTF'!$AM$5:$AM$12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PTF'!$AP$5:$AP$12</c:f>
              <c:numCache>
                <c:formatCode>General</c:formatCode>
                <c:ptCount val="8"/>
                <c:pt idx="0">
                  <c:v>0.25769999999999998</c:v>
                </c:pt>
                <c:pt idx="1">
                  <c:v>0.27507000000000004</c:v>
                </c:pt>
                <c:pt idx="2">
                  <c:v>0.29243999999999998</c:v>
                </c:pt>
                <c:pt idx="3">
                  <c:v>0.30981000000000003</c:v>
                </c:pt>
                <c:pt idx="4">
                  <c:v>0.32717999999999997</c:v>
                </c:pt>
                <c:pt idx="5">
                  <c:v>0.34455000000000002</c:v>
                </c:pt>
                <c:pt idx="6">
                  <c:v>0.36192000000000002</c:v>
                </c:pt>
                <c:pt idx="7">
                  <c:v>0.32849056603773585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'Palouse PTF'!$AQ$4</c:f>
              <c:strCache>
                <c:ptCount val="1"/>
                <c:pt idx="0">
                  <c:v>awc</c:v>
                </c:pt>
              </c:strCache>
            </c:strRef>
          </c:tx>
          <c:xVal>
            <c:numRef>
              <c:f>'Palouse PTF'!$AM$5:$AM$12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PTF'!$AQ$5:$AQ$12</c:f>
              <c:numCache>
                <c:formatCode>General</c:formatCode>
                <c:ptCount val="8"/>
                <c:pt idx="0">
                  <c:v>0.19209999999999997</c:v>
                </c:pt>
                <c:pt idx="1">
                  <c:v>0.18570999999999999</c:v>
                </c:pt>
                <c:pt idx="2">
                  <c:v>0.17931999999999998</c:v>
                </c:pt>
                <c:pt idx="3">
                  <c:v>0.17292999999999997</c:v>
                </c:pt>
                <c:pt idx="4">
                  <c:v>0.16653999999999997</c:v>
                </c:pt>
                <c:pt idx="5">
                  <c:v>0.16015000000000001</c:v>
                </c:pt>
                <c:pt idx="6">
                  <c:v>0.15375999999999995</c:v>
                </c:pt>
                <c:pt idx="7">
                  <c:v>9.6570566037735839E-2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876672"/>
        <c:axId val="272878208"/>
      </c:scatterChart>
      <c:valAx>
        <c:axId val="27287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2878208"/>
        <c:crosses val="autoZero"/>
        <c:crossBetween val="midCat"/>
      </c:valAx>
      <c:valAx>
        <c:axId val="2728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876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'Palouse PTF'!$O$4</c:f>
              <c:strCache>
                <c:ptCount val="1"/>
              </c:strCache>
            </c:strRef>
          </c:tx>
          <c:spPr>
            <a:ln w="19050">
              <a:noFill/>
            </a:ln>
          </c:spPr>
          <c:trendline>
            <c:trendlineType val="linear"/>
            <c:forward val="2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579273840769904"/>
                  <c:y val="-0.27727216389617965"/>
                </c:manualLayout>
              </c:layout>
              <c:numFmt formatCode="General" sourceLinked="0"/>
            </c:trendlineLbl>
          </c:trendline>
          <c:xVal>
            <c:numRef>
              <c:f>'Palouse PTF'!$C$5:$C$59</c:f>
              <c:numCache>
                <c:formatCode>General</c:formatCode>
                <c:ptCount val="55"/>
                <c:pt idx="0">
                  <c:v>1.4</c:v>
                </c:pt>
                <c:pt idx="1">
                  <c:v>1.47</c:v>
                </c:pt>
                <c:pt idx="2">
                  <c:v>1.5</c:v>
                </c:pt>
                <c:pt idx="3">
                  <c:v>1.66</c:v>
                </c:pt>
                <c:pt idx="4">
                  <c:v>1.71</c:v>
                </c:pt>
                <c:pt idx="5">
                  <c:v>1.66</c:v>
                </c:pt>
                <c:pt idx="8">
                  <c:v>1.37</c:v>
                </c:pt>
                <c:pt idx="9">
                  <c:v>1.38</c:v>
                </c:pt>
                <c:pt idx="10">
                  <c:v>1.37</c:v>
                </c:pt>
                <c:pt idx="11">
                  <c:v>1.51</c:v>
                </c:pt>
                <c:pt idx="12">
                  <c:v>1.53</c:v>
                </c:pt>
                <c:pt idx="13">
                  <c:v>1.68</c:v>
                </c:pt>
                <c:pt idx="14">
                  <c:v>1.65</c:v>
                </c:pt>
                <c:pt idx="15">
                  <c:v>1.67</c:v>
                </c:pt>
                <c:pt idx="19">
                  <c:v>1.56</c:v>
                </c:pt>
                <c:pt idx="20">
                  <c:v>1.81</c:v>
                </c:pt>
                <c:pt idx="21">
                  <c:v>1.71</c:v>
                </c:pt>
                <c:pt idx="22">
                  <c:v>1.55</c:v>
                </c:pt>
                <c:pt idx="26">
                  <c:v>1.77</c:v>
                </c:pt>
                <c:pt idx="27">
                  <c:v>1.73</c:v>
                </c:pt>
                <c:pt idx="31">
                  <c:v>1.49</c:v>
                </c:pt>
                <c:pt idx="32">
                  <c:v>1.48</c:v>
                </c:pt>
                <c:pt idx="33">
                  <c:v>1.67</c:v>
                </c:pt>
                <c:pt idx="34">
                  <c:v>1.6</c:v>
                </c:pt>
                <c:pt idx="39">
                  <c:v>1.63</c:v>
                </c:pt>
                <c:pt idx="40">
                  <c:v>1.61</c:v>
                </c:pt>
                <c:pt idx="41">
                  <c:v>1.51</c:v>
                </c:pt>
                <c:pt idx="44">
                  <c:v>1.4</c:v>
                </c:pt>
                <c:pt idx="45">
                  <c:v>1.43</c:v>
                </c:pt>
                <c:pt idx="46">
                  <c:v>1.77</c:v>
                </c:pt>
                <c:pt idx="47">
                  <c:v>1.79</c:v>
                </c:pt>
                <c:pt idx="52">
                  <c:v>1.43</c:v>
                </c:pt>
                <c:pt idx="53">
                  <c:v>1.8</c:v>
                </c:pt>
                <c:pt idx="54">
                  <c:v>1.69</c:v>
                </c:pt>
              </c:numCache>
            </c:numRef>
          </c:xVal>
          <c:yVal>
            <c:numRef>
              <c:f>'Palouse PTF'!$O$5:$O$59</c:f>
              <c:numCache>
                <c:formatCode>General</c:formatCode>
                <c:ptCount val="55"/>
                <c:pt idx="0">
                  <c:v>7.9727777777777771</c:v>
                </c:pt>
                <c:pt idx="1">
                  <c:v>2.681111111111111</c:v>
                </c:pt>
                <c:pt idx="2">
                  <c:v>1.27</c:v>
                </c:pt>
                <c:pt idx="3">
                  <c:v>0</c:v>
                </c:pt>
                <c:pt idx="4">
                  <c:v>0.49388888888888893</c:v>
                </c:pt>
                <c:pt idx="5">
                  <c:v>0.84666666666666668</c:v>
                </c:pt>
                <c:pt idx="8">
                  <c:v>5.362222222222222</c:v>
                </c:pt>
                <c:pt idx="9">
                  <c:v>4.0569444444444445</c:v>
                </c:pt>
                <c:pt idx="10">
                  <c:v>8.2550000000000008</c:v>
                </c:pt>
                <c:pt idx="11">
                  <c:v>0.49388888888888893</c:v>
                </c:pt>
                <c:pt idx="12">
                  <c:v>1.0583333333333333</c:v>
                </c:pt>
                <c:pt idx="13">
                  <c:v>0.14111111111111113</c:v>
                </c:pt>
                <c:pt idx="14">
                  <c:v>0</c:v>
                </c:pt>
                <c:pt idx="15">
                  <c:v>0</c:v>
                </c:pt>
                <c:pt idx="19">
                  <c:v>3.6688888888888891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0.56444444444444453</c:v>
                </c:pt>
                <c:pt idx="30">
                  <c:v>0</c:v>
                </c:pt>
                <c:pt idx="31">
                  <c:v>1.1994444444444445</c:v>
                </c:pt>
                <c:pt idx="32">
                  <c:v>3.0338888888888889</c:v>
                </c:pt>
                <c:pt idx="33">
                  <c:v>0.91722222222222227</c:v>
                </c:pt>
                <c:pt idx="34">
                  <c:v>0.63500000000000001</c:v>
                </c:pt>
                <c:pt idx="37">
                  <c:v>0</c:v>
                </c:pt>
                <c:pt idx="38">
                  <c:v>0</c:v>
                </c:pt>
                <c:pt idx="39">
                  <c:v>1.6227777777777781</c:v>
                </c:pt>
                <c:pt idx="40">
                  <c:v>0.84666666666666668</c:v>
                </c:pt>
                <c:pt idx="41">
                  <c:v>1.6227777777777781</c:v>
                </c:pt>
                <c:pt idx="44">
                  <c:v>3.598333333333334</c:v>
                </c:pt>
                <c:pt idx="45">
                  <c:v>3.5277777777777777</c:v>
                </c:pt>
                <c:pt idx="46">
                  <c:v>0.49388888888888893</c:v>
                </c:pt>
                <c:pt idx="47">
                  <c:v>0.28222222222222226</c:v>
                </c:pt>
                <c:pt idx="48">
                  <c:v>0</c:v>
                </c:pt>
                <c:pt idx="51">
                  <c:v>0</c:v>
                </c:pt>
                <c:pt idx="52">
                  <c:v>6.0677777777777777</c:v>
                </c:pt>
                <c:pt idx="53">
                  <c:v>1.1994444444444445</c:v>
                </c:pt>
                <c:pt idx="54">
                  <c:v>1.1994444444444445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908288"/>
        <c:axId val="272909824"/>
      </c:scatterChart>
      <c:valAx>
        <c:axId val="27290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2909824"/>
        <c:crosses val="autoZero"/>
        <c:crossBetween val="midCat"/>
      </c:valAx>
      <c:valAx>
        <c:axId val="27290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908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0</xdr:row>
      <xdr:rowOff>38100</xdr:rowOff>
    </xdr:from>
    <xdr:to>
      <xdr:col>25</xdr:col>
      <xdr:colOff>114300</xdr:colOff>
      <xdr:row>19</xdr:row>
      <xdr:rowOff>61913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714375</xdr:colOff>
      <xdr:row>14</xdr:row>
      <xdr:rowOff>100012</xdr:rowOff>
    </xdr:from>
    <xdr:to>
      <xdr:col>19</xdr:col>
      <xdr:colOff>295275</xdr:colOff>
      <xdr:row>31</xdr:row>
      <xdr:rowOff>90487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276225</xdr:colOff>
      <xdr:row>22</xdr:row>
      <xdr:rowOff>23812</xdr:rowOff>
    </xdr:from>
    <xdr:to>
      <xdr:col>29</xdr:col>
      <xdr:colOff>581025</xdr:colOff>
      <xdr:row>39</xdr:row>
      <xdr:rowOff>14287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476250</xdr:colOff>
      <xdr:row>18</xdr:row>
      <xdr:rowOff>109537</xdr:rowOff>
    </xdr:from>
    <xdr:to>
      <xdr:col>38</xdr:col>
      <xdr:colOff>171450</xdr:colOff>
      <xdr:row>35</xdr:row>
      <xdr:rowOff>100012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523875</xdr:colOff>
      <xdr:row>36</xdr:row>
      <xdr:rowOff>14287</xdr:rowOff>
    </xdr:from>
    <xdr:to>
      <xdr:col>38</xdr:col>
      <xdr:colOff>219075</xdr:colOff>
      <xdr:row>53</xdr:row>
      <xdr:rowOff>4762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209550</xdr:colOff>
      <xdr:row>48</xdr:row>
      <xdr:rowOff>80962</xdr:rowOff>
    </xdr:from>
    <xdr:to>
      <xdr:col>51</xdr:col>
      <xdr:colOff>514350</xdr:colOff>
      <xdr:row>65</xdr:row>
      <xdr:rowOff>71437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57150</xdr:colOff>
      <xdr:row>15</xdr:row>
      <xdr:rowOff>61912</xdr:rowOff>
    </xdr:from>
    <xdr:to>
      <xdr:col>50</xdr:col>
      <xdr:colOff>361950</xdr:colOff>
      <xdr:row>32</xdr:row>
      <xdr:rowOff>52387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333375</xdr:colOff>
      <xdr:row>18</xdr:row>
      <xdr:rowOff>157162</xdr:rowOff>
    </xdr:from>
    <xdr:to>
      <xdr:col>46</xdr:col>
      <xdr:colOff>28575</xdr:colOff>
      <xdr:row>35</xdr:row>
      <xdr:rowOff>147637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400050</xdr:colOff>
      <xdr:row>69</xdr:row>
      <xdr:rowOff>128587</xdr:rowOff>
    </xdr:from>
    <xdr:to>
      <xdr:col>13</xdr:col>
      <xdr:colOff>104775</xdr:colOff>
      <xdr:row>86</xdr:row>
      <xdr:rowOff>119062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3</xdr:row>
      <xdr:rowOff>33337</xdr:rowOff>
    </xdr:from>
    <xdr:ext cx="17456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628900" y="604837"/>
              <a:ext cx="17456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𝐵</m:t>
                  </m:r>
                  <m:sSub>
                    <m:sSubPr>
                      <m:ctrlPr>
                        <a:rPr lang="en-US" sz="1100" b="0" i="1">
                          <a:latin typeface="Cambria Math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C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=(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𝐺𝑊</m:t>
                  </m:r>
                  <m:sSub>
                    <m:sSubPr>
                      <m:ctrlPr>
                        <a:rPr lang="en-US" sz="1100" b="0" i="1">
                          <a:latin typeface="Cambria Math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MAX</m:t>
                      </m:r>
                    </m:sub>
                  </m:sSub>
                </m:oMath>
              </a14:m>
              <a:r>
                <a:rPr lang="en-US" sz="1100" i="0"/>
                <a:t>+1/2.65)^-1 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628900" y="604837"/>
              <a:ext cx="17456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𝐵𝐷_C=(𝐺𝑊𝐶_MAX</a:t>
              </a:r>
              <a:r>
                <a:rPr lang="en-US" sz="1100" i="0"/>
                <a:t>+1/2.65)^-1 </a:t>
              </a: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238125</xdr:colOff>
      <xdr:row>36</xdr:row>
      <xdr:rowOff>80962</xdr:rowOff>
    </xdr:from>
    <xdr:to>
      <xdr:col>73</xdr:col>
      <xdr:colOff>657225</xdr:colOff>
      <xdr:row>50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76199</xdr:colOff>
      <xdr:row>2</xdr:row>
      <xdr:rowOff>43726</xdr:rowOff>
    </xdr:from>
    <xdr:to>
      <xdr:col>25</xdr:col>
      <xdr:colOff>190500</xdr:colOff>
      <xdr:row>22</xdr:row>
      <xdr:rowOff>90486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8999" y="424726"/>
          <a:ext cx="4991101" cy="38567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f%20Farm/VI_12pts/W_site_analysis_clean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_corr_worksheet_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WC_lookup"/>
      <sheetName val="em_2013"/>
      <sheetName val="soil.depth"/>
      <sheetName val="RapidEye"/>
      <sheetName val="2013_crop_data"/>
      <sheetName val="SOIL PROPERTIES"/>
      <sheetName val="correlations"/>
      <sheetName val="Yields"/>
      <sheetName val="retention_data"/>
    </sheetNames>
    <sheetDataSet>
      <sheetData sheetId="0"/>
      <sheetData sheetId="1"/>
      <sheetData sheetId="2"/>
      <sheetData sheetId="3">
        <row r="29">
          <cell r="K29">
            <v>70</v>
          </cell>
        </row>
      </sheetData>
      <sheetData sheetId="4"/>
      <sheetData sheetId="5">
        <row r="5">
          <cell r="J5">
            <v>8.5189504535219296</v>
          </cell>
          <cell r="L5">
            <v>31.788295260876097</v>
          </cell>
          <cell r="AJ5">
            <v>0.47311084937561143</v>
          </cell>
        </row>
        <row r="6">
          <cell r="J6">
            <v>12.755848226586775</v>
          </cell>
          <cell r="L6">
            <v>30.814754038342301</v>
          </cell>
          <cell r="AJ6">
            <v>0.4273364548663845</v>
          </cell>
        </row>
        <row r="7">
          <cell r="J7">
            <v>8.0475247524752405</v>
          </cell>
          <cell r="L7">
            <v>40.605079638398401</v>
          </cell>
          <cell r="AJ7">
            <v>0.40192049861707524</v>
          </cell>
        </row>
        <row r="8">
          <cell r="J8">
            <v>7.6440360889435901</v>
          </cell>
          <cell r="L8">
            <v>41.713717384464097</v>
          </cell>
          <cell r="AJ8">
            <v>0.37316373525692403</v>
          </cell>
        </row>
        <row r="9">
          <cell r="J9">
            <v>7.1050236590036304</v>
          </cell>
          <cell r="L9">
            <v>39.265577108825603</v>
          </cell>
          <cell r="AJ9">
            <v>0.37076567373240965</v>
          </cell>
        </row>
        <row r="10">
          <cell r="J10">
            <v>8.2062055332568491</v>
          </cell>
          <cell r="L10">
            <v>31.768207814765002</v>
          </cell>
          <cell r="AJ10">
            <v>0.5213062779591382</v>
          </cell>
        </row>
        <row r="11">
          <cell r="J11">
            <v>8.1799339622963991</v>
          </cell>
          <cell r="L11">
            <v>29.743258793360798</v>
          </cell>
          <cell r="AJ11">
            <v>0.45041965010980944</v>
          </cell>
        </row>
        <row r="12">
          <cell r="J12">
            <v>8.8572372476693797</v>
          </cell>
          <cell r="L12">
            <v>29.9397506241197</v>
          </cell>
          <cell r="AJ12">
            <v>0.41093619458520858</v>
          </cell>
        </row>
        <row r="13">
          <cell r="J13">
            <v>8.0214029398830107</v>
          </cell>
          <cell r="L13">
            <v>35.1144500055387</v>
          </cell>
          <cell r="AJ13">
            <v>0.36439466263304054</v>
          </cell>
        </row>
        <row r="14">
          <cell r="J14">
            <v>8.7621672958174806</v>
          </cell>
          <cell r="L14">
            <v>36.825720094766702</v>
          </cell>
          <cell r="AJ14">
            <v>0.35538059934212185</v>
          </cell>
        </row>
        <row r="15">
          <cell r="J15">
            <v>15.543499840865465</v>
          </cell>
          <cell r="L15">
            <v>32.16536218124407</v>
          </cell>
          <cell r="AJ15">
            <v>0.43282443178462171</v>
          </cell>
        </row>
        <row r="16">
          <cell r="J16">
            <v>9.8232649876897007</v>
          </cell>
          <cell r="L16">
            <v>32.728568388985401</v>
          </cell>
          <cell r="AJ16">
            <v>0.40655940011610836</v>
          </cell>
        </row>
        <row r="17">
          <cell r="J17">
            <v>11.1554924455255</v>
          </cell>
          <cell r="L17">
            <v>42.908123827329199</v>
          </cell>
          <cell r="AJ17">
            <v>0.34749836528577815</v>
          </cell>
        </row>
        <row r="18">
          <cell r="J18">
            <v>10.8194741086403</v>
          </cell>
          <cell r="L18">
            <v>42.111460895560398</v>
          </cell>
          <cell r="AJ18">
            <v>0.34400572321732903</v>
          </cell>
        </row>
        <row r="19">
          <cell r="J19">
            <v>11.9775802372949</v>
          </cell>
          <cell r="L19">
            <v>40.5030006078455</v>
          </cell>
          <cell r="AJ19">
            <v>0.35525980733698559</v>
          </cell>
        </row>
        <row r="20">
          <cell r="J20">
            <v>8.6890606275594191</v>
          </cell>
          <cell r="L20">
            <v>27.209838244294332</v>
          </cell>
          <cell r="AJ20">
            <v>0.47549950669952934</v>
          </cell>
        </row>
        <row r="21">
          <cell r="J21">
            <v>12.335870517688599</v>
          </cell>
          <cell r="L21">
            <v>27.0809779900679</v>
          </cell>
          <cell r="AJ21">
            <v>0.48168138382753201</v>
          </cell>
        </row>
        <row r="22">
          <cell r="J22">
            <v>9.9704858349682404</v>
          </cell>
          <cell r="L22">
            <v>37.752328437870602</v>
          </cell>
          <cell r="AJ22">
            <v>0.45318021041673706</v>
          </cell>
        </row>
        <row r="23">
          <cell r="J23">
            <v>6.6260371118339902</v>
          </cell>
          <cell r="L23">
            <v>43.513679294350098</v>
          </cell>
          <cell r="AJ23">
            <v>0.41635811312170867</v>
          </cell>
        </row>
        <row r="24">
          <cell r="J24">
            <v>9.3138423335122802</v>
          </cell>
          <cell r="L24">
            <v>33.871007908582698</v>
          </cell>
          <cell r="AJ24">
            <v>0.37848089710662591</v>
          </cell>
        </row>
        <row r="25">
          <cell r="J25">
            <v>7.8170422435055329</v>
          </cell>
          <cell r="L25">
            <v>31.874455558437663</v>
          </cell>
          <cell r="AJ25">
            <v>0.51750129602975625</v>
          </cell>
        </row>
        <row r="26">
          <cell r="J26">
            <v>11.0433746277831</v>
          </cell>
          <cell r="L26">
            <v>26.516944233602903</v>
          </cell>
          <cell r="AJ26">
            <v>0.54164797068455484</v>
          </cell>
        </row>
        <row r="27">
          <cell r="J27">
            <v>8.7723872636828801</v>
          </cell>
          <cell r="L27">
            <v>39.418176646472901</v>
          </cell>
          <cell r="AJ27">
            <v>0.39688587285231025</v>
          </cell>
        </row>
        <row r="28">
          <cell r="J28">
            <v>9.7988106467066007</v>
          </cell>
          <cell r="L28">
            <v>31.139216541408899</v>
          </cell>
          <cell r="AJ28">
            <v>0.35495268938205271</v>
          </cell>
        </row>
        <row r="29">
          <cell r="J29">
            <v>9.3722089073571908</v>
          </cell>
          <cell r="L29">
            <v>42.832215459419501</v>
          </cell>
          <cell r="AJ29">
            <v>0.33568352970479254</v>
          </cell>
        </row>
        <row r="30">
          <cell r="J30">
            <v>8.4303476742636043</v>
          </cell>
          <cell r="L30">
            <v>32.182586590836699</v>
          </cell>
          <cell r="AJ30">
            <v>0.50436946154934592</v>
          </cell>
        </row>
        <row r="31">
          <cell r="J31">
            <v>10.980682950722599</v>
          </cell>
          <cell r="L31">
            <v>24.731197425754399</v>
          </cell>
          <cell r="AJ31">
            <v>0.39488988873149378</v>
          </cell>
        </row>
        <row r="32">
          <cell r="J32">
            <v>8.8649979311759406</v>
          </cell>
          <cell r="L32">
            <v>37.206496455184102</v>
          </cell>
          <cell r="AJ32">
            <v>0.35334268920669987</v>
          </cell>
        </row>
        <row r="33">
          <cell r="J33">
            <v>8.0142390820683893</v>
          </cell>
          <cell r="L33">
            <v>38.249530402410898</v>
          </cell>
          <cell r="AJ33">
            <v>0.34227623317171785</v>
          </cell>
        </row>
        <row r="34">
          <cell r="J34">
            <v>9.6410499628600093</v>
          </cell>
          <cell r="L34">
            <v>38.816333220576702</v>
          </cell>
          <cell r="AJ34">
            <v>0.30484184019312999</v>
          </cell>
        </row>
        <row r="35">
          <cell r="J35">
            <v>9.949091122504317</v>
          </cell>
          <cell r="L35">
            <v>30.498143328960463</v>
          </cell>
          <cell r="AJ35">
            <v>0.41742324103906581</v>
          </cell>
        </row>
        <row r="36">
          <cell r="J36">
            <v>7.7829360981037796</v>
          </cell>
          <cell r="L36">
            <v>49.702700263709403</v>
          </cell>
          <cell r="AJ36">
            <v>0.3847730236558552</v>
          </cell>
        </row>
        <row r="37">
          <cell r="J37">
            <v>10.338272617300801</v>
          </cell>
          <cell r="L37">
            <v>39.308816503284397</v>
          </cell>
          <cell r="AJ37">
            <v>0.39204972180396325</v>
          </cell>
        </row>
        <row r="38">
          <cell r="J38">
            <v>26.401428067278097</v>
          </cell>
          <cell r="L38">
            <v>31.078622504394897</v>
          </cell>
          <cell r="AJ38" t="str">
            <v/>
          </cell>
        </row>
        <row r="39">
          <cell r="AJ39" t="str">
            <v/>
          </cell>
        </row>
        <row r="40">
          <cell r="J40">
            <v>11.822743575097975</v>
          </cell>
          <cell r="L40">
            <v>30.010352220696333</v>
          </cell>
          <cell r="AJ40">
            <v>0.46321468417819556</v>
          </cell>
        </row>
        <row r="41">
          <cell r="J41">
            <v>12.3577396339938</v>
          </cell>
          <cell r="L41">
            <v>27.581670763577197</v>
          </cell>
          <cell r="AJ41">
            <v>0.49895437217186855</v>
          </cell>
        </row>
        <row r="42">
          <cell r="J42">
            <v>6.69548404077619</v>
          </cell>
          <cell r="L42">
            <v>44.645671151244002</v>
          </cell>
          <cell r="AJ42">
            <v>0.40936211670255895</v>
          </cell>
        </row>
        <row r="43">
          <cell r="J43">
            <v>8.0721881693911399</v>
          </cell>
          <cell r="L43">
            <v>40.42889320442</v>
          </cell>
          <cell r="AJ43">
            <v>0.39163374420602892</v>
          </cell>
        </row>
        <row r="44">
          <cell r="J44">
            <v>7.67819308009694</v>
          </cell>
          <cell r="L44">
            <v>46.060710508264698</v>
          </cell>
          <cell r="AJ44">
            <v>0.37359806484546509</v>
          </cell>
        </row>
        <row r="45">
          <cell r="J45">
            <v>9.7227805125582574</v>
          </cell>
          <cell r="L45">
            <v>35.068569136598207</v>
          </cell>
          <cell r="AJ45">
            <v>0.47347217890912485</v>
          </cell>
        </row>
        <row r="46">
          <cell r="J46">
            <v>7.0589209728017703</v>
          </cell>
          <cell r="L46">
            <v>36.7913556344716</v>
          </cell>
          <cell r="AJ46">
            <v>0.38900124793567936</v>
          </cell>
        </row>
        <row r="47">
          <cell r="J47">
            <v>5.6099195486992102</v>
          </cell>
          <cell r="L47">
            <v>37.777436960920802</v>
          </cell>
          <cell r="AJ47">
            <v>0.39548857830863304</v>
          </cell>
        </row>
        <row r="48">
          <cell r="J48">
            <v>5.3221694189129796</v>
          </cell>
          <cell r="L48">
            <v>52.577389031657297</v>
          </cell>
          <cell r="AJ48">
            <v>0.40948958508549949</v>
          </cell>
        </row>
        <row r="49">
          <cell r="J49">
            <v>6.5390364062877904</v>
          </cell>
          <cell r="L49">
            <v>42.663075859767801</v>
          </cell>
          <cell r="AJ49">
            <v>0.39481222428309493</v>
          </cell>
        </row>
        <row r="50">
          <cell r="J50">
            <v>8.3388330574289657</v>
          </cell>
          <cell r="L50">
            <v>36.496135248066693</v>
          </cell>
          <cell r="AJ50">
            <v>0.47735064143654216</v>
          </cell>
        </row>
        <row r="51">
          <cell r="J51">
            <v>7.4315159505624697</v>
          </cell>
          <cell r="L51">
            <v>36.069358974802498</v>
          </cell>
          <cell r="AJ51">
            <v>0.42107284998540462</v>
          </cell>
        </row>
        <row r="52">
          <cell r="J52">
            <v>7.9428411734799198</v>
          </cell>
          <cell r="L52">
            <v>40.743509193695402</v>
          </cell>
          <cell r="AJ52">
            <v>0.41351845352803562</v>
          </cell>
        </row>
        <row r="53">
          <cell r="J53">
            <v>5.8368849217750096</v>
          </cell>
          <cell r="L53">
            <v>46.575773040824998</v>
          </cell>
          <cell r="AJ53">
            <v>0.39235222996883989</v>
          </cell>
        </row>
        <row r="54">
          <cell r="J54">
            <v>8.4431291376567703</v>
          </cell>
          <cell r="L54">
            <v>40.408163265305902</v>
          </cell>
          <cell r="AJ54">
            <v>0.38440767336483606</v>
          </cell>
        </row>
        <row r="55">
          <cell r="J55">
            <v>7.7620460865632763</v>
          </cell>
          <cell r="L55">
            <v>33.712285247486335</v>
          </cell>
          <cell r="AJ55">
            <v>0.4904630502517876</v>
          </cell>
        </row>
        <row r="56">
          <cell r="J56">
            <v>9.5832409287092197</v>
          </cell>
          <cell r="L56">
            <v>31.084460669749404</v>
          </cell>
          <cell r="AJ56">
            <v>0.41330217662097446</v>
          </cell>
        </row>
        <row r="57">
          <cell r="J57">
            <v>6.2786976368137699</v>
          </cell>
          <cell r="L57">
            <v>37.6987990365336</v>
          </cell>
          <cell r="AJ57">
            <v>0.3595624826467797</v>
          </cell>
        </row>
        <row r="58">
          <cell r="J58">
            <v>6.6191174734853888</v>
          </cell>
          <cell r="L58">
            <v>43.538536766316703</v>
          </cell>
          <cell r="AJ58">
            <v>0.38504634311374575</v>
          </cell>
        </row>
        <row r="59">
          <cell r="J59">
            <v>8.2347269553652893</v>
          </cell>
          <cell r="L59">
            <v>39.4337960269308</v>
          </cell>
          <cell r="AJ59">
            <v>0.36084261177608001</v>
          </cell>
        </row>
        <row r="60">
          <cell r="J60">
            <v>9.055450367661626</v>
          </cell>
          <cell r="L60">
            <v>33.266038167739133</v>
          </cell>
          <cell r="AJ60">
            <v>0.46376431052573053</v>
          </cell>
        </row>
        <row r="61">
          <cell r="J61">
            <v>8.4596730401464093</v>
          </cell>
          <cell r="L61">
            <v>32.044021869276101</v>
          </cell>
          <cell r="AJ61">
            <v>0.41797631129727164</v>
          </cell>
        </row>
        <row r="62">
          <cell r="J62">
            <v>9.6648491199403992</v>
          </cell>
          <cell r="L62">
            <v>44.653748468110003</v>
          </cell>
          <cell r="AJ62">
            <v>0.3987688482793218</v>
          </cell>
        </row>
        <row r="63">
          <cell r="J63">
            <v>6.6669602658654288</v>
          </cell>
          <cell r="L63">
            <v>44.1100048443868</v>
          </cell>
          <cell r="AJ63">
            <v>0.38705467544179228</v>
          </cell>
        </row>
        <row r="64">
          <cell r="J64">
            <v>6.6880989053019491</v>
          </cell>
          <cell r="L64">
            <v>44.693108949510503</v>
          </cell>
          <cell r="AJ64">
            <v>0.3947549936831225</v>
          </cell>
        </row>
      </sheetData>
      <sheetData sheetId="6"/>
      <sheetData sheetId="7"/>
      <sheetData sheetId="8">
        <row r="4">
          <cell r="B4">
            <v>0.2989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_2013"/>
      <sheetName val="SOIL_PROPERTIES"/>
      <sheetName val="new_VI"/>
      <sheetName val="corr_all_2013"/>
      <sheetName val="corr_all_2012"/>
      <sheetName val="Yield+topo"/>
      <sheetName val="AWC_VWC_cor"/>
      <sheetName val="AWC_VWC"/>
      <sheetName val="cor_variables"/>
      <sheetName val="Matrices"/>
    </sheetNames>
    <sheetDataSet>
      <sheetData sheetId="0"/>
      <sheetData sheetId="1">
        <row r="5">
          <cell r="AC5">
            <v>0.48081073152342746</v>
          </cell>
        </row>
        <row r="6">
          <cell r="AC6">
            <v>0.4537175515435784</v>
          </cell>
        </row>
        <row r="7">
          <cell r="AC7">
            <v>0.37097425731152156</v>
          </cell>
        </row>
        <row r="8">
          <cell r="AC8">
            <v>0.36388640964733043</v>
          </cell>
        </row>
        <row r="9">
          <cell r="AC9">
            <v>0.36589659046060996</v>
          </cell>
        </row>
        <row r="10">
          <cell r="AC10">
            <v>0.4358862571247849</v>
          </cell>
        </row>
        <row r="11">
          <cell r="AC11">
            <v>0.43221088330514779</v>
          </cell>
        </row>
        <row r="12">
          <cell r="AC12">
            <v>0.37298058184985072</v>
          </cell>
        </row>
        <row r="13">
          <cell r="AC13">
            <v>0.34933626013719921</v>
          </cell>
        </row>
        <row r="14">
          <cell r="AC14">
            <v>0.35587250451363617</v>
          </cell>
        </row>
        <row r="15">
          <cell r="AC15">
            <v>0.54145437793538331</v>
          </cell>
        </row>
        <row r="16">
          <cell r="AC16">
            <v>0.47205442954280763</v>
          </cell>
        </row>
        <row r="17">
          <cell r="AC17">
            <v>0.46084324361846674</v>
          </cell>
        </row>
        <row r="18">
          <cell r="AC18">
            <v>0.35575069227955003</v>
          </cell>
        </row>
        <row r="19">
          <cell r="AC19">
            <v>0.37671653822979845</v>
          </cell>
        </row>
        <row r="20">
          <cell r="AC20">
            <v>0.45271995249760977</v>
          </cell>
        </row>
        <row r="21">
          <cell r="AC21">
            <v>0.37005632691182277</v>
          </cell>
        </row>
        <row r="22">
          <cell r="AC22">
            <v>0.37429426133657273</v>
          </cell>
        </row>
        <row r="23">
          <cell r="AC23">
            <v>0.3512390496007064</v>
          </cell>
        </row>
        <row r="24">
          <cell r="AC24">
            <v>0.36446669373349283</v>
          </cell>
        </row>
        <row r="25">
          <cell r="AC25">
            <v>0.44511195149995153</v>
          </cell>
        </row>
        <row r="26">
          <cell r="AC26">
            <v>0.40829557375862968</v>
          </cell>
        </row>
        <row r="27">
          <cell r="AC27">
            <v>0.35662703351825509</v>
          </cell>
        </row>
        <row r="28">
          <cell r="AC28">
            <v>0.35285929416813511</v>
          </cell>
        </row>
        <row r="29">
          <cell r="AC29">
            <v>0.35509232366728449</v>
          </cell>
        </row>
        <row r="30">
          <cell r="AC30">
            <v>0.46089493575240259</v>
          </cell>
        </row>
        <row r="31">
          <cell r="AC31">
            <v>0.48208232901894588</v>
          </cell>
        </row>
        <row r="32">
          <cell r="AC32">
            <v>0.45852491957434094</v>
          </cell>
        </row>
        <row r="33">
          <cell r="AC33">
            <v>0.38879033329249824</v>
          </cell>
        </row>
        <row r="34">
          <cell r="AC34">
            <v>0.37709363962030629</v>
          </cell>
        </row>
        <row r="35">
          <cell r="AC35">
            <v>0.41335092200541668</v>
          </cell>
        </row>
        <row r="36">
          <cell r="AC36">
            <v>0.32534687314050659</v>
          </cell>
        </row>
        <row r="37">
          <cell r="AC37">
            <v>0.40043343101820728</v>
          </cell>
        </row>
        <row r="38">
          <cell r="AC38">
            <v>0.37783787988334872</v>
          </cell>
        </row>
        <row r="39">
          <cell r="AC39">
            <v>0.35176127100652665</v>
          </cell>
        </row>
        <row r="40">
          <cell r="AC40">
            <v>0.47545643435477125</v>
          </cell>
        </row>
        <row r="41">
          <cell r="AC41">
            <v>0.45270411108922914</v>
          </cell>
        </row>
        <row r="42">
          <cell r="AC42">
            <v>0.39659311213775972</v>
          </cell>
        </row>
        <row r="43">
          <cell r="AC43">
            <v>0.36210058938905054</v>
          </cell>
        </row>
        <row r="44">
          <cell r="AC44">
            <v>0.36945315408872437</v>
          </cell>
        </row>
        <row r="45">
          <cell r="AC45">
            <v>0.43997255622975928</v>
          </cell>
        </row>
        <row r="46">
          <cell r="AC46">
            <v>0.42408380882012786</v>
          </cell>
        </row>
        <row r="47">
          <cell r="AC47">
            <v>0.39424681979644238</v>
          </cell>
        </row>
        <row r="48">
          <cell r="AC48">
            <v>0.38870789864082023</v>
          </cell>
        </row>
        <row r="49">
          <cell r="AC49">
            <v>0.37509776069695022</v>
          </cell>
        </row>
        <row r="50">
          <cell r="AC50">
            <v>0.56186564142963313</v>
          </cell>
        </row>
        <row r="51">
          <cell r="AC51">
            <v>0.6017718771290379</v>
          </cell>
        </row>
        <row r="52">
          <cell r="AC52">
            <v>0.40464868777095453</v>
          </cell>
        </row>
        <row r="53">
          <cell r="AC53">
            <v>0.36414042635346111</v>
          </cell>
        </row>
        <row r="54">
          <cell r="AC54">
            <v>0.35767171218794458</v>
          </cell>
        </row>
        <row r="55">
          <cell r="AC55">
            <v>0.43845943580548297</v>
          </cell>
        </row>
        <row r="56">
          <cell r="AC56">
            <v>0.47329564747874353</v>
          </cell>
        </row>
        <row r="57">
          <cell r="AC57">
            <v>0.42529736713937916</v>
          </cell>
        </row>
        <row r="58">
          <cell r="AC58">
            <v>0.40621533106320251</v>
          </cell>
        </row>
        <row r="59">
          <cell r="AC59">
            <v>0.36950999962149012</v>
          </cell>
        </row>
        <row r="60">
          <cell r="AC60">
            <v>0.49014118727492995</v>
          </cell>
        </row>
        <row r="61">
          <cell r="AC61">
            <v>0.49239700484698878</v>
          </cell>
        </row>
        <row r="62">
          <cell r="AC62">
            <v>0.43722056553203426</v>
          </cell>
        </row>
        <row r="63">
          <cell r="AC63">
            <v>0.37402159658370449</v>
          </cell>
        </row>
        <row r="64">
          <cell r="AC64">
            <v>0.36103439761359668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urek, Matthew" refreshedDate="42142.68122604167" createdVersion="4" refreshedVersion="4" minRefreshableVersion="3" recordCount="180">
  <cacheSource type="worksheet">
    <worksheetSource ref="A2:F182" sheet="2013 crop data"/>
  </cacheSource>
  <cacheFields count="6">
    <cacheField name="Bag Label" numFmtId="0">
      <sharedItems/>
    </cacheField>
    <cacheField name="Date" numFmtId="14">
      <sharedItems containsSemiMixedTypes="0" containsNonDate="0" containsDate="1" containsString="0" minDate="2012-07-23T00:00:00" maxDate="2013-07-16T00:00:00" count="15">
        <d v="2013-04-17T00:00:00"/>
        <d v="2013-04-24T00:00:00"/>
        <d v="2013-05-01T00:00:00"/>
        <d v="2013-05-10T00:00:00"/>
        <d v="2013-05-16T00:00:00"/>
        <d v="2013-05-23T00:00:00"/>
        <d v="2013-05-29T00:00:00"/>
        <d v="2013-06-05T00:00:00"/>
        <d v="2013-06-13T00:00:00"/>
        <d v="2013-06-22T00:00:00"/>
        <d v="2013-06-26T00:00:00"/>
        <d v="2013-07-01T00:00:00"/>
        <d v="2013-07-08T00:00:00"/>
        <d v="2013-07-15T00:00:00"/>
        <d v="2012-07-23T00:00:00"/>
      </sharedItems>
    </cacheField>
    <cacheField name="Site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PAD  " numFmtId="0">
      <sharedItems containsSemiMixedTypes="0" containsString="0" containsNumber="1" minValue="2.9" maxValue="57.9"/>
    </cacheField>
    <cacheField name="LAI" numFmtId="0">
      <sharedItems containsSemiMixedTypes="0" containsString="0" containsNumber="1" minValue="0.05" maxValue="4.66"/>
    </cacheField>
    <cacheField name="Height" numFmtId="0">
      <sharedItems containsString="0" containsBlank="1" containsNumber="1" minValue="7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our3353" refreshedDate="42402.647394560183" createdVersion="5" refreshedVersion="5" minRefreshableVersion="3" recordCount="426">
  <cacheSource type="worksheet">
    <worksheetSource ref="A1:F427" sheet="em_2013"/>
  </cacheSource>
  <cacheFields count="6">
    <cacheField name="Grower" numFmtId="0">
      <sharedItems count="4">
        <s v="Aes"/>
        <s v="J"/>
        <s v="OD"/>
        <s v="W"/>
      </sharedItems>
    </cacheField>
    <cacheField name="Season" numFmtId="0">
      <sharedItems count="3">
        <s v="Spring"/>
        <s v="Fall"/>
        <s v="Delta"/>
      </sharedItems>
    </cacheField>
    <cacheField name="Site" numFmtId="0">
      <sharedItems containsSemiMixedTypes="0" containsString="0" containsNumber="1" containsInteger="1" minValue="1" maxValue="36" count="3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</sharedItems>
    </cacheField>
    <cacheField name="Eca" numFmtId="0">
      <sharedItems containsSemiMixedTypes="0" containsString="0" containsNumber="1" minValue="0" maxValue="63.144799999999996"/>
    </cacheField>
    <cacheField name="E" numFmtId="0">
      <sharedItems containsSemiMixedTypes="0" containsString="0" containsNumber="1" minValue="466123.66" maxValue="5151171.67"/>
    </cacheField>
    <cacheField name="N" numFmtId="0">
      <sharedItems containsSemiMixedTypes="0" containsString="0" containsNumber="1" minValue="0" maxValue="63144608.64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our3353" refreshedDate="42402.648272337959" createdVersion="4" refreshedVersion="5" minRefreshableVersion="3" recordCount="60">
  <cacheSource type="worksheet">
    <worksheetSource ref="B5:BD65" sheet="SOIL_PROPERTIES"/>
  </cacheSource>
  <cacheFields count="51">
    <cacheField name="Site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epth (ft.)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sand" numFmtId="0">
      <sharedItems containsSemiMixedTypes="0" containsString="0" containsNumber="1" minValue="7.3198088854216898" maxValue="13.766703388661"/>
    </cacheField>
    <cacheField name="silt" numFmtId="0">
      <sharedItems containsSemiMixedTypes="0" containsString="0" containsNumber="1" minValue="48.807946796642298" maxValue="66.6079323835677"/>
    </cacheField>
    <cacheField name="clay" numFmtId="0">
      <sharedItems containsSemiMixedTypes="0" containsString="0" containsNumber="1" minValue="22.354690042562499" maxValue="43.450870149962299"/>
    </cacheField>
    <cacheField name="TN-2012" numFmtId="0">
      <sharedItems containsString="0" containsBlank="1" containsNumber="1" minValue="3.2320000000000002E-2" maxValue="0.18057999999999999"/>
    </cacheField>
    <cacheField name="TC-2012" numFmtId="0">
      <sharedItems containsString="0" containsBlank="1" containsNumber="1" minValue="0.21102000000000001" maxValue="2.1067999999999998"/>
    </cacheField>
    <cacheField name="TN-2011" numFmtId="0">
      <sharedItems containsSemiMixedTypes="0" containsString="0" containsNumber="1" minValue="1.864E-2" maxValue="0.19185666666666668"/>
    </cacheField>
    <cacheField name="TC-2011" numFmtId="0">
      <sharedItems containsSemiMixedTypes="0" containsString="0" containsNumber="1" minValue="0.23981" maxValue="2.2136"/>
    </cacheField>
    <cacheField name="ΔTC" numFmtId="0">
      <sharedItems containsMixedTypes="1" containsNumber="1" minValue="-0.29320000000000013" maxValue="0.25672000000000006"/>
    </cacheField>
    <cacheField name="ΔTN" numFmtId="0">
      <sharedItems containsMixedTypes="1" containsNumber="1" minValue="-2.6969999999999994E-2" maxValue="1.7809999999999999E-2"/>
    </cacheField>
    <cacheField name="BD_2012" numFmtId="0">
      <sharedItems containsSemiMixedTypes="0" containsString="0" containsNumber="1" minValue="1.0801688812232004" maxValue="1.7567218062728109"/>
    </cacheField>
    <cacheField name="BD_2013" numFmtId="0">
      <sharedItems containsString="0" containsBlank="1" containsNumber="1" minValue="1.0124789663505971" maxValue="1.9002791792382669"/>
    </cacheField>
    <cacheField name="BD_2014" numFmtId="0">
      <sharedItems containsString="0" containsBlank="1" containsNumber="1" minValue="1.1611979579110738" maxValue="1.8129254422978036"/>
    </cacheField>
    <cacheField name="% diff" numFmtId="0">
      <sharedItems containsMixedTypes="1" containsNumber="1" minValue="-0.38350899651178066" maxValue="0.18830921171674406"/>
    </cacheField>
    <cacheField name="% diff2" numFmtId="0">
      <sharedItems containsMixedTypes="1" containsNumber="1" minValue="-0.26034602567092802" maxValue="0.38329579098679389"/>
    </cacheField>
    <cacheField name="% diff3" numFmtId="0">
      <sharedItems containsMixedTypes="1" containsNumber="1" minValue="-0.23282699558859138" maxValue="0.14200058103056792"/>
    </cacheField>
    <cacheField name="Giddings_BD" numFmtId="0">
      <sharedItems containsSemiMixedTypes="0" containsString="0" containsNumber="1" minValue="1.0553045256080493" maxValue="1.7878307861776574"/>
    </cacheField>
    <cacheField name="Hand_BD" numFmtId="0">
      <sharedItems containsString="0" containsBlank="1" containsNumber="1" minValue="1.1529707225769472" maxValue="1.6398669558877084"/>
    </cacheField>
    <cacheField name="Fall-GWC" numFmtId="0">
      <sharedItems containsString="0" containsBlank="1" containsNumber="1" minValue="8.2746669554857738E-2" maxValue="0.22686496694995278"/>
    </cacheField>
    <cacheField name="Spring-GWC" numFmtId="0">
      <sharedItems containsString="0" containsBlank="1" containsNumber="1" minValue="0.19899371069182401" maxValue="0.3493877551020409"/>
    </cacheField>
    <cacheField name="Fall-IN" numFmtId="0">
      <sharedItems containsString="0" containsBlank="1" containsNumber="1" minValue="1.1391857869621387" maxValue="13.732817442425613"/>
    </cacheField>
    <cacheField name="Spring-IN" numFmtId="0">
      <sharedItems containsString="0" containsBlank="1" containsNumber="1" minValue="8.0077932483651217" maxValue="59.82804732998293"/>
    </cacheField>
    <cacheField name="ΔIN" numFmtId="0">
      <sharedItems containsMixedTypes="1" containsNumber="1" minValue="5.5408105140765205" maxValue="55.632474875871424"/>
    </cacheField>
    <cacheField name="Δθg" numFmtId="0">
      <sharedItems containsMixedTypes="1" containsNumber="1" minValue="2.6815317694669022E-2" maxValue="0.2200642394000337"/>
    </cacheField>
    <cacheField name="Fall-VWC" numFmtId="0">
      <sharedItems containsMixedTypes="1" containsNumber="1" minValue="8.7322934860235166E-2" maxValue="0.37448642178020464"/>
    </cacheField>
    <cacheField name="Spring-VWC" numFmtId="0">
      <sharedItems containsMixedTypes="1" containsNumber="1" minValue="0.26083490542239762" maxValue="0.50133962140308785"/>
    </cacheField>
    <cacheField name="Δθv" numFmtId="0">
      <sharedItems containsMixedTypes="1" containsNumber="1" minValue="3.7767520688450157E-2" maxValue="0.30788214207928916"/>
    </cacheField>
    <cacheField name="porosity" numFmtId="0">
      <sharedItems containsSemiMixedTypes="0" containsString="0" containsNumber="1" minValue="0.32534687314050659" maxValue="0.6017718771290379"/>
    </cacheField>
    <cacheField name="field_cap" numFmtId="0">
      <sharedItems containsSemiMixedTypes="0" containsString="0" containsNumber="1" minValue="0.31430105405630815" maxValue="0.39010610619895963"/>
    </cacheField>
    <cacheField name="wilt_pt" numFmtId="0">
      <sharedItems containsSemiMixedTypes="0" containsString="0" containsNumber="1" minValue="0.15402834999435969" maxValue="0.25735243468955366"/>
    </cacheField>
    <cacheField name="AWC" numFmtId="0">
      <sharedItems containsSemiMixedTypes="0" containsString="0" containsNumber="1" minValue="9.4158431171692925E-2" maxValue="0.17979681127946101"/>
    </cacheField>
    <cacheField name="θdp" numFmtId="0">
      <sharedItems containsSemiMixedTypes="0" containsString="0" containsNumber="1" minValue="5.9520953821508571E-3" maxValue="0.25242939106331197"/>
    </cacheField>
    <cacheField name="B" numFmtId="0">
      <sharedItems containsSemiMixedTypes="0" containsString="0" containsNumber="1" minValue="3.2705621159482501" maxValue="8.1223326341473285"/>
    </cacheField>
    <cacheField name="hb" numFmtId="0">
      <sharedItems containsSemiMixedTypes="0" containsString="0" containsNumber="1" minValue="36.113783867172451" maxValue="273.30045032201701"/>
    </cacheField>
    <cacheField name="λ" numFmtId="165">
      <sharedItems containsSemiMixedTypes="0" containsString="0" containsNumber="1" minValue="0.12311734141444437" maxValue="0.30575783750557667"/>
    </cacheField>
    <cacheField name="ϴr" numFmtId="165">
      <sharedItems containsSemiMixedTypes="0" containsString="0" containsNumber="1" minValue="7.5975021792548961E-2" maxValue="9.9903162607254251E-2"/>
    </cacheField>
    <cacheField name="wp.ss" numFmtId="0">
      <sharedItems containsSemiMixedTypes="0" containsString="0" containsNumber="1" minValue="7.8740355284472541E-2" maxValue="0.25278859479581145"/>
    </cacheField>
    <cacheField name="fc.ss" numFmtId="0">
      <sharedItems containsSemiMixedTypes="0" containsString="0" containsNumber="1" minValue="0.26730639609811818" maxValue="0.36283121761359854"/>
    </cacheField>
    <cacheField name="theta_drain" numFmtId="0">
      <sharedItems containsSemiMixedTypes="0" containsString="0" containsNumber="1" minValue="3.0000000000000027E-2" maxValue="0.33446548103091972"/>
    </cacheField>
    <cacheField name="awc.ss" numFmtId="0">
      <sharedItems containsSemiMixedTypes="0" containsString="0" containsNumber="1" minValue="4.2558278344695111E-2" maxValue="0.18856604081364564"/>
    </cacheField>
    <cacheField name="soil.depth (clay+BD)" numFmtId="0">
      <sharedItems containsSemiMixedTypes="0" containsString="0" containsNumber="1" containsInteger="1" minValue="2" maxValue="5"/>
    </cacheField>
    <cacheField name="soil.depth (cm)" numFmtId="0">
      <sharedItems containsSemiMixedTypes="0" containsString="0" containsNumber="1" minValue="60.96" maxValue="152.4"/>
    </cacheField>
    <cacheField name="soil.depth (avg)" numFmtId="0">
      <sharedItems containsSemiMixedTypes="0" containsString="0" containsNumber="1" containsInteger="1" minValue="2" maxValue="5"/>
    </cacheField>
    <cacheField name="soil.depth (cm)2" numFmtId="0">
      <sharedItems containsSemiMixedTypes="0" containsString="0" containsNumber="1" minValue="60.96" maxValue="152.4"/>
    </cacheField>
    <cacheField name="depth.core" numFmtId="0">
      <sharedItems containsString="0" containsBlank="1" containsNumber="1" containsInteger="1" minValue="58" maxValue="117"/>
    </cacheField>
    <cacheField name="taw.Brack.obs" numFmtId="0">
      <sharedItems containsSemiMixedTypes="0" containsString="0" containsNumber="1" minValue="7.3908570253616883" maxValue="23.431142853174816"/>
    </cacheField>
    <cacheField name="taw.Brack.avg" numFmtId="0">
      <sharedItems containsSemiMixedTypes="0" containsString="0" containsNumber="1" minValue="7.3908570253616883" maxValue="23.431142853174816"/>
    </cacheField>
    <cacheField name="taw.ss.obs" numFmtId="0">
      <sharedItems containsSemiMixedTypes="0" containsString="0" containsNumber="1" minValue="6.0721663689012635" maxValue="23.474279594515828"/>
    </cacheField>
    <cacheField name="taw.ss.avg" numFmtId="0">
      <sharedItems containsSemiMixedTypes="0" containsString="0" containsNumber="1" minValue="6.0721663689012635" maxValue="23.474279594515828"/>
    </cacheField>
    <cacheField name="taw.core" numFmtId="0">
      <sharedItems containsMixedTypes="1" containsNumber="1" minValue="9.3388650722547428" maxValue="14.5042884474377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s v="N/A"/>
    <x v="0"/>
    <x v="0"/>
    <n v="48.5"/>
    <n v="0.36"/>
    <n v="12"/>
  </r>
  <r>
    <s v="N/A"/>
    <x v="0"/>
    <x v="1"/>
    <n v="45.8"/>
    <n v="0.43"/>
    <n v="14"/>
  </r>
  <r>
    <s v="N/A"/>
    <x v="0"/>
    <x v="2"/>
    <n v="48.4"/>
    <n v="0.19"/>
    <n v="10"/>
  </r>
  <r>
    <s v="N/A"/>
    <x v="0"/>
    <x v="3"/>
    <n v="47.1"/>
    <n v="0.19"/>
    <n v="10"/>
  </r>
  <r>
    <s v="N/A"/>
    <x v="0"/>
    <x v="4"/>
    <n v="43.9"/>
    <n v="0.05"/>
    <n v="9"/>
  </r>
  <r>
    <s v="N/A"/>
    <x v="0"/>
    <x v="5"/>
    <n v="35.6"/>
    <n v="0.12"/>
    <n v="8"/>
  </r>
  <r>
    <s v="N/A"/>
    <x v="0"/>
    <x v="6"/>
    <n v="46.7"/>
    <n v="0.32"/>
    <n v="18"/>
  </r>
  <r>
    <s v="N/A"/>
    <x v="0"/>
    <x v="7"/>
    <n v="38.5"/>
    <n v="0.49"/>
    <n v="17"/>
  </r>
  <r>
    <s v="N/A"/>
    <x v="0"/>
    <x v="8"/>
    <n v="44.8"/>
    <n v="0.61"/>
    <n v="19"/>
  </r>
  <r>
    <s v="N/A"/>
    <x v="0"/>
    <x v="9"/>
    <n v="46.1"/>
    <n v="0.27"/>
    <n v="16"/>
  </r>
  <r>
    <s v="N/A"/>
    <x v="0"/>
    <x v="10"/>
    <n v="33.799999999999997"/>
    <n v="0.09"/>
    <n v="7"/>
  </r>
  <r>
    <s v="N/A"/>
    <x v="0"/>
    <x v="11"/>
    <n v="44.8"/>
    <n v="0.17"/>
    <n v="9"/>
  </r>
  <r>
    <s v="N/A"/>
    <x v="1"/>
    <x v="0"/>
    <n v="45.3"/>
    <n v="0.38"/>
    <n v="13"/>
  </r>
  <r>
    <s v="N/A"/>
    <x v="1"/>
    <x v="1"/>
    <n v="46.3"/>
    <n v="0.61"/>
    <n v="15"/>
  </r>
  <r>
    <s v="N/A"/>
    <x v="1"/>
    <x v="2"/>
    <n v="45.3"/>
    <n v="0.34"/>
    <n v="12"/>
  </r>
  <r>
    <s v="N/A"/>
    <x v="1"/>
    <x v="3"/>
    <n v="48.5"/>
    <n v="0.2"/>
    <n v="11"/>
  </r>
  <r>
    <s v="N/A"/>
    <x v="1"/>
    <x v="4"/>
    <n v="45.2"/>
    <n v="7.0000000000000007E-2"/>
    <n v="9"/>
  </r>
  <r>
    <s v="N/A"/>
    <x v="1"/>
    <x v="5"/>
    <n v="32.200000000000003"/>
    <n v="0.12"/>
    <n v="8"/>
  </r>
  <r>
    <s v="N/A"/>
    <x v="1"/>
    <x v="6"/>
    <n v="42.8"/>
    <n v="0.63"/>
    <n v="19"/>
  </r>
  <r>
    <s v="N/A"/>
    <x v="1"/>
    <x v="7"/>
    <n v="51.5"/>
    <n v="0.85"/>
    <n v="18"/>
  </r>
  <r>
    <s v="N/A"/>
    <x v="1"/>
    <x v="8"/>
    <n v="47.5"/>
    <n v="0.91"/>
    <n v="22"/>
  </r>
  <r>
    <s v="N/A"/>
    <x v="1"/>
    <x v="9"/>
    <n v="47.7"/>
    <n v="0.71"/>
    <n v="17"/>
  </r>
  <r>
    <s v="N/A"/>
    <x v="1"/>
    <x v="10"/>
    <n v="32.5"/>
    <n v="0.19"/>
    <n v="8"/>
  </r>
  <r>
    <s v="N/A"/>
    <x v="1"/>
    <x v="11"/>
    <n v="47.2"/>
    <n v="0.25"/>
    <n v="10"/>
  </r>
  <r>
    <s v="N/A"/>
    <x v="2"/>
    <x v="0"/>
    <n v="47.5"/>
    <n v="0.8"/>
    <n v="21"/>
  </r>
  <r>
    <s v="N/A"/>
    <x v="2"/>
    <x v="1"/>
    <n v="45.7"/>
    <n v="1.06"/>
    <n v="23"/>
  </r>
  <r>
    <s v="N/A"/>
    <x v="2"/>
    <x v="2"/>
    <n v="49"/>
    <n v="0.8"/>
    <n v="18"/>
  </r>
  <r>
    <s v="N/A"/>
    <x v="2"/>
    <x v="3"/>
    <n v="50.3"/>
    <n v="0.88"/>
    <n v="15"/>
  </r>
  <r>
    <s v="N/A"/>
    <x v="2"/>
    <x v="4"/>
    <n v="47.8"/>
    <n v="0.24"/>
    <n v="13"/>
  </r>
  <r>
    <s v="N/A"/>
    <x v="2"/>
    <x v="5"/>
    <n v="39.6"/>
    <n v="0.38"/>
    <n v="13"/>
  </r>
  <r>
    <s v="N/A"/>
    <x v="2"/>
    <x v="6"/>
    <n v="52.1"/>
    <n v="1.17"/>
    <n v="27"/>
  </r>
  <r>
    <s v="N/A"/>
    <x v="2"/>
    <x v="7"/>
    <n v="51.9"/>
    <n v="1.17"/>
    <n v="27"/>
  </r>
  <r>
    <s v="N/A"/>
    <x v="2"/>
    <x v="8"/>
    <n v="51.2"/>
    <n v="1.65"/>
    <n v="28"/>
  </r>
  <r>
    <s v="N/A"/>
    <x v="2"/>
    <x v="9"/>
    <n v="51.2"/>
    <n v="1.55"/>
    <n v="24"/>
  </r>
  <r>
    <s v="N/A"/>
    <x v="2"/>
    <x v="10"/>
    <n v="40.9"/>
    <n v="0.31"/>
    <n v="18"/>
  </r>
  <r>
    <s v="N/A"/>
    <x v="2"/>
    <x v="11"/>
    <n v="46.9"/>
    <n v="0.4"/>
    <n v="18"/>
  </r>
  <r>
    <s v="N/A"/>
    <x v="3"/>
    <x v="0"/>
    <n v="47.2"/>
    <n v="1.49"/>
    <n v="28"/>
  </r>
  <r>
    <s v="N/A"/>
    <x v="3"/>
    <x v="1"/>
    <n v="44.4"/>
    <n v="1.66"/>
    <n v="30"/>
  </r>
  <r>
    <s v="N/A"/>
    <x v="3"/>
    <x v="2"/>
    <n v="45.7"/>
    <n v="1.63"/>
    <n v="25"/>
  </r>
  <r>
    <s v="N/A"/>
    <x v="3"/>
    <x v="3"/>
    <n v="49.8"/>
    <n v="1.1000000000000001"/>
    <n v="24"/>
  </r>
  <r>
    <s v="N/A"/>
    <x v="3"/>
    <x v="4"/>
    <n v="45.8"/>
    <n v="0.8"/>
    <n v="26"/>
  </r>
  <r>
    <s v="N/A"/>
    <x v="3"/>
    <x v="5"/>
    <n v="43"/>
    <n v="0.78"/>
    <n v="18"/>
  </r>
  <r>
    <s v="N/A"/>
    <x v="3"/>
    <x v="6"/>
    <n v="51.6"/>
    <n v="1.88"/>
    <n v="29"/>
  </r>
  <r>
    <s v="N/A"/>
    <x v="3"/>
    <x v="7"/>
    <n v="46.5"/>
    <n v="2.44"/>
    <n v="38"/>
  </r>
  <r>
    <s v="N/A"/>
    <x v="3"/>
    <x v="8"/>
    <n v="47.7"/>
    <n v="1.89"/>
    <n v="38"/>
  </r>
  <r>
    <s v="N/A"/>
    <x v="3"/>
    <x v="9"/>
    <n v="49.5"/>
    <n v="2.36"/>
    <n v="38"/>
  </r>
  <r>
    <s v="N/A"/>
    <x v="3"/>
    <x v="10"/>
    <n v="38.6"/>
    <n v="0.89"/>
    <n v="21"/>
  </r>
  <r>
    <s v="N/A"/>
    <x v="3"/>
    <x v="11"/>
    <n v="51.2"/>
    <n v="0.95"/>
    <n v="20"/>
  </r>
  <r>
    <s v="N/A"/>
    <x v="4"/>
    <x v="0"/>
    <n v="49.5"/>
    <n v="2.2000000000000002"/>
    <n v="40"/>
  </r>
  <r>
    <s v="N/A"/>
    <x v="4"/>
    <x v="1"/>
    <n v="43.8"/>
    <n v="2.4"/>
    <n v="37"/>
  </r>
  <r>
    <s v="N/A"/>
    <x v="4"/>
    <x v="2"/>
    <n v="44"/>
    <n v="1.83"/>
    <n v="38"/>
  </r>
  <r>
    <s v="N/A"/>
    <x v="4"/>
    <x v="3"/>
    <n v="46.2"/>
    <n v="1.9"/>
    <n v="35"/>
  </r>
  <r>
    <s v="N/A"/>
    <x v="4"/>
    <x v="4"/>
    <n v="41.1"/>
    <n v="1.21"/>
    <n v="28"/>
  </r>
  <r>
    <s v="N/A"/>
    <x v="4"/>
    <x v="5"/>
    <n v="41.6"/>
    <n v="0.77"/>
    <n v="22"/>
  </r>
  <r>
    <s v="N/A"/>
    <x v="4"/>
    <x v="6"/>
    <n v="48.8"/>
    <n v="2.13"/>
    <n v="44"/>
  </r>
  <r>
    <s v="N/A"/>
    <x v="4"/>
    <x v="7"/>
    <n v="49.6"/>
    <n v="2.57"/>
    <n v="49"/>
  </r>
  <r>
    <s v="N/A"/>
    <x v="4"/>
    <x v="8"/>
    <n v="46.7"/>
    <n v="2.4700000000000002"/>
    <n v="45"/>
  </r>
  <r>
    <s v="N/A"/>
    <x v="4"/>
    <x v="9"/>
    <n v="43.4"/>
    <n v="2.75"/>
    <n v="42"/>
  </r>
  <r>
    <s v="N/A"/>
    <x v="4"/>
    <x v="10"/>
    <n v="44.5"/>
    <n v="1.42"/>
    <n v="31"/>
  </r>
  <r>
    <s v="N/A"/>
    <x v="4"/>
    <x v="11"/>
    <n v="42"/>
    <n v="2.04"/>
    <n v="33"/>
  </r>
  <r>
    <s v="N/A"/>
    <x v="5"/>
    <x v="0"/>
    <n v="49.8"/>
    <n v="3.33"/>
    <n v="53"/>
  </r>
  <r>
    <s v="N/A"/>
    <x v="5"/>
    <x v="1"/>
    <n v="43.9"/>
    <n v="3.53"/>
    <n v="48"/>
  </r>
  <r>
    <s v="N/A"/>
    <x v="5"/>
    <x v="2"/>
    <n v="50.9"/>
    <n v="3.5"/>
    <n v="48.5"/>
  </r>
  <r>
    <s v="N/A"/>
    <x v="5"/>
    <x v="3"/>
    <n v="51.2"/>
    <n v="1.55"/>
    <n v="46"/>
  </r>
  <r>
    <s v="N/A"/>
    <x v="5"/>
    <x v="4"/>
    <n v="45.2"/>
    <n v="1.57"/>
    <n v="44"/>
  </r>
  <r>
    <s v="N/A"/>
    <x v="5"/>
    <x v="5"/>
    <n v="44.6"/>
    <n v="1.45"/>
    <n v="40.5"/>
  </r>
  <r>
    <s v="N/A"/>
    <x v="5"/>
    <x v="6"/>
    <n v="51.3"/>
    <n v="3.4"/>
    <n v="60"/>
  </r>
  <r>
    <s v="N/A"/>
    <x v="5"/>
    <x v="7"/>
    <n v="20.6"/>
    <n v="4.1399999999999997"/>
    <n v="59"/>
  </r>
  <r>
    <s v="N/A"/>
    <x v="5"/>
    <x v="8"/>
    <n v="49.3"/>
    <n v="3.29"/>
    <n v="60"/>
  </r>
  <r>
    <s v="N/A"/>
    <x v="5"/>
    <x v="9"/>
    <n v="49.4"/>
    <n v="4.5599999999999996"/>
    <n v="57"/>
  </r>
  <r>
    <s v="N/A"/>
    <x v="5"/>
    <x v="10"/>
    <n v="48.8"/>
    <n v="1.78"/>
    <n v="45"/>
  </r>
  <r>
    <s v="N/A"/>
    <x v="5"/>
    <x v="11"/>
    <n v="46.2"/>
    <n v="2.0699999999999998"/>
    <n v="49.5"/>
  </r>
  <r>
    <s v="N/A"/>
    <x v="6"/>
    <x v="0"/>
    <n v="53.3"/>
    <n v="2.64"/>
    <n v="58"/>
  </r>
  <r>
    <s v="N/A"/>
    <x v="6"/>
    <x v="1"/>
    <n v="50.2"/>
    <n v="1.77"/>
    <n v="60.5"/>
  </r>
  <r>
    <s v="N/A"/>
    <x v="6"/>
    <x v="2"/>
    <n v="52.4"/>
    <n v="2.71"/>
    <n v="57"/>
  </r>
  <r>
    <s v="N/A"/>
    <x v="6"/>
    <x v="3"/>
    <n v="52.6"/>
    <n v="1.7200000000000002"/>
    <n v="53"/>
  </r>
  <r>
    <s v="N/A"/>
    <x v="6"/>
    <x v="4"/>
    <n v="52.1"/>
    <n v="1.4500000000000002"/>
    <n v="44.5"/>
  </r>
  <r>
    <s v="N/A"/>
    <x v="6"/>
    <x v="5"/>
    <n v="50.2"/>
    <n v="2.2200000000000002"/>
    <n v="47"/>
  </r>
  <r>
    <s v="N/A"/>
    <x v="6"/>
    <x v="6"/>
    <n v="54.5"/>
    <n v="2.4700000000000002"/>
    <n v="65"/>
  </r>
  <r>
    <s v="N/A"/>
    <x v="6"/>
    <x v="7"/>
    <n v="53.1"/>
    <n v="3.41"/>
    <n v="65"/>
  </r>
  <r>
    <s v="N/A"/>
    <x v="6"/>
    <x v="8"/>
    <n v="51.9"/>
    <n v="1.83"/>
    <n v="65"/>
  </r>
  <r>
    <s v="N/A"/>
    <x v="6"/>
    <x v="9"/>
    <n v="50.4"/>
    <n v="2.57"/>
    <n v="64"/>
  </r>
  <r>
    <s v="N/A"/>
    <x v="6"/>
    <x v="10"/>
    <n v="52.1"/>
    <n v="2.13"/>
    <n v="54"/>
  </r>
  <r>
    <s v="N/A"/>
    <x v="6"/>
    <x v="11"/>
    <n v="48.7"/>
    <n v="2.0099999999999998"/>
    <n v="49"/>
  </r>
  <r>
    <s v="N/A"/>
    <x v="7"/>
    <x v="0"/>
    <n v="50.5"/>
    <n v="2.9"/>
    <n v="69.5"/>
  </r>
  <r>
    <s v="N/A"/>
    <x v="7"/>
    <x v="1"/>
    <n v="50.3"/>
    <n v="2.27"/>
    <n v="71.25"/>
  </r>
  <r>
    <s v="N/A"/>
    <x v="7"/>
    <x v="2"/>
    <n v="50.4"/>
    <n v="2.41"/>
    <n v="70"/>
  </r>
  <r>
    <s v="N/A"/>
    <x v="7"/>
    <x v="3"/>
    <n v="48.6"/>
    <n v="2.15"/>
    <n v="65"/>
  </r>
  <r>
    <s v="N/A"/>
    <x v="7"/>
    <x v="4"/>
    <n v="54.2"/>
    <n v="2"/>
    <n v="56.25"/>
  </r>
  <r>
    <s v="N/A"/>
    <x v="7"/>
    <x v="5"/>
    <n v="50.9"/>
    <n v="2.8"/>
    <n v="60"/>
  </r>
  <r>
    <s v="N/A"/>
    <x v="7"/>
    <x v="6"/>
    <n v="53.3"/>
    <n v="2.67"/>
    <n v="76"/>
  </r>
  <r>
    <s v="N/A"/>
    <x v="7"/>
    <x v="7"/>
    <n v="53.3"/>
    <n v="3.38"/>
    <n v="74.5"/>
  </r>
  <r>
    <s v="N/A"/>
    <x v="7"/>
    <x v="8"/>
    <n v="51"/>
    <n v="2.5299999999999998"/>
    <n v="78"/>
  </r>
  <r>
    <s v="N/A"/>
    <x v="7"/>
    <x v="9"/>
    <n v="52.7"/>
    <n v="3.08"/>
    <n v="76.5"/>
  </r>
  <r>
    <s v="N/A"/>
    <x v="7"/>
    <x v="10"/>
    <n v="51.9"/>
    <n v="2.17"/>
    <n v="69"/>
  </r>
  <r>
    <s v="N/A"/>
    <x v="7"/>
    <x v="11"/>
    <n v="54.5"/>
    <n v="2.64"/>
    <n v="62"/>
  </r>
  <r>
    <s v="N/A"/>
    <x v="8"/>
    <x v="0"/>
    <n v="55"/>
    <n v="3.39"/>
    <n v="81"/>
  </r>
  <r>
    <s v="N/A"/>
    <x v="8"/>
    <x v="1"/>
    <n v="48.8"/>
    <n v="2.96"/>
    <n v="82"/>
  </r>
  <r>
    <s v="N/A"/>
    <x v="8"/>
    <x v="2"/>
    <n v="51.9"/>
    <n v="2.56"/>
    <n v="83"/>
  </r>
  <r>
    <s v="N/A"/>
    <x v="8"/>
    <x v="3"/>
    <n v="51.2"/>
    <n v="3.09"/>
    <n v="77"/>
  </r>
  <r>
    <s v="N/A"/>
    <x v="8"/>
    <x v="4"/>
    <n v="51.6"/>
    <n v="2.09"/>
    <n v="68"/>
  </r>
  <r>
    <s v="N/A"/>
    <x v="8"/>
    <x v="5"/>
    <n v="49.8"/>
    <n v="2.08"/>
    <n v="73"/>
  </r>
  <r>
    <s v="N/A"/>
    <x v="8"/>
    <x v="6"/>
    <n v="52.9"/>
    <n v="2.72"/>
    <n v="87"/>
  </r>
  <r>
    <s v="N/A"/>
    <x v="8"/>
    <x v="7"/>
    <n v="53.2"/>
    <n v="3.26"/>
    <n v="84"/>
  </r>
  <r>
    <s v="N/A"/>
    <x v="8"/>
    <x v="8"/>
    <n v="54"/>
    <n v="3.04"/>
    <n v="91"/>
  </r>
  <r>
    <s v="N/A"/>
    <x v="8"/>
    <x v="9"/>
    <n v="53.3"/>
    <n v="3.56"/>
    <n v="89"/>
  </r>
  <r>
    <s v="N/A"/>
    <x v="8"/>
    <x v="10"/>
    <n v="52.3"/>
    <n v="1.77"/>
    <n v="84"/>
  </r>
  <r>
    <s v="N/A"/>
    <x v="8"/>
    <x v="11"/>
    <n v="48.1"/>
    <n v="2.54"/>
    <n v="75"/>
  </r>
  <r>
    <s v="N/A"/>
    <x v="9"/>
    <x v="0"/>
    <n v="53.3"/>
    <n v="4.66"/>
    <n v="80"/>
  </r>
  <r>
    <s v="N/A"/>
    <x v="9"/>
    <x v="1"/>
    <n v="52.1"/>
    <n v="3.93"/>
    <n v="83"/>
  </r>
  <r>
    <s v="N/A"/>
    <x v="9"/>
    <x v="2"/>
    <n v="52.7"/>
    <n v="3.39"/>
    <n v="85"/>
  </r>
  <r>
    <s v="N/A"/>
    <x v="9"/>
    <x v="3"/>
    <n v="52.3"/>
    <n v="2.84"/>
    <n v="80"/>
  </r>
  <r>
    <s v="N/A"/>
    <x v="9"/>
    <x v="4"/>
    <n v="57.9"/>
    <n v="3"/>
    <n v="75"/>
  </r>
  <r>
    <s v="N/A"/>
    <x v="9"/>
    <x v="5"/>
    <n v="51.7"/>
    <n v="2.8"/>
    <n v="79"/>
  </r>
  <r>
    <s v="N/A"/>
    <x v="9"/>
    <x v="6"/>
    <n v="52"/>
    <n v="2.96"/>
    <n v="83"/>
  </r>
  <r>
    <s v="N/A"/>
    <x v="9"/>
    <x v="7"/>
    <n v="50.7"/>
    <n v="2.99"/>
    <n v="85"/>
  </r>
  <r>
    <s v="N/A"/>
    <x v="9"/>
    <x v="8"/>
    <n v="52"/>
    <n v="3.92"/>
    <n v="90"/>
  </r>
  <r>
    <s v="N/A"/>
    <x v="9"/>
    <x v="9"/>
    <n v="51.4"/>
    <n v="4.29"/>
    <n v="88"/>
  </r>
  <r>
    <s v="N/A"/>
    <x v="9"/>
    <x v="10"/>
    <n v="54"/>
    <n v="3.51"/>
    <n v="87"/>
  </r>
  <r>
    <s v="N/A"/>
    <x v="9"/>
    <x v="11"/>
    <n v="49.1"/>
    <n v="3.42"/>
    <n v="85"/>
  </r>
  <r>
    <s v="N/A"/>
    <x v="10"/>
    <x v="0"/>
    <n v="50.7"/>
    <n v="4.01"/>
    <m/>
  </r>
  <r>
    <s v="N/A"/>
    <x v="10"/>
    <x v="1"/>
    <n v="48.9"/>
    <n v="3.79"/>
    <m/>
  </r>
  <r>
    <s v="N/A"/>
    <x v="10"/>
    <x v="2"/>
    <n v="48.1"/>
    <n v="3.39"/>
    <m/>
  </r>
  <r>
    <s v="N/A"/>
    <x v="10"/>
    <x v="3"/>
    <n v="48.3"/>
    <n v="3.6"/>
    <m/>
  </r>
  <r>
    <s v="N/A"/>
    <x v="10"/>
    <x v="4"/>
    <n v="48.5"/>
    <n v="3.04"/>
    <m/>
  </r>
  <r>
    <s v="N/A"/>
    <x v="10"/>
    <x v="5"/>
    <n v="50.4"/>
    <n v="2.4500000000000002"/>
    <m/>
  </r>
  <r>
    <s v="N/A"/>
    <x v="10"/>
    <x v="6"/>
    <n v="52.5"/>
    <n v="4.21"/>
    <m/>
  </r>
  <r>
    <s v="N/A"/>
    <x v="10"/>
    <x v="7"/>
    <n v="51.9"/>
    <n v="4.38"/>
    <m/>
  </r>
  <r>
    <s v="N/A"/>
    <x v="10"/>
    <x v="8"/>
    <n v="50.5"/>
    <n v="3.88"/>
    <m/>
  </r>
  <r>
    <s v="N/A"/>
    <x v="10"/>
    <x v="9"/>
    <n v="44.5"/>
    <n v="4.5"/>
    <m/>
  </r>
  <r>
    <s v="N/A"/>
    <x v="10"/>
    <x v="10"/>
    <n v="50.5"/>
    <n v="3.14"/>
    <m/>
  </r>
  <r>
    <s v="N/A"/>
    <x v="10"/>
    <x v="11"/>
    <n v="44.1"/>
    <n v="3.06"/>
    <m/>
  </r>
  <r>
    <s v="N/A"/>
    <x v="11"/>
    <x v="0"/>
    <n v="51.3"/>
    <n v="3.36"/>
    <n v="87"/>
  </r>
  <r>
    <s v="N/A"/>
    <x v="11"/>
    <x v="1"/>
    <n v="47.8"/>
    <n v="2.94"/>
    <n v="83"/>
  </r>
  <r>
    <s v="N/A"/>
    <x v="11"/>
    <x v="2"/>
    <n v="49"/>
    <n v="3.39"/>
    <n v="85"/>
  </r>
  <r>
    <s v="N/A"/>
    <x v="11"/>
    <x v="3"/>
    <n v="53.9"/>
    <n v="3.31"/>
    <n v="86"/>
  </r>
  <r>
    <s v="N/A"/>
    <x v="11"/>
    <x v="4"/>
    <n v="53.1"/>
    <n v="2.78"/>
    <n v="80"/>
  </r>
  <r>
    <s v="N/A"/>
    <x v="11"/>
    <x v="5"/>
    <n v="51"/>
    <n v="2.06"/>
    <n v="80"/>
  </r>
  <r>
    <s v="N/A"/>
    <x v="11"/>
    <x v="6"/>
    <n v="53.2"/>
    <n v="3.02"/>
    <n v="87"/>
  </r>
  <r>
    <s v="N/A"/>
    <x v="11"/>
    <x v="7"/>
    <n v="51.6"/>
    <n v="3.24"/>
    <n v="86"/>
  </r>
  <r>
    <s v="N/A"/>
    <x v="11"/>
    <x v="8"/>
    <n v="51.1"/>
    <n v="3.63"/>
    <n v="92"/>
  </r>
  <r>
    <s v="N/A"/>
    <x v="11"/>
    <x v="9"/>
    <n v="51.7"/>
    <n v="3.77"/>
    <n v="91"/>
  </r>
  <r>
    <s v="N/A"/>
    <x v="11"/>
    <x v="10"/>
    <n v="52.7"/>
    <n v="2.86"/>
    <n v="83"/>
  </r>
  <r>
    <s v="N/A"/>
    <x v="11"/>
    <x v="11"/>
    <n v="45"/>
    <n v="3.29"/>
    <n v="84"/>
  </r>
  <r>
    <s v="N/A"/>
    <x v="12"/>
    <x v="0"/>
    <n v="51.5"/>
    <n v="3.68"/>
    <n v="84"/>
  </r>
  <r>
    <s v="N/A"/>
    <x v="12"/>
    <x v="1"/>
    <n v="37.700000000000003"/>
    <n v="2.95"/>
    <n v="81"/>
  </r>
  <r>
    <s v="N/A"/>
    <x v="12"/>
    <x v="2"/>
    <n v="50.5"/>
    <n v="2.96"/>
    <n v="84"/>
  </r>
  <r>
    <s v="N/A"/>
    <x v="12"/>
    <x v="3"/>
    <n v="52.4"/>
    <n v="2.4500000000000002"/>
    <n v="85"/>
  </r>
  <r>
    <s v="N/A"/>
    <x v="12"/>
    <x v="4"/>
    <n v="52.6"/>
    <n v="2.16"/>
    <n v="75"/>
  </r>
  <r>
    <s v="N/A"/>
    <x v="12"/>
    <x v="5"/>
    <n v="51.1"/>
    <n v="2.4700000000000002"/>
    <n v="72"/>
  </r>
  <r>
    <s v="N/A"/>
    <x v="12"/>
    <x v="6"/>
    <n v="39.5"/>
    <n v="3.14"/>
    <n v="84"/>
  </r>
  <r>
    <s v="N/A"/>
    <x v="12"/>
    <x v="7"/>
    <n v="43.3"/>
    <n v="3.93"/>
    <n v="82"/>
  </r>
  <r>
    <s v="N/A"/>
    <x v="12"/>
    <x v="8"/>
    <n v="40.4"/>
    <n v="3.27"/>
    <n v="88"/>
  </r>
  <r>
    <s v="N/A"/>
    <x v="12"/>
    <x v="9"/>
    <n v="50.4"/>
    <n v="3.73"/>
    <n v="86"/>
  </r>
  <r>
    <s v="N/A"/>
    <x v="12"/>
    <x v="10"/>
    <n v="55.7"/>
    <n v="3.04"/>
    <n v="80"/>
  </r>
  <r>
    <s v="N/A"/>
    <x v="12"/>
    <x v="11"/>
    <n v="41.7"/>
    <n v="2.91"/>
    <n v="80"/>
  </r>
  <r>
    <s v="N/A"/>
    <x v="13"/>
    <x v="0"/>
    <n v="31.6"/>
    <n v="3.58"/>
    <n v="91"/>
  </r>
  <r>
    <s v="N/A"/>
    <x v="13"/>
    <x v="1"/>
    <n v="9.1"/>
    <n v="1.67"/>
    <n v="87"/>
  </r>
  <r>
    <s v="N/A"/>
    <x v="13"/>
    <x v="2"/>
    <n v="32.799999999999997"/>
    <n v="2.61"/>
    <n v="87"/>
  </r>
  <r>
    <s v="N/A"/>
    <x v="13"/>
    <x v="3"/>
    <n v="23.9"/>
    <n v="2.33"/>
    <n v="86"/>
  </r>
  <r>
    <s v="N/A"/>
    <x v="13"/>
    <x v="4"/>
    <n v="29"/>
    <n v="1.46"/>
    <n v="82"/>
  </r>
  <r>
    <s v="N/A"/>
    <x v="13"/>
    <x v="5"/>
    <n v="41.6"/>
    <n v="2.88"/>
    <n v="82"/>
  </r>
  <r>
    <s v="N/A"/>
    <x v="13"/>
    <x v="6"/>
    <n v="11.3"/>
    <n v="2.72"/>
    <n v="87"/>
  </r>
  <r>
    <s v="N/A"/>
    <x v="13"/>
    <x v="7"/>
    <n v="4.7"/>
    <n v="2.4700000000000002"/>
    <n v="90"/>
  </r>
  <r>
    <s v="N/A"/>
    <x v="13"/>
    <x v="8"/>
    <n v="10.199999999999999"/>
    <n v="2.63"/>
    <n v="94"/>
  </r>
  <r>
    <s v="N/A"/>
    <x v="13"/>
    <x v="9"/>
    <n v="16.7"/>
    <n v="3"/>
    <n v="94"/>
  </r>
  <r>
    <s v="N/A"/>
    <x v="13"/>
    <x v="10"/>
    <n v="33.299999999999997"/>
    <n v="2.36"/>
    <n v="85"/>
  </r>
  <r>
    <s v="N/A"/>
    <x v="13"/>
    <x v="11"/>
    <n v="11.9"/>
    <n v="2.85"/>
    <n v="86"/>
  </r>
  <r>
    <s v="N/A"/>
    <x v="14"/>
    <x v="0"/>
    <n v="2.9"/>
    <n v="2.69"/>
    <n v="92"/>
  </r>
  <r>
    <s v="N/A"/>
    <x v="14"/>
    <x v="1"/>
    <n v="4.8"/>
    <n v="2.42"/>
    <n v="83"/>
  </r>
  <r>
    <s v="N/A"/>
    <x v="14"/>
    <x v="2"/>
    <n v="5.6"/>
    <n v="1.65"/>
    <n v="85"/>
  </r>
  <r>
    <s v="N/A"/>
    <x v="14"/>
    <x v="3"/>
    <n v="5.4"/>
    <n v="1.96"/>
    <n v="84"/>
  </r>
  <r>
    <s v="N/A"/>
    <x v="14"/>
    <x v="4"/>
    <n v="3.6"/>
    <n v="1.58"/>
    <n v="81"/>
  </r>
  <r>
    <s v="N/A"/>
    <x v="14"/>
    <x v="5"/>
    <n v="8.1999999999999993"/>
    <n v="2.02"/>
    <n v="84"/>
  </r>
  <r>
    <s v="N/A"/>
    <x v="14"/>
    <x v="6"/>
    <n v="4.8"/>
    <n v="2.4700000000000002"/>
    <n v="90"/>
  </r>
  <r>
    <s v="N/A"/>
    <x v="14"/>
    <x v="7"/>
    <n v="5.6"/>
    <n v="2.35"/>
    <n v="85"/>
  </r>
  <r>
    <s v="N/A"/>
    <x v="14"/>
    <x v="8"/>
    <n v="4.5"/>
    <n v="2.92"/>
    <n v="93"/>
  </r>
  <r>
    <s v="N/A"/>
    <x v="14"/>
    <x v="9"/>
    <n v="5.2"/>
    <n v="2.81"/>
    <n v="91"/>
  </r>
  <r>
    <s v="N/A"/>
    <x v="14"/>
    <x v="10"/>
    <n v="3.8"/>
    <n v="1.79"/>
    <n v="89"/>
  </r>
  <r>
    <s v="N/A"/>
    <x v="14"/>
    <x v="11"/>
    <n v="5.7"/>
    <n v="2.41"/>
    <n v="8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6">
  <r>
    <x v="0"/>
    <x v="0"/>
    <x v="0"/>
    <n v="39.1"/>
    <n v="466413.66"/>
    <n v="5182371.3600000003"/>
  </r>
  <r>
    <x v="0"/>
    <x v="0"/>
    <x v="1"/>
    <n v="41.246499999999997"/>
    <n v="466493.66"/>
    <n v="5182421.3600000003"/>
  </r>
  <r>
    <x v="0"/>
    <x v="0"/>
    <x v="2"/>
    <n v="17.642600000000002"/>
    <n v="466373.66"/>
    <n v="5182241.3600000003"/>
  </r>
  <r>
    <x v="0"/>
    <x v="0"/>
    <x v="3"/>
    <n v="30.5152"/>
    <n v="466233.66"/>
    <n v="5182211.3600000003"/>
  </r>
  <r>
    <x v="0"/>
    <x v="0"/>
    <x v="4"/>
    <n v="17.4221"/>
    <n v="466273.66"/>
    <n v="5182151.3600000003"/>
  </r>
  <r>
    <x v="0"/>
    <x v="0"/>
    <x v="5"/>
    <n v="20.7699"/>
    <n v="466363.66"/>
    <n v="5182131.3600000003"/>
  </r>
  <r>
    <x v="0"/>
    <x v="0"/>
    <x v="6"/>
    <n v="26.6892"/>
    <n v="466393.66"/>
    <n v="5182061.3600000003"/>
  </r>
  <r>
    <x v="0"/>
    <x v="0"/>
    <x v="7"/>
    <n v="32.1006"/>
    <n v="466423.66"/>
    <n v="5182161.3600000003"/>
  </r>
  <r>
    <x v="0"/>
    <x v="0"/>
    <x v="8"/>
    <n v="29.983699999999999"/>
    <n v="466463.66"/>
    <n v="5182181.3600000003"/>
  </r>
  <r>
    <x v="0"/>
    <x v="0"/>
    <x v="9"/>
    <n v="23.362400000000001"/>
    <n v="466493.66"/>
    <n v="5182251.3600000003"/>
  </r>
  <r>
    <x v="0"/>
    <x v="0"/>
    <x v="10"/>
    <n v="23.506699999999999"/>
    <n v="466493.66"/>
    <n v="5182281.3600000003"/>
  </r>
  <r>
    <x v="0"/>
    <x v="0"/>
    <x v="11"/>
    <n v="17.7301"/>
    <n v="466553.66"/>
    <n v="5182171.3600000003"/>
  </r>
  <r>
    <x v="0"/>
    <x v="0"/>
    <x v="12"/>
    <n v="18.890499999999999"/>
    <n v="466323.66"/>
    <n v="5182201.3600000003"/>
  </r>
  <r>
    <x v="0"/>
    <x v="0"/>
    <x v="13"/>
    <n v="23.834599999999998"/>
    <n v="466603.66"/>
    <n v="5182231.3600000003"/>
  </r>
  <r>
    <x v="0"/>
    <x v="0"/>
    <x v="14"/>
    <n v="18.323"/>
    <n v="466483.66"/>
    <n v="5182081.3600000003"/>
  </r>
  <r>
    <x v="0"/>
    <x v="0"/>
    <x v="15"/>
    <n v="24.743400000000001"/>
    <n v="466153.66"/>
    <n v="5182151.3600000003"/>
  </r>
  <r>
    <x v="0"/>
    <x v="0"/>
    <x v="16"/>
    <n v="0"/>
    <n v="466193.66"/>
    <n v="5182091.3600000003"/>
  </r>
  <r>
    <x v="0"/>
    <x v="0"/>
    <x v="17"/>
    <n v="32.672199999999997"/>
    <n v="466533.66"/>
    <n v="5182351.3600000003"/>
  </r>
  <r>
    <x v="0"/>
    <x v="0"/>
    <x v="18"/>
    <n v="34.330199999999998"/>
    <n v="466303.66"/>
    <n v="5182261.3600000003"/>
  </r>
  <r>
    <x v="0"/>
    <x v="0"/>
    <x v="19"/>
    <n v="25.3886"/>
    <n v="466313.66"/>
    <n v="5182341.3600000003"/>
  </r>
  <r>
    <x v="0"/>
    <x v="0"/>
    <x v="20"/>
    <n v="26.181699999999999"/>
    <n v="466213.66"/>
    <n v="5182281.3600000003"/>
  </r>
  <r>
    <x v="0"/>
    <x v="0"/>
    <x v="21"/>
    <n v="20.462199999999999"/>
    <n v="466153.66"/>
    <n v="5182231.3600000003"/>
  </r>
  <r>
    <x v="0"/>
    <x v="0"/>
    <x v="22"/>
    <n v="0"/>
    <n v="466593.66"/>
    <n v="5182311.3600000003"/>
  </r>
  <r>
    <x v="0"/>
    <x v="0"/>
    <x v="23"/>
    <n v="27.546600000000002"/>
    <n v="466283.66"/>
    <n v="5182051.3600000003"/>
  </r>
  <r>
    <x v="0"/>
    <x v="0"/>
    <x v="24"/>
    <n v="21.829899999999999"/>
    <n v="466413.66"/>
    <n v="5182441.3600000003"/>
  </r>
  <r>
    <x v="0"/>
    <x v="0"/>
    <x v="25"/>
    <n v="21.5472"/>
    <n v="466493.66"/>
    <n v="5182501.3600000003"/>
  </r>
  <r>
    <x v="0"/>
    <x v="0"/>
    <x v="26"/>
    <n v="27.835100000000001"/>
    <n v="466423.66"/>
    <n v="5182291.3600000003"/>
  </r>
  <r>
    <x v="0"/>
    <x v="0"/>
    <x v="27"/>
    <n v="19.1861"/>
    <n v="466613.66"/>
    <n v="5182171.3600000003"/>
  </r>
  <r>
    <x v="0"/>
    <x v="0"/>
    <x v="28"/>
    <n v="17.707100000000001"/>
    <n v="466643.66"/>
    <n v="5182271.3600000003"/>
  </r>
  <r>
    <x v="0"/>
    <x v="0"/>
    <x v="29"/>
    <n v="26.211600000000001"/>
    <n v="466333.66"/>
    <n v="5182021.3600000003"/>
  </r>
  <r>
    <x v="0"/>
    <x v="0"/>
    <x v="30"/>
    <n v="19.756799999999998"/>
    <n v="466463.66"/>
    <n v="5182341.3600000003"/>
  </r>
  <r>
    <x v="0"/>
    <x v="0"/>
    <x v="31"/>
    <n v="24.7454"/>
    <n v="466123.66"/>
    <n v="5182111.3600000003"/>
  </r>
  <r>
    <x v="0"/>
    <x v="0"/>
    <x v="32"/>
    <n v="35.6096"/>
    <n v="466333.66"/>
    <n v="5182081.3600000003"/>
  </r>
  <r>
    <x v="0"/>
    <x v="0"/>
    <x v="33"/>
    <n v="24.832100000000001"/>
    <n v="466543.66"/>
    <n v="5182241.3600000003"/>
  </r>
  <r>
    <x v="0"/>
    <x v="0"/>
    <x v="34"/>
    <n v="38.491100000000003"/>
    <n v="466363.66"/>
    <n v="5182331.3600000003"/>
  </r>
  <r>
    <x v="0"/>
    <x v="0"/>
    <x v="35"/>
    <n v="23.8154"/>
    <n v="466353.66"/>
    <n v="5182391.3600000003"/>
  </r>
  <r>
    <x v="0"/>
    <x v="1"/>
    <x v="0"/>
    <n v="6.7"/>
    <n v="466413.66"/>
    <n v="5182371.3600000003"/>
  </r>
  <r>
    <x v="0"/>
    <x v="1"/>
    <x v="1"/>
    <n v="5.4"/>
    <n v="466493.66"/>
    <n v="5182421.3600000003"/>
  </r>
  <r>
    <x v="0"/>
    <x v="1"/>
    <x v="2"/>
    <n v="4.4000000000000004"/>
    <n v="466373.66"/>
    <n v="5182241.3600000003"/>
  </r>
  <r>
    <x v="0"/>
    <x v="1"/>
    <x v="3"/>
    <n v="8.4"/>
    <n v="466233.66"/>
    <n v="5182211.3600000003"/>
  </r>
  <r>
    <x v="0"/>
    <x v="1"/>
    <x v="4"/>
    <n v="4.0999999999999996"/>
    <n v="466273.66"/>
    <n v="5182151.3600000003"/>
  </r>
  <r>
    <x v="0"/>
    <x v="1"/>
    <x v="5"/>
    <n v="3.2"/>
    <n v="466363.66"/>
    <n v="5182131.3600000003"/>
  </r>
  <r>
    <x v="0"/>
    <x v="1"/>
    <x v="6"/>
    <n v="9"/>
    <n v="466393.66"/>
    <n v="5182061.3600000003"/>
  </r>
  <r>
    <x v="0"/>
    <x v="1"/>
    <x v="7"/>
    <n v="25"/>
    <n v="466423.66"/>
    <n v="5182161.3600000003"/>
  </r>
  <r>
    <x v="0"/>
    <x v="1"/>
    <x v="8"/>
    <n v="11.4"/>
    <n v="466463.66"/>
    <n v="5182181.3600000003"/>
  </r>
  <r>
    <x v="0"/>
    <x v="1"/>
    <x v="9"/>
    <n v="2.1"/>
    <n v="466493.66"/>
    <n v="5182251.3600000003"/>
  </r>
  <r>
    <x v="0"/>
    <x v="1"/>
    <x v="10"/>
    <n v="6.3"/>
    <n v="466493.66"/>
    <n v="5182281.3600000003"/>
  </r>
  <r>
    <x v="0"/>
    <x v="1"/>
    <x v="11"/>
    <n v="1"/>
    <n v="466553.66"/>
    <n v="5182171.3600000003"/>
  </r>
  <r>
    <x v="0"/>
    <x v="1"/>
    <x v="12"/>
    <n v="3.3"/>
    <n v="466323.66"/>
    <n v="5182201.3600000003"/>
  </r>
  <r>
    <x v="0"/>
    <x v="1"/>
    <x v="13"/>
    <n v="3.9"/>
    <n v="466603.66"/>
    <n v="5182231.3600000003"/>
  </r>
  <r>
    <x v="0"/>
    <x v="1"/>
    <x v="14"/>
    <n v="2.4"/>
    <n v="466483.66"/>
    <n v="5182081.3600000003"/>
  </r>
  <r>
    <x v="0"/>
    <x v="1"/>
    <x v="15"/>
    <n v="6"/>
    <n v="466153.66"/>
    <n v="5182151.3600000003"/>
  </r>
  <r>
    <x v="0"/>
    <x v="1"/>
    <x v="16"/>
    <n v="0"/>
    <n v="466193.66"/>
    <n v="5182091.3600000003"/>
  </r>
  <r>
    <x v="0"/>
    <x v="1"/>
    <x v="17"/>
    <n v="11.4"/>
    <n v="466533.66"/>
    <n v="5182351.3600000003"/>
  </r>
  <r>
    <x v="0"/>
    <x v="1"/>
    <x v="18"/>
    <n v="8"/>
    <n v="466303.66"/>
    <n v="5182261.3600000003"/>
  </r>
  <r>
    <x v="0"/>
    <x v="1"/>
    <x v="19"/>
    <n v="6.3"/>
    <n v="466313.66"/>
    <n v="5182341.3600000003"/>
  </r>
  <r>
    <x v="0"/>
    <x v="1"/>
    <x v="20"/>
    <n v="6.3"/>
    <n v="466213.66"/>
    <n v="5182281.3600000003"/>
  </r>
  <r>
    <x v="0"/>
    <x v="1"/>
    <x v="21"/>
    <n v="6.2"/>
    <n v="466153.66"/>
    <n v="5182231.3600000003"/>
  </r>
  <r>
    <x v="0"/>
    <x v="1"/>
    <x v="22"/>
    <n v="0"/>
    <n v="466593.66"/>
    <n v="5182311.3600000003"/>
  </r>
  <r>
    <x v="0"/>
    <x v="1"/>
    <x v="23"/>
    <n v="8.5"/>
    <n v="466283.66"/>
    <n v="5182051.3600000003"/>
  </r>
  <r>
    <x v="0"/>
    <x v="1"/>
    <x v="24"/>
    <n v="3.5"/>
    <n v="466413.66"/>
    <n v="5182441.3600000003"/>
  </r>
  <r>
    <x v="0"/>
    <x v="1"/>
    <x v="25"/>
    <n v="4.4000000000000004"/>
    <n v="466493.66"/>
    <n v="5182501.3600000003"/>
  </r>
  <r>
    <x v="0"/>
    <x v="1"/>
    <x v="26"/>
    <n v="7.6"/>
    <n v="466423.66"/>
    <n v="5182291.3600000003"/>
  </r>
  <r>
    <x v="0"/>
    <x v="1"/>
    <x v="27"/>
    <n v="5.0999999999999996"/>
    <n v="466613.66"/>
    <n v="5182171.3600000003"/>
  </r>
  <r>
    <x v="0"/>
    <x v="1"/>
    <x v="28"/>
    <n v="5.6"/>
    <n v="466643.66"/>
    <n v="5182271.3600000003"/>
  </r>
  <r>
    <x v="0"/>
    <x v="1"/>
    <x v="29"/>
    <n v="6.7"/>
    <n v="466333.66"/>
    <n v="5182021.3600000003"/>
  </r>
  <r>
    <x v="0"/>
    <x v="1"/>
    <x v="30"/>
    <n v="3.1"/>
    <n v="466463.66"/>
    <n v="5182341.3600000003"/>
  </r>
  <r>
    <x v="0"/>
    <x v="1"/>
    <x v="31"/>
    <n v="5.3"/>
    <n v="466123.66"/>
    <n v="5182111.3600000003"/>
  </r>
  <r>
    <x v="0"/>
    <x v="1"/>
    <x v="32"/>
    <n v="10.7"/>
    <n v="466333.66"/>
    <n v="5182081.3600000003"/>
  </r>
  <r>
    <x v="0"/>
    <x v="1"/>
    <x v="33"/>
    <n v="3.5"/>
    <n v="466543.66"/>
    <n v="5182241.3600000003"/>
  </r>
  <r>
    <x v="0"/>
    <x v="1"/>
    <x v="34"/>
    <n v="13.7"/>
    <n v="466363.66"/>
    <n v="5182331.3600000003"/>
  </r>
  <r>
    <x v="0"/>
    <x v="1"/>
    <x v="35"/>
    <n v="4.4000000000000004"/>
    <n v="466353.66"/>
    <n v="5182391.3600000003"/>
  </r>
  <r>
    <x v="0"/>
    <x v="2"/>
    <x v="0"/>
    <n v="32.4"/>
    <n v="466413.66"/>
    <n v="5182371.3600000003"/>
  </r>
  <r>
    <x v="0"/>
    <x v="2"/>
    <x v="1"/>
    <n v="35.846499999999999"/>
    <n v="466493.66"/>
    <n v="5182421.3600000003"/>
  </r>
  <r>
    <x v="0"/>
    <x v="2"/>
    <x v="2"/>
    <n v="13.242599999999999"/>
    <n v="466373.66"/>
    <n v="5182241.3600000003"/>
  </r>
  <r>
    <x v="0"/>
    <x v="2"/>
    <x v="3"/>
    <n v="22.115200000000002"/>
    <n v="466233.66"/>
    <n v="5182211.3600000003"/>
  </r>
  <r>
    <x v="0"/>
    <x v="2"/>
    <x v="4"/>
    <n v="13.322100000000001"/>
    <n v="466273.66"/>
    <n v="5182151.3600000003"/>
  </r>
  <r>
    <x v="0"/>
    <x v="2"/>
    <x v="5"/>
    <n v="17.569900000000001"/>
    <n v="466363.66"/>
    <n v="5182131.3600000003"/>
  </r>
  <r>
    <x v="0"/>
    <x v="2"/>
    <x v="6"/>
    <n v="17.6892"/>
    <n v="466393.66"/>
    <n v="5182061.3600000003"/>
  </r>
  <r>
    <x v="0"/>
    <x v="2"/>
    <x v="7"/>
    <n v="7.1006"/>
    <n v="466423.66"/>
    <n v="5182161.3600000003"/>
  </r>
  <r>
    <x v="0"/>
    <x v="2"/>
    <x v="8"/>
    <n v="18.5837"/>
    <n v="466463.66"/>
    <n v="5182181.3600000003"/>
  </r>
  <r>
    <x v="0"/>
    <x v="2"/>
    <x v="9"/>
    <n v="21.2624"/>
    <n v="466493.66"/>
    <n v="5182251.3600000003"/>
  </r>
  <r>
    <x v="0"/>
    <x v="2"/>
    <x v="10"/>
    <n v="17.206700000000001"/>
    <n v="466493.66"/>
    <n v="5182281.3600000003"/>
  </r>
  <r>
    <x v="0"/>
    <x v="2"/>
    <x v="11"/>
    <n v="16.7301"/>
    <n v="466553.66"/>
    <n v="5182171.3600000003"/>
  </r>
  <r>
    <x v="0"/>
    <x v="2"/>
    <x v="12"/>
    <n v="15.5905"/>
    <n v="466323.66"/>
    <n v="5182201.3600000003"/>
  </r>
  <r>
    <x v="0"/>
    <x v="2"/>
    <x v="13"/>
    <n v="19.9346"/>
    <n v="466603.66"/>
    <n v="5182231.3600000003"/>
  </r>
  <r>
    <x v="0"/>
    <x v="2"/>
    <x v="14"/>
    <n v="15.923"/>
    <n v="466483.66"/>
    <n v="5182081.3600000003"/>
  </r>
  <r>
    <x v="0"/>
    <x v="2"/>
    <x v="15"/>
    <n v="18.743400000000001"/>
    <n v="466153.66"/>
    <n v="5182151.3600000003"/>
  </r>
  <r>
    <x v="0"/>
    <x v="2"/>
    <x v="16"/>
    <n v="0"/>
    <n v="466193.66"/>
    <n v="5182091.3600000003"/>
  </r>
  <r>
    <x v="0"/>
    <x v="2"/>
    <x v="17"/>
    <n v="21.272200000000002"/>
    <n v="466533.66"/>
    <n v="5182351.3600000003"/>
  </r>
  <r>
    <x v="0"/>
    <x v="2"/>
    <x v="18"/>
    <n v="26.330200000000001"/>
    <n v="466303.66"/>
    <n v="5182261.3600000003"/>
  </r>
  <r>
    <x v="0"/>
    <x v="2"/>
    <x v="19"/>
    <n v="19.0886"/>
    <n v="466313.66"/>
    <n v="5182341.3600000003"/>
  </r>
  <r>
    <x v="0"/>
    <x v="2"/>
    <x v="20"/>
    <n v="19.881699999999999"/>
    <n v="466213.66"/>
    <n v="5182281.3600000003"/>
  </r>
  <r>
    <x v="0"/>
    <x v="2"/>
    <x v="21"/>
    <n v="14.2622"/>
    <n v="466153.66"/>
    <n v="5182231.3600000003"/>
  </r>
  <r>
    <x v="0"/>
    <x v="2"/>
    <x v="22"/>
    <n v="0"/>
    <n v="466593.66"/>
    <n v="5182311.3600000003"/>
  </r>
  <r>
    <x v="0"/>
    <x v="2"/>
    <x v="23"/>
    <n v="19.046600000000002"/>
    <n v="466283.66"/>
    <n v="5182051.3600000003"/>
  </r>
  <r>
    <x v="0"/>
    <x v="2"/>
    <x v="24"/>
    <n v="18.329899999999999"/>
    <n v="466413.66"/>
    <n v="5182441.3600000003"/>
  </r>
  <r>
    <x v="0"/>
    <x v="2"/>
    <x v="25"/>
    <n v="17.147200000000002"/>
    <n v="466493.66"/>
    <n v="5182501.3600000003"/>
  </r>
  <r>
    <x v="0"/>
    <x v="2"/>
    <x v="26"/>
    <n v="20.235099999999999"/>
    <n v="466423.66"/>
    <n v="5182291.3600000003"/>
  </r>
  <r>
    <x v="0"/>
    <x v="2"/>
    <x v="27"/>
    <n v="14.0861"/>
    <n v="466613.66"/>
    <n v="5182171.3600000003"/>
  </r>
  <r>
    <x v="0"/>
    <x v="2"/>
    <x v="28"/>
    <n v="12.107100000000001"/>
    <n v="466643.66"/>
    <n v="5182271.3600000003"/>
  </r>
  <r>
    <x v="0"/>
    <x v="2"/>
    <x v="29"/>
    <n v="19.511600000000001"/>
    <n v="466333.66"/>
    <n v="5182021.3600000003"/>
  </r>
  <r>
    <x v="0"/>
    <x v="2"/>
    <x v="30"/>
    <n v="16.6568"/>
    <n v="466463.66"/>
    <n v="5182341.3600000003"/>
  </r>
  <r>
    <x v="0"/>
    <x v="2"/>
    <x v="31"/>
    <n v="19.445399999999999"/>
    <n v="466123.66"/>
    <n v="5182111.3600000003"/>
  </r>
  <r>
    <x v="0"/>
    <x v="2"/>
    <x v="32"/>
    <n v="24.909600000000001"/>
    <n v="466333.66"/>
    <n v="5182081.3600000003"/>
  </r>
  <r>
    <x v="0"/>
    <x v="2"/>
    <x v="33"/>
    <n v="21.332100000000001"/>
    <n v="466543.66"/>
    <n v="5182241.3600000003"/>
  </r>
  <r>
    <x v="0"/>
    <x v="2"/>
    <x v="34"/>
    <n v="24.7911"/>
    <n v="466363.66"/>
    <n v="5182331.3600000003"/>
  </r>
  <r>
    <x v="0"/>
    <x v="2"/>
    <x v="35"/>
    <n v="19.415400000000002"/>
    <n v="466353.66"/>
    <n v="5182391.3600000003"/>
  </r>
  <r>
    <x v="1"/>
    <x v="0"/>
    <x v="0"/>
    <n v="35.808900000000001"/>
    <n v="517227.65"/>
    <n v="5169180.78"/>
  </r>
  <r>
    <x v="1"/>
    <x v="0"/>
    <x v="1"/>
    <n v="48.008800000000001"/>
    <n v="517437.65"/>
    <n v="5169220.78"/>
  </r>
  <r>
    <x v="1"/>
    <x v="0"/>
    <x v="2"/>
    <n v="40.240699999999997"/>
    <n v="517327.65"/>
    <n v="5169270.78"/>
  </r>
  <r>
    <x v="1"/>
    <x v="0"/>
    <x v="3"/>
    <n v="29.3383"/>
    <n v="516947.65"/>
    <n v="5169210.78"/>
  </r>
  <r>
    <x v="1"/>
    <x v="0"/>
    <x v="4"/>
    <n v="41.069099999999999"/>
    <n v="517147.65"/>
    <n v="5169230.78"/>
  </r>
  <r>
    <x v="1"/>
    <x v="0"/>
    <x v="5"/>
    <n v="31.454799999999999"/>
    <n v="517057.65"/>
    <n v="5169320.78"/>
  </r>
  <r>
    <x v="1"/>
    <x v="0"/>
    <x v="6"/>
    <n v="51.566200000000002"/>
    <n v="517097.65"/>
    <n v="5169400.78"/>
  </r>
  <r>
    <x v="1"/>
    <x v="0"/>
    <x v="7"/>
    <n v="32.517600000000002"/>
    <n v="517087.65"/>
    <n v="5169460.78"/>
  </r>
  <r>
    <x v="1"/>
    <x v="0"/>
    <x v="8"/>
    <n v="48.796399999999998"/>
    <n v="517257.65"/>
    <n v="5169450.78"/>
  </r>
  <r>
    <x v="1"/>
    <x v="0"/>
    <x v="9"/>
    <n v="26.0611"/>
    <n v="517237.65"/>
    <n v="5169520.78"/>
  </r>
  <r>
    <x v="1"/>
    <x v="0"/>
    <x v="10"/>
    <n v="52.778599999999997"/>
    <n v="517217.65"/>
    <n v="5169370.78"/>
  </r>
  <r>
    <x v="1"/>
    <x v="0"/>
    <x v="11"/>
    <n v="43.019500000000001"/>
    <n v="517127.65"/>
    <n v="5169250.78"/>
  </r>
  <r>
    <x v="1"/>
    <x v="0"/>
    <x v="12"/>
    <n v="34.019500000000001"/>
    <n v="517457.65"/>
    <n v="5169080.78"/>
  </r>
  <r>
    <x v="1"/>
    <x v="0"/>
    <x v="13"/>
    <n v="26.783899999999999"/>
    <n v="517037.65"/>
    <n v="5169220.78"/>
  </r>
  <r>
    <x v="1"/>
    <x v="0"/>
    <x v="14"/>
    <n v="31.480399999999999"/>
    <n v="516887.65"/>
    <n v="5169320.78"/>
  </r>
  <r>
    <x v="1"/>
    <x v="0"/>
    <x v="15"/>
    <n v="21.636199999999999"/>
    <n v="517327.65"/>
    <n v="5169530.78"/>
  </r>
  <r>
    <x v="1"/>
    <x v="0"/>
    <x v="16"/>
    <n v="38.939500000000002"/>
    <n v="517397.65"/>
    <n v="5169360.78"/>
  </r>
  <r>
    <x v="1"/>
    <x v="0"/>
    <x v="17"/>
    <n v="0"/>
    <n v="516847.65"/>
    <n v="5169190.78"/>
  </r>
  <r>
    <x v="1"/>
    <x v="0"/>
    <x v="18"/>
    <n v="26.643799999999999"/>
    <n v="517147.65"/>
    <n v="5169560.78"/>
  </r>
  <r>
    <x v="1"/>
    <x v="0"/>
    <x v="19"/>
    <n v="32.430300000000003"/>
    <n v="517347.65"/>
    <n v="5169170.78"/>
  </r>
  <r>
    <x v="1"/>
    <x v="0"/>
    <x v="20"/>
    <n v="38.531700000000001"/>
    <n v="516957.65"/>
    <n v="5169460.78"/>
  </r>
  <r>
    <x v="1"/>
    <x v="0"/>
    <x v="21"/>
    <n v="32.148099999999999"/>
    <n v="517237.65"/>
    <n v="5169280.78"/>
  </r>
  <r>
    <x v="1"/>
    <x v="0"/>
    <x v="22"/>
    <n v="32.960500000000003"/>
    <n v="517367.65"/>
    <n v="5169070.78"/>
  </r>
  <r>
    <x v="1"/>
    <x v="0"/>
    <x v="23"/>
    <n v="43.013399999999997"/>
    <n v="516877.65"/>
    <n v="5169420.78"/>
  </r>
  <r>
    <x v="1"/>
    <x v="0"/>
    <x v="24"/>
    <n v="34.8459"/>
    <n v="516977.65"/>
    <n v="5169290.78"/>
  </r>
  <r>
    <x v="1"/>
    <x v="0"/>
    <x v="25"/>
    <n v="51.701500000000003"/>
    <n v="517317.65"/>
    <n v="5169390.78"/>
  </r>
  <r>
    <x v="1"/>
    <x v="0"/>
    <x v="26"/>
    <n v="28.8186"/>
    <n v="517177.65"/>
    <n v="5169460.78"/>
  </r>
  <r>
    <x v="1"/>
    <x v="0"/>
    <x v="27"/>
    <n v="51.4499"/>
    <n v="517457.65"/>
    <n v="5169310.78"/>
  </r>
  <r>
    <x v="1"/>
    <x v="0"/>
    <x v="28"/>
    <n v="0"/>
    <n v="517287.65"/>
    <n v="5169080.78"/>
  </r>
  <r>
    <x v="1"/>
    <x v="0"/>
    <x v="29"/>
    <n v="41.438299999999998"/>
    <n v="516997.65"/>
    <n v="5169380.78"/>
  </r>
  <r>
    <x v="1"/>
    <x v="0"/>
    <x v="30"/>
    <n v="29.916699999999999"/>
    <n v="517287.65"/>
    <n v="5169590.78"/>
  </r>
  <r>
    <x v="1"/>
    <x v="0"/>
    <x v="31"/>
    <n v="41.851399999999998"/>
    <n v="517147.65"/>
    <n v="5169330.78"/>
  </r>
  <r>
    <x v="1"/>
    <x v="0"/>
    <x v="32"/>
    <n v="52.823900000000002"/>
    <n v="517387.65"/>
    <n v="5169440.78"/>
  </r>
  <r>
    <x v="1"/>
    <x v="0"/>
    <x v="33"/>
    <n v="41.371299999999998"/>
    <n v="517467.65"/>
    <n v="5169160.78"/>
  </r>
  <r>
    <x v="1"/>
    <x v="0"/>
    <x v="34"/>
    <n v="31.747399999999999"/>
    <n v="517077.65"/>
    <n v="5169530.78"/>
  </r>
  <r>
    <x v="1"/>
    <x v="0"/>
    <x v="35"/>
    <n v="33.048999999999999"/>
    <n v="517317.65"/>
    <n v="5169020.78"/>
  </r>
  <r>
    <x v="1"/>
    <x v="1"/>
    <x v="0"/>
    <n v="6.6"/>
    <n v="517227.65"/>
    <n v="5169180.78"/>
  </r>
  <r>
    <x v="1"/>
    <x v="1"/>
    <x v="1"/>
    <n v="10.4"/>
    <n v="517437.65"/>
    <n v="5169220.78"/>
  </r>
  <r>
    <x v="1"/>
    <x v="1"/>
    <x v="2"/>
    <n v="6.4"/>
    <n v="517327.65"/>
    <n v="5169270.78"/>
  </r>
  <r>
    <x v="1"/>
    <x v="1"/>
    <x v="3"/>
    <n v="9.6999999999999993"/>
    <n v="516947.65"/>
    <n v="5169210.78"/>
  </r>
  <r>
    <x v="1"/>
    <x v="1"/>
    <x v="4"/>
    <n v="14"/>
    <n v="517147.65"/>
    <n v="5169230.78"/>
  </r>
  <r>
    <x v="1"/>
    <x v="1"/>
    <x v="5"/>
    <n v="11.3"/>
    <n v="517057.65"/>
    <n v="5169320.78"/>
  </r>
  <r>
    <x v="1"/>
    <x v="1"/>
    <x v="6"/>
    <n v="13"/>
    <n v="517097.65"/>
    <n v="5169400.78"/>
  </r>
  <r>
    <x v="1"/>
    <x v="1"/>
    <x v="7"/>
    <n v="6.4"/>
    <n v="517087.65"/>
    <n v="5169460.78"/>
  </r>
  <r>
    <x v="1"/>
    <x v="1"/>
    <x v="8"/>
    <n v="15.2"/>
    <n v="517257.65"/>
    <n v="5169450.78"/>
  </r>
  <r>
    <x v="1"/>
    <x v="1"/>
    <x v="9"/>
    <n v="4.8"/>
    <n v="517237.65"/>
    <n v="5169520.78"/>
  </r>
  <r>
    <x v="1"/>
    <x v="1"/>
    <x v="10"/>
    <n v="18.600000000000001"/>
    <n v="517217.65"/>
    <n v="5169370.78"/>
  </r>
  <r>
    <x v="1"/>
    <x v="1"/>
    <x v="11"/>
    <n v="11.2"/>
    <n v="517127.65"/>
    <n v="5169250.78"/>
  </r>
  <r>
    <x v="1"/>
    <x v="1"/>
    <x v="12"/>
    <n v="5.8"/>
    <n v="517457.65"/>
    <n v="5169080.78"/>
  </r>
  <r>
    <x v="1"/>
    <x v="1"/>
    <x v="13"/>
    <n v="8"/>
    <n v="517037.65"/>
    <n v="5169220.78"/>
  </r>
  <r>
    <x v="1"/>
    <x v="1"/>
    <x v="14"/>
    <n v="6.7"/>
    <n v="516887.65"/>
    <n v="5169320.78"/>
  </r>
  <r>
    <x v="1"/>
    <x v="1"/>
    <x v="15"/>
    <n v="3"/>
    <n v="517327.65"/>
    <n v="5169530.78"/>
  </r>
  <r>
    <x v="1"/>
    <x v="1"/>
    <x v="16"/>
    <n v="11.8"/>
    <n v="517397.65"/>
    <n v="5169360.78"/>
  </r>
  <r>
    <x v="1"/>
    <x v="1"/>
    <x v="17"/>
    <n v="0"/>
    <n v="516847.65"/>
    <n v="5169190.78"/>
  </r>
  <r>
    <x v="1"/>
    <x v="1"/>
    <x v="18"/>
    <n v="3.8"/>
    <n v="517147.65"/>
    <n v="5169560.78"/>
  </r>
  <r>
    <x v="1"/>
    <x v="1"/>
    <x v="19"/>
    <n v="5.6"/>
    <n v="517347.65"/>
    <n v="5169170.78"/>
  </r>
  <r>
    <x v="1"/>
    <x v="1"/>
    <x v="20"/>
    <n v="6.9"/>
    <n v="516957.65"/>
    <n v="5169460.78"/>
  </r>
  <r>
    <x v="1"/>
    <x v="1"/>
    <x v="21"/>
    <n v="9.3000000000000007"/>
    <n v="517237.65"/>
    <n v="5169280.78"/>
  </r>
  <r>
    <x v="1"/>
    <x v="1"/>
    <x v="22"/>
    <n v="7.3"/>
    <n v="517367.65"/>
    <n v="5169070.78"/>
  </r>
  <r>
    <x v="1"/>
    <x v="1"/>
    <x v="23"/>
    <n v="13.2"/>
    <n v="516877.65"/>
    <n v="5169420.78"/>
  </r>
  <r>
    <x v="1"/>
    <x v="1"/>
    <x v="24"/>
    <n v="12.1"/>
    <n v="516977.65"/>
    <n v="5169290.78"/>
  </r>
  <r>
    <x v="1"/>
    <x v="1"/>
    <x v="25"/>
    <n v="21.7"/>
    <n v="517317.65"/>
    <n v="5169390.78"/>
  </r>
  <r>
    <x v="1"/>
    <x v="1"/>
    <x v="26"/>
    <n v="9.8000000000000007"/>
    <n v="517177.65"/>
    <n v="5169460.78"/>
  </r>
  <r>
    <x v="1"/>
    <x v="1"/>
    <x v="27"/>
    <n v="7.1"/>
    <n v="517457.65"/>
    <n v="5169310.78"/>
  </r>
  <r>
    <x v="1"/>
    <x v="1"/>
    <x v="28"/>
    <n v="0"/>
    <n v="517287.65"/>
    <n v="5169080.78"/>
  </r>
  <r>
    <x v="1"/>
    <x v="1"/>
    <x v="29"/>
    <n v="13.5"/>
    <n v="516997.65"/>
    <n v="5169380.78"/>
  </r>
  <r>
    <x v="1"/>
    <x v="1"/>
    <x v="30"/>
    <n v="8.8000000000000007"/>
    <n v="517287.65"/>
    <n v="5169590.78"/>
  </r>
  <r>
    <x v="1"/>
    <x v="1"/>
    <x v="31"/>
    <n v="14.1"/>
    <n v="517147.65"/>
    <n v="5169330.78"/>
  </r>
  <r>
    <x v="1"/>
    <x v="1"/>
    <x v="32"/>
    <n v="16.399999999999999"/>
    <n v="517387.65"/>
    <n v="5169440.78"/>
  </r>
  <r>
    <x v="1"/>
    <x v="1"/>
    <x v="33"/>
    <n v="9.6999999999999993"/>
    <n v="517467.65"/>
    <n v="5169160.78"/>
  </r>
  <r>
    <x v="1"/>
    <x v="1"/>
    <x v="34"/>
    <n v="5.4"/>
    <n v="517077.65"/>
    <n v="5169530.78"/>
  </r>
  <r>
    <x v="1"/>
    <x v="1"/>
    <x v="35"/>
    <n v="5.0999999999999996"/>
    <n v="517317.65"/>
    <n v="5169020.78"/>
  </r>
  <r>
    <x v="1"/>
    <x v="2"/>
    <x v="0"/>
    <n v="29.2089"/>
    <n v="517227.65"/>
    <n v="5169180.78"/>
  </r>
  <r>
    <x v="1"/>
    <x v="2"/>
    <x v="1"/>
    <n v="37.608800000000002"/>
    <n v="517437.65"/>
    <n v="5169220.78"/>
  </r>
  <r>
    <x v="1"/>
    <x v="2"/>
    <x v="2"/>
    <n v="33.840699999999998"/>
    <n v="517327.65"/>
    <n v="5169270.78"/>
  </r>
  <r>
    <x v="1"/>
    <x v="2"/>
    <x v="3"/>
    <n v="19.638300000000001"/>
    <n v="516947.65"/>
    <n v="5169210.78"/>
  </r>
  <r>
    <x v="1"/>
    <x v="2"/>
    <x v="4"/>
    <n v="27.069099999999999"/>
    <n v="517147.65"/>
    <n v="5169230.78"/>
  </r>
  <r>
    <x v="1"/>
    <x v="2"/>
    <x v="5"/>
    <n v="20.154800000000002"/>
    <n v="517057.65"/>
    <n v="5169320.78"/>
  </r>
  <r>
    <x v="1"/>
    <x v="2"/>
    <x v="6"/>
    <n v="38.566200000000002"/>
    <n v="517097.65"/>
    <n v="5169400.78"/>
  </r>
  <r>
    <x v="1"/>
    <x v="2"/>
    <x v="7"/>
    <n v="26.117599999999999"/>
    <n v="517087.65"/>
    <n v="5169460.78"/>
  </r>
  <r>
    <x v="1"/>
    <x v="2"/>
    <x v="8"/>
    <n v="33.596400000000003"/>
    <n v="517257.65"/>
    <n v="5169450.78"/>
  </r>
  <r>
    <x v="1"/>
    <x v="2"/>
    <x v="9"/>
    <n v="21.261099999999999"/>
    <n v="517237.65"/>
    <n v="5169520.78"/>
  </r>
  <r>
    <x v="1"/>
    <x v="2"/>
    <x v="10"/>
    <n v="34.178600000000003"/>
    <n v="517217.65"/>
    <n v="5169370.78"/>
  </r>
  <r>
    <x v="1"/>
    <x v="2"/>
    <x v="11"/>
    <n v="31.819500000000001"/>
    <n v="517127.65"/>
    <n v="5169250.78"/>
  </r>
  <r>
    <x v="1"/>
    <x v="2"/>
    <x v="12"/>
    <n v="28.2195"/>
    <n v="517457.65"/>
    <n v="5169080.78"/>
  </r>
  <r>
    <x v="1"/>
    <x v="2"/>
    <x v="13"/>
    <n v="18.783899999999999"/>
    <n v="517037.65"/>
    <n v="5169220.78"/>
  </r>
  <r>
    <x v="1"/>
    <x v="2"/>
    <x v="14"/>
    <n v="24.7804"/>
    <n v="516887.65"/>
    <n v="5169320.78"/>
  </r>
  <r>
    <x v="1"/>
    <x v="2"/>
    <x v="15"/>
    <n v="18.636199999999999"/>
    <n v="517327.65"/>
    <n v="5169530.78"/>
  </r>
  <r>
    <x v="1"/>
    <x v="2"/>
    <x v="16"/>
    <n v="27.139500000000002"/>
    <n v="517397.65"/>
    <n v="5169360.78"/>
  </r>
  <r>
    <x v="1"/>
    <x v="2"/>
    <x v="17"/>
    <n v="0"/>
    <n v="516847.65"/>
    <n v="5169190.78"/>
  </r>
  <r>
    <x v="1"/>
    <x v="2"/>
    <x v="18"/>
    <n v="22.843800000000002"/>
    <n v="517147.65"/>
    <n v="5169560.78"/>
  </r>
  <r>
    <x v="1"/>
    <x v="2"/>
    <x v="19"/>
    <n v="26.830300000000001"/>
    <n v="517347.65"/>
    <n v="5169170.78"/>
  </r>
  <r>
    <x v="1"/>
    <x v="2"/>
    <x v="20"/>
    <n v="31.631699999999999"/>
    <n v="516957.65"/>
    <n v="5169460.78"/>
  </r>
  <r>
    <x v="1"/>
    <x v="2"/>
    <x v="21"/>
    <n v="22.848099999999999"/>
    <n v="517237.65"/>
    <n v="5169280.78"/>
  </r>
  <r>
    <x v="1"/>
    <x v="2"/>
    <x v="22"/>
    <n v="25.660499999999999"/>
    <n v="517367.65"/>
    <n v="5169070.78"/>
  </r>
  <r>
    <x v="1"/>
    <x v="2"/>
    <x v="23"/>
    <n v="29.813400000000001"/>
    <n v="516877.65"/>
    <n v="5169420.78"/>
  </r>
  <r>
    <x v="1"/>
    <x v="2"/>
    <x v="24"/>
    <n v="22.745899999999999"/>
    <n v="516977.65"/>
    <n v="5169290.78"/>
  </r>
  <r>
    <x v="1"/>
    <x v="2"/>
    <x v="25"/>
    <n v="30.0015"/>
    <n v="517317.65"/>
    <n v="5169390.78"/>
  </r>
  <r>
    <x v="1"/>
    <x v="2"/>
    <x v="26"/>
    <n v="19.018599999999999"/>
    <n v="517177.65"/>
    <n v="5169460.78"/>
  </r>
  <r>
    <x v="1"/>
    <x v="2"/>
    <x v="27"/>
    <n v="44.349899999999998"/>
    <n v="517457.65"/>
    <n v="5169310.78"/>
  </r>
  <r>
    <x v="1"/>
    <x v="2"/>
    <x v="28"/>
    <n v="0"/>
    <n v="517287.65"/>
    <n v="5169080.78"/>
  </r>
  <r>
    <x v="1"/>
    <x v="2"/>
    <x v="29"/>
    <n v="27.938300000000002"/>
    <n v="516997.65"/>
    <n v="5169380.78"/>
  </r>
  <r>
    <x v="1"/>
    <x v="2"/>
    <x v="30"/>
    <n v="21.116700000000002"/>
    <n v="517287.65"/>
    <n v="5169590.78"/>
  </r>
  <r>
    <x v="1"/>
    <x v="2"/>
    <x v="31"/>
    <n v="27.7514"/>
    <n v="517147.65"/>
    <n v="5169330.78"/>
  </r>
  <r>
    <x v="1"/>
    <x v="2"/>
    <x v="32"/>
    <n v="36.423900000000003"/>
    <n v="517387.65"/>
    <n v="5169440.78"/>
  </r>
  <r>
    <x v="1"/>
    <x v="2"/>
    <x v="33"/>
    <n v="31.671299999999999"/>
    <n v="517467.65"/>
    <n v="5169160.78"/>
  </r>
  <r>
    <x v="1"/>
    <x v="2"/>
    <x v="34"/>
    <n v="26.3474"/>
    <n v="517077.65"/>
    <n v="5169530.78"/>
  </r>
  <r>
    <x v="1"/>
    <x v="2"/>
    <x v="35"/>
    <n v="27.949000000000002"/>
    <n v="517317.65"/>
    <n v="5169020.78"/>
  </r>
  <r>
    <x v="2"/>
    <x v="0"/>
    <x v="0"/>
    <n v="37.629600000000003"/>
    <n v="5150951.67"/>
    <n v="37629485.969999999"/>
  </r>
  <r>
    <x v="2"/>
    <x v="0"/>
    <x v="1"/>
    <n v="56.821800000000003"/>
    <n v="5150981.67"/>
    <n v="56821627.810000002"/>
  </r>
  <r>
    <x v="2"/>
    <x v="0"/>
    <x v="2"/>
    <n v="37.165500000000002"/>
    <n v="5151011.67"/>
    <n v="37165387.380000003"/>
  </r>
  <r>
    <x v="2"/>
    <x v="0"/>
    <x v="3"/>
    <n v="53.589799999999997"/>
    <n v="5151081.67"/>
    <n v="53589637.609999999"/>
  </r>
  <r>
    <x v="2"/>
    <x v="0"/>
    <x v="4"/>
    <n v="63.144799999999996"/>
    <n v="5151081.67"/>
    <n v="63144608.649999999"/>
  </r>
  <r>
    <x v="2"/>
    <x v="0"/>
    <x v="5"/>
    <n v="47.570300000000003"/>
    <n v="5151111.67"/>
    <n v="47570155.850000001"/>
  </r>
  <r>
    <x v="2"/>
    <x v="0"/>
    <x v="6"/>
    <n v="61.290300000000002"/>
    <n v="5151051.67"/>
    <n v="61290114.270000003"/>
  </r>
  <r>
    <x v="2"/>
    <x v="0"/>
    <x v="7"/>
    <n v="44.165799999999997"/>
    <n v="5150991.67"/>
    <n v="44165666.159999996"/>
  </r>
  <r>
    <x v="2"/>
    <x v="0"/>
    <x v="8"/>
    <n v="51.8369"/>
    <n v="5151021.67"/>
    <n v="51836742.920000002"/>
  </r>
  <r>
    <x v="2"/>
    <x v="0"/>
    <x v="9"/>
    <n v="53.501600000000003"/>
    <n v="5150951.67"/>
    <n v="53501437.869999997"/>
  </r>
  <r>
    <x v="2"/>
    <x v="0"/>
    <x v="10"/>
    <n v="37.805799999999998"/>
    <n v="5150991.67"/>
    <n v="37805685.439999998"/>
  </r>
  <r>
    <x v="2"/>
    <x v="0"/>
    <x v="11"/>
    <n v="53.253999999999998"/>
    <n v="5150931.67"/>
    <n v="53253838.619999997"/>
  </r>
  <r>
    <x v="2"/>
    <x v="0"/>
    <x v="12"/>
    <n v="51.346699999999998"/>
    <n v="5151051.67"/>
    <n v="51346544.399999999"/>
  </r>
  <r>
    <x v="2"/>
    <x v="0"/>
    <x v="14"/>
    <n v="38.655700000000003"/>
    <n v="5151091.67"/>
    <n v="38655582.859999999"/>
  </r>
  <r>
    <x v="2"/>
    <x v="0"/>
    <x v="15"/>
    <n v="39.650599999999997"/>
    <n v="5150981.67"/>
    <n v="39650479.850000001"/>
  </r>
  <r>
    <x v="2"/>
    <x v="0"/>
    <x v="16"/>
    <n v="51.598399999999998"/>
    <n v="5150991.67"/>
    <n v="51598243.640000001"/>
  </r>
  <r>
    <x v="2"/>
    <x v="0"/>
    <x v="17"/>
    <n v="0"/>
    <n v="5151141.67"/>
    <n v="0"/>
  </r>
  <r>
    <x v="2"/>
    <x v="0"/>
    <x v="18"/>
    <n v="38.235300000000002"/>
    <n v="5151101.67"/>
    <n v="38235184.140000001"/>
  </r>
  <r>
    <x v="2"/>
    <x v="0"/>
    <x v="19"/>
    <n v="0"/>
    <n v="5150891.67"/>
    <n v="0"/>
  </r>
  <r>
    <x v="2"/>
    <x v="0"/>
    <x v="20"/>
    <n v="41.3718"/>
    <n v="5150871.67"/>
    <n v="41371674.630000003"/>
  </r>
  <r>
    <x v="2"/>
    <x v="0"/>
    <x v="21"/>
    <n v="0"/>
    <n v="5150891.67"/>
    <n v="0"/>
  </r>
  <r>
    <x v="2"/>
    <x v="0"/>
    <x v="22"/>
    <n v="53.134500000000003"/>
    <n v="5151021.67"/>
    <n v="53134338.990000002"/>
  </r>
  <r>
    <x v="2"/>
    <x v="0"/>
    <x v="23"/>
    <n v="36.808599999999998"/>
    <n v="5151061.67"/>
    <n v="36808488.460000001"/>
  </r>
  <r>
    <x v="2"/>
    <x v="0"/>
    <x v="24"/>
    <n v="41.055100000000003"/>
    <n v="5150951.67"/>
    <n v="41054975.590000004"/>
  </r>
  <r>
    <x v="2"/>
    <x v="0"/>
    <x v="25"/>
    <n v="42.189799999999998"/>
    <n v="5150911.67"/>
    <n v="42189672.149999999"/>
  </r>
  <r>
    <x v="2"/>
    <x v="0"/>
    <x v="26"/>
    <n v="44.407899999999998"/>
    <n v="5151031.67"/>
    <n v="44407765.43"/>
  </r>
  <r>
    <x v="2"/>
    <x v="0"/>
    <x v="27"/>
    <n v="0"/>
    <n v="5151111.67"/>
    <n v="0"/>
  </r>
  <r>
    <x v="2"/>
    <x v="0"/>
    <x v="28"/>
    <n v="51.258699999999997"/>
    <n v="5150961.67"/>
    <n v="51258544.670000002"/>
  </r>
  <r>
    <x v="2"/>
    <x v="0"/>
    <x v="29"/>
    <n v="54.273000000000003"/>
    <n v="5151041.67"/>
    <n v="54272835.539999999"/>
  </r>
  <r>
    <x v="2"/>
    <x v="0"/>
    <x v="31"/>
    <n v="43.438299999999998"/>
    <n v="5150901.67"/>
    <n v="43438168.369999997"/>
  </r>
  <r>
    <x v="2"/>
    <x v="0"/>
    <x v="32"/>
    <n v="41.297499999999999"/>
    <n v="5150931.67"/>
    <n v="41297374.859999999"/>
  </r>
  <r>
    <x v="2"/>
    <x v="0"/>
    <x v="33"/>
    <n v="41.513300000000001"/>
    <n v="5150971.67"/>
    <n v="41513174.200000003"/>
  </r>
  <r>
    <x v="2"/>
    <x v="0"/>
    <x v="34"/>
    <n v="0"/>
    <n v="5151171.67"/>
    <n v="0"/>
  </r>
  <r>
    <x v="2"/>
    <x v="0"/>
    <x v="35"/>
    <n v="48.306399999999996"/>
    <n v="5150921.67"/>
    <n v="48306253.619999997"/>
  </r>
  <r>
    <x v="2"/>
    <x v="1"/>
    <x v="0"/>
    <n v="7.5"/>
    <n v="5150951.67"/>
    <n v="37629485.969999999"/>
  </r>
  <r>
    <x v="2"/>
    <x v="1"/>
    <x v="1"/>
    <n v="16.8"/>
    <n v="5150981.67"/>
    <n v="56821627.810000002"/>
  </r>
  <r>
    <x v="2"/>
    <x v="1"/>
    <x v="2"/>
    <n v="9.9"/>
    <n v="5151011.67"/>
    <n v="37165387.380000003"/>
  </r>
  <r>
    <x v="2"/>
    <x v="1"/>
    <x v="3"/>
    <n v="8"/>
    <n v="5151081.67"/>
    <n v="53589637.609999999"/>
  </r>
  <r>
    <x v="2"/>
    <x v="1"/>
    <x v="4"/>
    <n v="20.6"/>
    <n v="5151081.67"/>
    <n v="63144608.649999999"/>
  </r>
  <r>
    <x v="2"/>
    <x v="1"/>
    <x v="5"/>
    <n v="6.9"/>
    <n v="5151111.67"/>
    <n v="47570155.850000001"/>
  </r>
  <r>
    <x v="2"/>
    <x v="1"/>
    <x v="6"/>
    <n v="6.5"/>
    <n v="5151051.67"/>
    <n v="61290114.270000003"/>
  </r>
  <r>
    <x v="2"/>
    <x v="1"/>
    <x v="7"/>
    <n v="7.6"/>
    <n v="5150991.67"/>
    <n v="44165666.159999996"/>
  </r>
  <r>
    <x v="2"/>
    <x v="1"/>
    <x v="8"/>
    <n v="9.5"/>
    <n v="5151021.67"/>
    <n v="51836742.920000002"/>
  </r>
  <r>
    <x v="2"/>
    <x v="1"/>
    <x v="9"/>
    <n v="15.1"/>
    <n v="5150951.67"/>
    <n v="53501437.869999997"/>
  </r>
  <r>
    <x v="2"/>
    <x v="1"/>
    <x v="10"/>
    <n v="10"/>
    <n v="5150991.67"/>
    <n v="37805685.439999998"/>
  </r>
  <r>
    <x v="2"/>
    <x v="1"/>
    <x v="11"/>
    <n v="13.4"/>
    <n v="5150931.67"/>
    <n v="53253838.619999997"/>
  </r>
  <r>
    <x v="2"/>
    <x v="1"/>
    <x v="12"/>
    <n v="9"/>
    <n v="5151051.67"/>
    <n v="51346544.399999999"/>
  </r>
  <r>
    <x v="2"/>
    <x v="1"/>
    <x v="14"/>
    <n v="4.5999999999999996"/>
    <n v="5151091.67"/>
    <n v="38655582.859999999"/>
  </r>
  <r>
    <x v="2"/>
    <x v="1"/>
    <x v="15"/>
    <n v="24.4"/>
    <n v="5150981.67"/>
    <n v="39650479.850000001"/>
  </r>
  <r>
    <x v="2"/>
    <x v="1"/>
    <x v="16"/>
    <n v="13.2"/>
    <n v="5150991.67"/>
    <n v="51598243.640000001"/>
  </r>
  <r>
    <x v="2"/>
    <x v="1"/>
    <x v="17"/>
    <n v="0"/>
    <n v="5151141.67"/>
    <n v="0"/>
  </r>
  <r>
    <x v="2"/>
    <x v="1"/>
    <x v="18"/>
    <n v="6.6"/>
    <n v="5151101.67"/>
    <n v="38235184.140000001"/>
  </r>
  <r>
    <x v="2"/>
    <x v="1"/>
    <x v="19"/>
    <n v="0"/>
    <n v="5150891.67"/>
    <n v="0"/>
  </r>
  <r>
    <x v="2"/>
    <x v="1"/>
    <x v="20"/>
    <n v="10.4"/>
    <n v="5150871.67"/>
    <n v="41371674.630000003"/>
  </r>
  <r>
    <x v="2"/>
    <x v="1"/>
    <x v="21"/>
    <n v="0"/>
    <n v="5150891.67"/>
    <n v="0"/>
  </r>
  <r>
    <x v="2"/>
    <x v="1"/>
    <x v="22"/>
    <n v="18.899999999999999"/>
    <n v="5151021.67"/>
    <n v="53134338.990000002"/>
  </r>
  <r>
    <x v="2"/>
    <x v="1"/>
    <x v="23"/>
    <n v="8.5"/>
    <n v="5151061.67"/>
    <n v="36808488.460000001"/>
  </r>
  <r>
    <x v="2"/>
    <x v="1"/>
    <x v="24"/>
    <n v="8.5"/>
    <n v="5150951.67"/>
    <n v="41054975.590000004"/>
  </r>
  <r>
    <x v="2"/>
    <x v="1"/>
    <x v="25"/>
    <n v="10.8"/>
    <n v="5150911.67"/>
    <n v="42189672.149999999"/>
  </r>
  <r>
    <x v="2"/>
    <x v="1"/>
    <x v="26"/>
    <n v="12"/>
    <n v="5151031.67"/>
    <n v="44407765.43"/>
  </r>
  <r>
    <x v="2"/>
    <x v="1"/>
    <x v="27"/>
    <n v="0"/>
    <n v="5151111.67"/>
    <n v="0"/>
  </r>
  <r>
    <x v="2"/>
    <x v="1"/>
    <x v="28"/>
    <n v="13"/>
    <n v="5150961.67"/>
    <n v="51258544.670000002"/>
  </r>
  <r>
    <x v="2"/>
    <x v="1"/>
    <x v="29"/>
    <n v="18.5"/>
    <n v="5151041.67"/>
    <n v="54272835.539999999"/>
  </r>
  <r>
    <x v="2"/>
    <x v="1"/>
    <x v="31"/>
    <n v="10"/>
    <n v="5150901.67"/>
    <n v="43438168.369999997"/>
  </r>
  <r>
    <x v="2"/>
    <x v="1"/>
    <x v="32"/>
    <n v="19.899999999999999"/>
    <n v="5150931.67"/>
    <n v="41297374.859999999"/>
  </r>
  <r>
    <x v="2"/>
    <x v="1"/>
    <x v="33"/>
    <n v="18.8"/>
    <n v="5150971.67"/>
    <n v="41513174.200000003"/>
  </r>
  <r>
    <x v="2"/>
    <x v="1"/>
    <x v="34"/>
    <n v="0"/>
    <n v="5151171.67"/>
    <n v="0"/>
  </r>
  <r>
    <x v="2"/>
    <x v="1"/>
    <x v="35"/>
    <n v="7.6"/>
    <n v="5150921.67"/>
    <n v="48306253.619999997"/>
  </r>
  <r>
    <x v="2"/>
    <x v="2"/>
    <x v="0"/>
    <n v="30.1296"/>
    <n v="5150951.67"/>
    <n v="37629485.969999999"/>
  </r>
  <r>
    <x v="2"/>
    <x v="2"/>
    <x v="1"/>
    <n v="40.021799999999999"/>
    <n v="5150981.67"/>
    <n v="56821627.810000002"/>
  </r>
  <r>
    <x v="2"/>
    <x v="2"/>
    <x v="2"/>
    <n v="27.265499999999999"/>
    <n v="5151011.67"/>
    <n v="37165387.380000003"/>
  </r>
  <r>
    <x v="2"/>
    <x v="2"/>
    <x v="3"/>
    <n v="45.589799999999997"/>
    <n v="5151081.67"/>
    <n v="53589637.609999999"/>
  </r>
  <r>
    <x v="2"/>
    <x v="2"/>
    <x v="4"/>
    <n v="42.544800000000002"/>
    <n v="5151081.67"/>
    <n v="63144608.649999999"/>
  </r>
  <r>
    <x v="2"/>
    <x v="2"/>
    <x v="5"/>
    <n v="40.670299999999997"/>
    <n v="5151111.67"/>
    <n v="47570155.850000001"/>
  </r>
  <r>
    <x v="2"/>
    <x v="2"/>
    <x v="6"/>
    <n v="54.790300000000002"/>
    <n v="5151051.67"/>
    <n v="61290114.270000003"/>
  </r>
  <r>
    <x v="2"/>
    <x v="2"/>
    <x v="7"/>
    <n v="36.565800000000003"/>
    <n v="5150991.67"/>
    <n v="44165666.159999996"/>
  </r>
  <r>
    <x v="2"/>
    <x v="2"/>
    <x v="8"/>
    <n v="42.3369"/>
    <n v="5151021.67"/>
    <n v="51836742.920000002"/>
  </r>
  <r>
    <x v="2"/>
    <x v="2"/>
    <x v="9"/>
    <n v="38.401600000000002"/>
    <n v="5150951.67"/>
    <n v="53501437.869999997"/>
  </r>
  <r>
    <x v="2"/>
    <x v="2"/>
    <x v="10"/>
    <n v="27.805800000000001"/>
    <n v="5150991.67"/>
    <n v="37805685.439999998"/>
  </r>
  <r>
    <x v="2"/>
    <x v="2"/>
    <x v="11"/>
    <n v="39.853999999999999"/>
    <n v="5150931.67"/>
    <n v="53253838.619999997"/>
  </r>
  <r>
    <x v="2"/>
    <x v="2"/>
    <x v="12"/>
    <n v="42.346699999999998"/>
    <n v="5151051.67"/>
    <n v="51346544.399999999"/>
  </r>
  <r>
    <x v="2"/>
    <x v="2"/>
    <x v="14"/>
    <n v="34.055700000000002"/>
    <n v="5151091.67"/>
    <n v="38655582.859999999"/>
  </r>
  <r>
    <x v="2"/>
    <x v="2"/>
    <x v="15"/>
    <n v="15.2506"/>
    <n v="5150981.67"/>
    <n v="39650479.850000001"/>
  </r>
  <r>
    <x v="2"/>
    <x v="2"/>
    <x v="16"/>
    <n v="38.398400000000002"/>
    <n v="5150991.67"/>
    <n v="51598243.640000001"/>
  </r>
  <r>
    <x v="2"/>
    <x v="2"/>
    <x v="17"/>
    <n v="0"/>
    <n v="5151141.67"/>
    <n v="0"/>
  </r>
  <r>
    <x v="2"/>
    <x v="2"/>
    <x v="18"/>
    <n v="31.635200000000001"/>
    <n v="5151101.67"/>
    <n v="38235184.140000001"/>
  </r>
  <r>
    <x v="2"/>
    <x v="2"/>
    <x v="19"/>
    <n v="0"/>
    <n v="5150891.67"/>
    <n v="0"/>
  </r>
  <r>
    <x v="2"/>
    <x v="2"/>
    <x v="20"/>
    <n v="30.971800000000002"/>
    <n v="5150871.67"/>
    <n v="41371674.630000003"/>
  </r>
  <r>
    <x v="2"/>
    <x v="2"/>
    <x v="21"/>
    <n v="0"/>
    <n v="5150891.67"/>
    <n v="0"/>
  </r>
  <r>
    <x v="2"/>
    <x v="2"/>
    <x v="22"/>
    <n v="34.234499999999997"/>
    <n v="5151021.67"/>
    <n v="53134338.990000002"/>
  </r>
  <r>
    <x v="2"/>
    <x v="2"/>
    <x v="23"/>
    <n v="28.308599999999998"/>
    <n v="5151061.67"/>
    <n v="36808488.460000001"/>
  </r>
  <r>
    <x v="2"/>
    <x v="2"/>
    <x v="24"/>
    <n v="32.555100000000003"/>
    <n v="5150951.67"/>
    <n v="41054975.590000004"/>
  </r>
  <r>
    <x v="2"/>
    <x v="2"/>
    <x v="25"/>
    <n v="31.389800000000001"/>
    <n v="5150911.67"/>
    <n v="42189672.149999999"/>
  </r>
  <r>
    <x v="2"/>
    <x v="2"/>
    <x v="26"/>
    <n v="32.407899999999998"/>
    <n v="5151031.67"/>
    <n v="44407765.43"/>
  </r>
  <r>
    <x v="2"/>
    <x v="2"/>
    <x v="27"/>
    <n v="0"/>
    <n v="5151111.67"/>
    <n v="0"/>
  </r>
  <r>
    <x v="2"/>
    <x v="2"/>
    <x v="28"/>
    <n v="38.258699999999997"/>
    <n v="5150961.67"/>
    <n v="51258544.670000002"/>
  </r>
  <r>
    <x v="2"/>
    <x v="2"/>
    <x v="29"/>
    <n v="35.773000000000003"/>
    <n v="5151041.67"/>
    <n v="54272835.539999999"/>
  </r>
  <r>
    <x v="2"/>
    <x v="2"/>
    <x v="31"/>
    <n v="33.438299999999998"/>
    <n v="5150901.67"/>
    <n v="43438168.369999997"/>
  </r>
  <r>
    <x v="2"/>
    <x v="2"/>
    <x v="32"/>
    <n v="21.397500000000001"/>
    <n v="5150931.67"/>
    <n v="41297374.859999999"/>
  </r>
  <r>
    <x v="2"/>
    <x v="2"/>
    <x v="33"/>
    <n v="22.7133"/>
    <n v="5150971.67"/>
    <n v="41513174.200000003"/>
  </r>
  <r>
    <x v="2"/>
    <x v="2"/>
    <x v="34"/>
    <n v="0"/>
    <n v="5151171.67"/>
    <n v="0"/>
  </r>
  <r>
    <x v="2"/>
    <x v="2"/>
    <x v="35"/>
    <n v="40.706400000000002"/>
    <n v="5150921.67"/>
    <n v="48306253.619999997"/>
  </r>
  <r>
    <x v="3"/>
    <x v="0"/>
    <x v="0"/>
    <n v="45.839199999999998"/>
    <n v="530675"/>
    <n v="5158485"/>
  </r>
  <r>
    <x v="3"/>
    <x v="0"/>
    <x v="1"/>
    <n v="35.614199999999997"/>
    <n v="530725"/>
    <n v="5158425"/>
  </r>
  <r>
    <x v="3"/>
    <x v="0"/>
    <x v="2"/>
    <n v="45.413400000000003"/>
    <n v="530885"/>
    <n v="5158365"/>
  </r>
  <r>
    <x v="3"/>
    <x v="0"/>
    <x v="3"/>
    <n v="39.043500000000002"/>
    <n v="530945"/>
    <n v="5158325"/>
  </r>
  <r>
    <x v="3"/>
    <x v="0"/>
    <x v="4"/>
    <n v="41.862000000000002"/>
    <n v="531065"/>
    <n v="5158285"/>
  </r>
  <r>
    <x v="3"/>
    <x v="0"/>
    <x v="5"/>
    <n v="36.033799999999999"/>
    <n v="531175"/>
    <n v="5158305"/>
  </r>
  <r>
    <x v="3"/>
    <x v="0"/>
    <x v="6"/>
    <n v="35.777500000000003"/>
    <n v="531255"/>
    <n v="5158375"/>
  </r>
  <r>
    <x v="3"/>
    <x v="0"/>
    <x v="7"/>
    <n v="35.919800000000002"/>
    <n v="531135"/>
    <n v="5158375"/>
  </r>
  <r>
    <x v="3"/>
    <x v="0"/>
    <x v="8"/>
    <n v="38.0062"/>
    <n v="531145"/>
    <n v="5158415"/>
  </r>
  <r>
    <x v="3"/>
    <x v="0"/>
    <x v="9"/>
    <n v="43.205500000000001"/>
    <n v="530985"/>
    <n v="5158435"/>
  </r>
  <r>
    <x v="3"/>
    <x v="0"/>
    <x v="10"/>
    <n v="43.816000000000003"/>
    <n v="530835"/>
    <n v="5158505"/>
  </r>
  <r>
    <x v="3"/>
    <x v="0"/>
    <x v="11"/>
    <n v="40.614600000000003"/>
    <n v="530795"/>
    <n v="5158445"/>
  </r>
  <r>
    <x v="3"/>
    <x v="0"/>
    <x v="12"/>
    <n v="41.0212"/>
    <n v="531035"/>
    <n v="5158355"/>
  </r>
  <r>
    <x v="3"/>
    <x v="0"/>
    <x v="13"/>
    <n v="0"/>
    <n v="531075"/>
    <n v="5158425"/>
  </r>
  <r>
    <x v="3"/>
    <x v="0"/>
    <x v="14"/>
    <n v="38.974899999999998"/>
    <n v="530925"/>
    <n v="5158405"/>
  </r>
  <r>
    <x v="3"/>
    <x v="0"/>
    <x v="15"/>
    <n v="44.200699999999998"/>
    <n v="530895"/>
    <n v="5158505"/>
  </r>
  <r>
    <x v="3"/>
    <x v="0"/>
    <x v="16"/>
    <n v="40.673900000000003"/>
    <n v="530765"/>
    <n v="5158525"/>
  </r>
  <r>
    <x v="3"/>
    <x v="0"/>
    <x v="17"/>
    <n v="42.364699999999999"/>
    <n v="530825"/>
    <n v="5158385"/>
  </r>
  <r>
    <x v="3"/>
    <x v="0"/>
    <x v="18"/>
    <n v="48.3142"/>
    <n v="530995"/>
    <n v="5158255"/>
  </r>
  <r>
    <x v="3"/>
    <x v="0"/>
    <x v="19"/>
    <n v="37.745100000000001"/>
    <n v="530665"/>
    <n v="5158425"/>
  </r>
  <r>
    <x v="3"/>
    <x v="0"/>
    <x v="20"/>
    <n v="35.092100000000002"/>
    <n v="530975"/>
    <n v="5158365"/>
  </r>
  <r>
    <x v="3"/>
    <x v="0"/>
    <x v="21"/>
    <n v="42.873399999999997"/>
    <n v="531185"/>
    <n v="5158375"/>
  </r>
  <r>
    <x v="3"/>
    <x v="0"/>
    <x v="22"/>
    <n v="32.831000000000003"/>
    <n v="530695"/>
    <n v="5158545"/>
  </r>
  <r>
    <x v="3"/>
    <x v="0"/>
    <x v="23"/>
    <n v="46.558700000000002"/>
    <n v="530855"/>
    <n v="5158435"/>
  </r>
  <r>
    <x v="3"/>
    <x v="0"/>
    <x v="24"/>
    <n v="36.441299999999998"/>
    <n v="531125"/>
    <n v="5158315"/>
  </r>
  <r>
    <x v="3"/>
    <x v="0"/>
    <x v="25"/>
    <n v="46.467500000000001"/>
    <n v="531005"/>
    <n v="5158305"/>
  </r>
  <r>
    <x v="3"/>
    <x v="0"/>
    <x v="26"/>
    <n v="49.962800000000001"/>
    <n v="530935"/>
    <n v="5158465"/>
  </r>
  <r>
    <x v="3"/>
    <x v="0"/>
    <x v="27"/>
    <n v="34.5426"/>
    <n v="530725"/>
    <n v="5158485"/>
  </r>
  <r>
    <x v="3"/>
    <x v="0"/>
    <x v="28"/>
    <n v="48.294800000000002"/>
    <n v="531045"/>
    <n v="5158245"/>
  </r>
  <r>
    <x v="3"/>
    <x v="0"/>
    <x v="29"/>
    <n v="0"/>
    <n v="530765"/>
    <n v="5158385"/>
  </r>
  <r>
    <x v="3"/>
    <x v="0"/>
    <x v="30"/>
    <n v="54.798400000000001"/>
    <n v="531115"/>
    <n v="5158265"/>
  </r>
  <r>
    <x v="3"/>
    <x v="0"/>
    <x v="31"/>
    <n v="58.431600000000003"/>
    <n v="531035"/>
    <n v="5158405"/>
  </r>
  <r>
    <x v="3"/>
    <x v="0"/>
    <x v="32"/>
    <n v="38.622300000000003"/>
    <n v="531085"/>
    <n v="5158365"/>
  </r>
  <r>
    <x v="3"/>
    <x v="0"/>
    <x v="33"/>
    <n v="38.632399999999997"/>
    <n v="530775"/>
    <n v="5158485"/>
  </r>
  <r>
    <x v="3"/>
    <x v="0"/>
    <x v="34"/>
    <n v="45.189900000000002"/>
    <n v="530805"/>
    <n v="5158535"/>
  </r>
  <r>
    <x v="3"/>
    <x v="0"/>
    <x v="35"/>
    <n v="39.215600000000002"/>
    <n v="530935"/>
    <n v="5158365"/>
  </r>
  <r>
    <x v="3"/>
    <x v="1"/>
    <x v="0"/>
    <n v="16.190899999999999"/>
    <n v="530675"/>
    <n v="5158485"/>
  </r>
  <r>
    <x v="3"/>
    <x v="1"/>
    <x v="1"/>
    <n v="11.252000000000001"/>
    <n v="530725"/>
    <n v="5158425"/>
  </r>
  <r>
    <x v="3"/>
    <x v="1"/>
    <x v="2"/>
    <n v="18.1721"/>
    <n v="530885"/>
    <n v="5158365"/>
  </r>
  <r>
    <x v="3"/>
    <x v="1"/>
    <x v="3"/>
    <n v="17.0519"/>
    <n v="530945"/>
    <n v="5158325"/>
  </r>
  <r>
    <x v="3"/>
    <x v="1"/>
    <x v="4"/>
    <n v="15.047700000000001"/>
    <n v="531065"/>
    <n v="5158285"/>
  </r>
  <r>
    <x v="3"/>
    <x v="1"/>
    <x v="5"/>
    <n v="9.6127000000000002"/>
    <n v="531175"/>
    <n v="5158305"/>
  </r>
  <r>
    <x v="3"/>
    <x v="1"/>
    <x v="6"/>
    <n v="14.155099999999999"/>
    <n v="531255"/>
    <n v="5158375"/>
  </r>
  <r>
    <x v="3"/>
    <x v="1"/>
    <x v="7"/>
    <n v="17.592099999999999"/>
    <n v="531135"/>
    <n v="5158375"/>
  </r>
  <r>
    <x v="3"/>
    <x v="1"/>
    <x v="8"/>
    <n v="6.0487000000000002"/>
    <n v="531145"/>
    <n v="5158415"/>
  </r>
  <r>
    <x v="3"/>
    <x v="1"/>
    <x v="9"/>
    <n v="10.9008"/>
    <n v="530985"/>
    <n v="5158435"/>
  </r>
  <r>
    <x v="3"/>
    <x v="1"/>
    <x v="10"/>
    <n v="11.085100000000001"/>
    <n v="530835"/>
    <n v="5158505"/>
  </r>
  <r>
    <x v="3"/>
    <x v="1"/>
    <x v="11"/>
    <n v="15.028700000000001"/>
    <n v="530795"/>
    <n v="5158445"/>
  </r>
  <r>
    <x v="3"/>
    <x v="1"/>
    <x v="12"/>
    <n v="15.529500000000001"/>
    <n v="531035"/>
    <n v="5158355"/>
  </r>
  <r>
    <x v="3"/>
    <x v="1"/>
    <x v="13"/>
    <n v="0"/>
    <n v="531075"/>
    <n v="5158425"/>
  </r>
  <r>
    <x v="3"/>
    <x v="1"/>
    <x v="14"/>
    <n v="8.5992999999999995"/>
    <n v="530925"/>
    <n v="5158405"/>
  </r>
  <r>
    <x v="3"/>
    <x v="1"/>
    <x v="15"/>
    <n v="12.897500000000001"/>
    <n v="530895"/>
    <n v="5158505"/>
  </r>
  <r>
    <x v="3"/>
    <x v="1"/>
    <x v="16"/>
    <n v="3.9129999999999998"/>
    <n v="530765"/>
    <n v="5158525"/>
  </r>
  <r>
    <x v="3"/>
    <x v="1"/>
    <x v="17"/>
    <n v="10.8759"/>
    <n v="530825"/>
    <n v="5158385"/>
  </r>
  <r>
    <x v="3"/>
    <x v="1"/>
    <x v="18"/>
    <n v="21.922899999999998"/>
    <n v="530995"/>
    <n v="5158255"/>
  </r>
  <r>
    <x v="3"/>
    <x v="1"/>
    <x v="19"/>
    <n v="5.4473000000000003"/>
    <n v="530665"/>
    <n v="5158425"/>
  </r>
  <r>
    <x v="3"/>
    <x v="1"/>
    <x v="20"/>
    <n v="9.3633000000000006"/>
    <n v="530975"/>
    <n v="5158365"/>
  </r>
  <r>
    <x v="3"/>
    <x v="1"/>
    <x v="21"/>
    <n v="19.058800000000002"/>
    <n v="531185"/>
    <n v="5158375"/>
  </r>
  <r>
    <x v="3"/>
    <x v="1"/>
    <x v="22"/>
    <n v="3.8948999999999998"/>
    <n v="530695"/>
    <n v="5158545"/>
  </r>
  <r>
    <x v="3"/>
    <x v="1"/>
    <x v="23"/>
    <n v="14.484400000000001"/>
    <n v="530855"/>
    <n v="5158435"/>
  </r>
  <r>
    <x v="3"/>
    <x v="1"/>
    <x v="24"/>
    <n v="13.3634"/>
    <n v="531125"/>
    <n v="5158315"/>
  </r>
  <r>
    <x v="3"/>
    <x v="1"/>
    <x v="25"/>
    <n v="16.0959"/>
    <n v="531005"/>
    <n v="5158305"/>
  </r>
  <r>
    <x v="3"/>
    <x v="1"/>
    <x v="26"/>
    <n v="16.722899999999999"/>
    <n v="530935"/>
    <n v="5158465"/>
  </r>
  <r>
    <x v="3"/>
    <x v="1"/>
    <x v="27"/>
    <n v="4.6623999999999999"/>
    <n v="530725"/>
    <n v="5158485"/>
  </r>
  <r>
    <x v="3"/>
    <x v="1"/>
    <x v="28"/>
    <n v="15.311199999999999"/>
    <n v="531045"/>
    <n v="5158245"/>
  </r>
  <r>
    <x v="3"/>
    <x v="1"/>
    <x v="29"/>
    <n v="0"/>
    <n v="530765"/>
    <n v="5158385"/>
  </r>
  <r>
    <x v="3"/>
    <x v="1"/>
    <x v="30"/>
    <n v="19.3719"/>
    <n v="531115"/>
    <n v="5158265"/>
  </r>
  <r>
    <x v="3"/>
    <x v="1"/>
    <x v="31"/>
    <n v="11.193199999999999"/>
    <n v="531035"/>
    <n v="5158405"/>
  </r>
  <r>
    <x v="3"/>
    <x v="1"/>
    <x v="32"/>
    <n v="8.7454000000000001"/>
    <n v="531085"/>
    <n v="5158365"/>
  </r>
  <r>
    <x v="3"/>
    <x v="1"/>
    <x v="33"/>
    <n v="5.3996000000000004"/>
    <n v="530775"/>
    <n v="5158485"/>
  </r>
  <r>
    <x v="3"/>
    <x v="1"/>
    <x v="34"/>
    <n v="11.1813"/>
    <n v="530805"/>
    <n v="5158535"/>
  </r>
  <r>
    <x v="3"/>
    <x v="1"/>
    <x v="35"/>
    <n v="9.7843999999999998"/>
    <n v="530935"/>
    <n v="5158365"/>
  </r>
  <r>
    <x v="3"/>
    <x v="2"/>
    <x v="0"/>
    <n v="29.648299999999999"/>
    <n v="530675"/>
    <n v="5158485"/>
  </r>
  <r>
    <x v="3"/>
    <x v="2"/>
    <x v="1"/>
    <n v="24.362200000000001"/>
    <n v="530725"/>
    <n v="5158425"/>
  </r>
  <r>
    <x v="3"/>
    <x v="2"/>
    <x v="2"/>
    <n v="27.241299999999999"/>
    <n v="530885"/>
    <n v="5158365"/>
  </r>
  <r>
    <x v="3"/>
    <x v="2"/>
    <x v="3"/>
    <n v="21.991599999999998"/>
    <n v="530945"/>
    <n v="5158325"/>
  </r>
  <r>
    <x v="3"/>
    <x v="2"/>
    <x v="4"/>
    <n v="26.814299999999999"/>
    <n v="531065"/>
    <n v="5158285"/>
  </r>
  <r>
    <x v="3"/>
    <x v="2"/>
    <x v="5"/>
    <n v="26.421199999999999"/>
    <n v="531175"/>
    <n v="5158305"/>
  </r>
  <r>
    <x v="3"/>
    <x v="2"/>
    <x v="6"/>
    <n v="21.622499999999999"/>
    <n v="531255"/>
    <n v="5158375"/>
  </r>
  <r>
    <x v="3"/>
    <x v="2"/>
    <x v="7"/>
    <n v="18.3277"/>
    <n v="531135"/>
    <n v="5158375"/>
  </r>
  <r>
    <x v="3"/>
    <x v="2"/>
    <x v="8"/>
    <n v="31.9575"/>
    <n v="531145"/>
    <n v="5158415"/>
  </r>
  <r>
    <x v="3"/>
    <x v="2"/>
    <x v="9"/>
    <n v="32.304699999999997"/>
    <n v="530985"/>
    <n v="5158435"/>
  </r>
  <r>
    <x v="3"/>
    <x v="2"/>
    <x v="10"/>
    <n v="32.730899999999998"/>
    <n v="530835"/>
    <n v="5158505"/>
  </r>
  <r>
    <x v="3"/>
    <x v="2"/>
    <x v="11"/>
    <n v="25.585799999999999"/>
    <n v="530795"/>
    <n v="5158445"/>
  </r>
  <r>
    <x v="3"/>
    <x v="2"/>
    <x v="12"/>
    <n v="25.491800000000001"/>
    <n v="531035"/>
    <n v="5158355"/>
  </r>
  <r>
    <x v="3"/>
    <x v="2"/>
    <x v="13"/>
    <n v="0"/>
    <n v="531075"/>
    <n v="5158425"/>
  </r>
  <r>
    <x v="3"/>
    <x v="2"/>
    <x v="14"/>
    <n v="30.375599999999999"/>
    <n v="530925"/>
    <n v="5158405"/>
  </r>
  <r>
    <x v="3"/>
    <x v="2"/>
    <x v="15"/>
    <n v="31.3032"/>
    <n v="530895"/>
    <n v="5158505"/>
  </r>
  <r>
    <x v="3"/>
    <x v="2"/>
    <x v="16"/>
    <n v="36.760899999999999"/>
    <n v="530765"/>
    <n v="5158525"/>
  </r>
  <r>
    <x v="3"/>
    <x v="2"/>
    <x v="17"/>
    <n v="31.488800000000001"/>
    <n v="530825"/>
    <n v="5158385"/>
  </r>
  <r>
    <x v="3"/>
    <x v="2"/>
    <x v="18"/>
    <n v="26.391300000000001"/>
    <n v="530995"/>
    <n v="5158255"/>
  </r>
  <r>
    <x v="3"/>
    <x v="2"/>
    <x v="19"/>
    <n v="32.297800000000002"/>
    <n v="530665"/>
    <n v="5158425"/>
  </r>
  <r>
    <x v="3"/>
    <x v="2"/>
    <x v="20"/>
    <n v="25.7288"/>
    <n v="530975"/>
    <n v="5158365"/>
  </r>
  <r>
    <x v="3"/>
    <x v="2"/>
    <x v="21"/>
    <n v="23.814599999999999"/>
    <n v="531185"/>
    <n v="5158375"/>
  </r>
  <r>
    <x v="3"/>
    <x v="2"/>
    <x v="22"/>
    <n v="28.9361"/>
    <n v="530695"/>
    <n v="5158545"/>
  </r>
  <r>
    <x v="3"/>
    <x v="2"/>
    <x v="23"/>
    <n v="32.074399999999997"/>
    <n v="530855"/>
    <n v="5158435"/>
  </r>
  <r>
    <x v="3"/>
    <x v="2"/>
    <x v="24"/>
    <n v="23.0778"/>
    <n v="531125"/>
    <n v="5158315"/>
  </r>
  <r>
    <x v="3"/>
    <x v="2"/>
    <x v="25"/>
    <n v="30.371600000000001"/>
    <n v="531005"/>
    <n v="5158305"/>
  </r>
  <r>
    <x v="3"/>
    <x v="2"/>
    <x v="26"/>
    <n v="33.239899999999999"/>
    <n v="530935"/>
    <n v="5158465"/>
  </r>
  <r>
    <x v="3"/>
    <x v="2"/>
    <x v="27"/>
    <n v="29.880199999999999"/>
    <n v="530725"/>
    <n v="5158485"/>
  </r>
  <r>
    <x v="3"/>
    <x v="2"/>
    <x v="28"/>
    <n v="32.983600000000003"/>
    <n v="531045"/>
    <n v="5158245"/>
  </r>
  <r>
    <x v="3"/>
    <x v="2"/>
    <x v="29"/>
    <n v="0"/>
    <n v="530765"/>
    <n v="5158385"/>
  </r>
  <r>
    <x v="3"/>
    <x v="2"/>
    <x v="30"/>
    <n v="35.426499999999997"/>
    <n v="531115"/>
    <n v="5158265"/>
  </r>
  <r>
    <x v="3"/>
    <x v="2"/>
    <x v="31"/>
    <n v="47.238500000000002"/>
    <n v="531035"/>
    <n v="5158405"/>
  </r>
  <r>
    <x v="3"/>
    <x v="2"/>
    <x v="32"/>
    <n v="29.876899999999999"/>
    <n v="531085"/>
    <n v="5158365"/>
  </r>
  <r>
    <x v="3"/>
    <x v="2"/>
    <x v="33"/>
    <n v="33.232799999999997"/>
    <n v="530775"/>
    <n v="5158485"/>
  </r>
  <r>
    <x v="3"/>
    <x v="2"/>
    <x v="34"/>
    <n v="34.008600000000001"/>
    <n v="530805"/>
    <n v="5158535"/>
  </r>
  <r>
    <x v="3"/>
    <x v="2"/>
    <x v="35"/>
    <n v="29.4312"/>
    <n v="530935"/>
    <n v="515836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">
  <r>
    <x v="0"/>
    <x v="0"/>
    <n v="10.254272948240613"/>
    <n v="61.893377552967031"/>
    <n v="27.852349498792336"/>
    <n v="0.12806999999999999"/>
    <n v="1.4994000000000001"/>
    <n v="0.110295"/>
    <n v="1.24268"/>
    <n v="0.25672000000000006"/>
    <n v="1.7774999999999985E-2"/>
    <n v="1.381298223816581"/>
    <n v="1.3835059053189331"/>
    <n v="1.3627505552532382"/>
    <n v="-1.6045927948831853E-3"/>
    <n v="1.5085457361131444E-2"/>
    <n v="1.3480864566248259E-2"/>
    <n v="1.3758515614629172"/>
    <n v="1.19008845525405"/>
    <n v="9.8274750080619144E-2"/>
    <n v="0.24371931850996242"/>
    <n v="3.7205107051828055"/>
    <n v="29.654348479788954"/>
    <n v="25.933837774606147"/>
    <n v="0.14544456842934328"/>
    <n v="0.13521146835079781"/>
    <n v="0.33532160493060986"/>
    <n v="0.20011013657981205"/>
    <n v="0.48081073152342746"/>
    <n v="0.340209814373857"/>
    <n v="0.17779429336770131"/>
    <n v="0.16241552100615569"/>
    <n v="0.14060091714957046"/>
    <n v="3.6514930624401973"/>
    <n v="64.862378989257749"/>
    <n v="0.27386057782394529"/>
    <n v="8.9721307048086257E-2"/>
    <n v="0.15490233100358913"/>
    <n v="0.32298541622610871"/>
    <n v="0.15782531529731875"/>
    <n v="0.16808308522251958"/>
    <n v="4"/>
    <n v="121.92"/>
    <n v="4"/>
    <n v="121.92"/>
    <n v="58"/>
    <n v="17.930921611177318"/>
    <n v="17.930921611177318"/>
    <n v="16.881551731854916"/>
    <n v="16.881551731854916"/>
    <n v="9.3388650722547428"/>
  </r>
  <r>
    <x v="0"/>
    <x v="1"/>
    <n v="10.9159309891707"/>
    <n v="65.102038774401194"/>
    <n v="23.982030236428201"/>
    <n v="4.5319999999999999E-2"/>
    <n v="0.29165999999999997"/>
    <n v="5.7529999999999998E-2"/>
    <n v="0.45929999999999999"/>
    <n v="-0.16764000000000001"/>
    <n v="-1.2209999999999999E-2"/>
    <n v="1.4052928997070226"/>
    <n v="1.4412031252895836"/>
    <n v="1.4964494402319444"/>
    <n v="-2.4805901342814459E-2"/>
    <n v="-3.8162796690416223E-2"/>
    <n v="-6.2968698033230686E-2"/>
    <n v="1.4476484884095171"/>
    <n v="1.4458416068614428"/>
    <n v="0.12633996937212852"/>
    <n v="0.23972892842016111"/>
    <n v="3.984824140440602"/>
    <n v="18.855755561064264"/>
    <n v="14.870931420623663"/>
    <n v="0.11338895904803259"/>
    <n v="0.18289586568726654"/>
    <n v="0.34704322085547956"/>
    <n v="0.16414735516821302"/>
    <n v="0.4537175515435784"/>
    <n v="0.32051647904798919"/>
    <n v="0.16090216997639514"/>
    <n v="0.15961430907159405"/>
    <n v="0.13320107249558921"/>
    <n v="3.4834198710073885"/>
    <n v="70.814510336069787"/>
    <n v="0.28707420782749477"/>
    <n v="8.0742934165296348E-2"/>
    <n v="0.17196128084610129"/>
    <n v="0.33545654243673312"/>
    <n v="0.11826100910684528"/>
    <n v="0.16349526159063182"/>
    <n v="4"/>
    <n v="121.92"/>
    <n v="4"/>
    <n v="121.92"/>
    <n v="58"/>
    <n v="17.930921611177318"/>
    <n v="17.930921611177318"/>
    <n v="16.881551731854916"/>
    <n v="16.881551731854916"/>
    <n v="9.3388650722547428"/>
  </r>
  <r>
    <x v="0"/>
    <x v="2"/>
    <n v="10.0636400526539"/>
    <n v="61.759553430922502"/>
    <n v="28.1768065164235"/>
    <m/>
    <m/>
    <n v="5.2380000000000003E-2"/>
    <n v="0.39022000000000001"/>
    <s v=""/>
    <s v=""/>
    <n v="1.6038442680504474"/>
    <n v="1.7176478704917426"/>
    <n v="1.6792625158312136"/>
    <n v="-6.8271857133663835E-2"/>
    <n v="2.302773719979995E-2"/>
    <n v="-4.5244119933863888E-2"/>
    <n v="1.6669182181244679"/>
    <n v="1.5374162243325882"/>
    <n v="0.14402743379691343"/>
    <n v="0.22822556834957178"/>
    <n v="2.4669827342886013"/>
    <n v="8.0077932483651217"/>
    <n v="5.5408105140765205"/>
    <n v="8.4198134552658344E-2"/>
    <n v="0.24008195330579071"/>
    <n v="0.38043335772371217"/>
    <n v="0.14035140441792146"/>
    <n v="0.37097425731152156"/>
    <n v="0.31984497077658458"/>
    <n v="0.1815279347861137"/>
    <n v="0.13831703599047088"/>
    <n v="5.112928653493698E-2"/>
    <n v="4.4040883522355632"/>
    <n v="140.34357292993926"/>
    <n v="0.2270617480896788"/>
    <n v="8.1216734256638043E-2"/>
    <n v="0.22405976862637361"/>
    <n v="0.34097425731152153"/>
    <n v="3.0000000000000027E-2"/>
    <n v="0.11691448868514792"/>
    <n v="4"/>
    <n v="121.92"/>
    <n v="4"/>
    <n v="121.92"/>
    <n v="58"/>
    <n v="17.930921611177318"/>
    <n v="17.930921611177318"/>
    <n v="16.881551731854916"/>
    <n v="16.881551731854916"/>
    <n v="9.3388650722547428"/>
  </r>
  <r>
    <x v="0"/>
    <x v="3"/>
    <n v="8.5841771630856094"/>
    <n v="59.372684613485198"/>
    <n v="32.043138223429203"/>
    <n v="5.3460000000000001E-2"/>
    <n v="0.27750000000000002"/>
    <n v="4.6859999999999999E-2"/>
    <n v="0.31609999999999999"/>
    <n v="-3.8599999999999968E-2"/>
    <n v="6.6000000000000017E-3"/>
    <n v="1.6517683225397055"/>
    <n v="1.5924092784662134"/>
    <n v="1.8129254422978036"/>
    <n v="3.5213269473770008E-2"/>
    <n v="-0.13081570334437795"/>
    <n v="-9.5602433870607934E-2"/>
    <n v="1.6857010144345743"/>
    <m/>
    <n v="0.13955861717055765"/>
    <n v="0.21702838063439064"/>
    <n v="4.0651425598619708"/>
    <n v="17.488092109726388"/>
    <n v="13.422949549864416"/>
    <n v="7.7469763463832997E-2"/>
    <n v="0.23525410253749543"/>
    <n v="0.36584496139648526"/>
    <n v="0.13059085885898983"/>
    <n v="0.36388640964733043"/>
    <n v="0.33039678630792796"/>
    <n v="0.2024588226131131"/>
    <n v="0.12793796369481486"/>
    <n v="3.3489623339402474E-2"/>
    <n v="5.2443629491714372"/>
    <n v="169.59769707485643"/>
    <n v="0.19068092915994517"/>
    <n v="8.2942832348559675E-2"/>
    <n v="0.2285225610296549"/>
    <n v="0.33388640964733041"/>
    <n v="3.0000000000000027E-2"/>
    <n v="0.1053638486176755"/>
    <n v="4"/>
    <n v="121.92"/>
    <n v="4"/>
    <n v="121.92"/>
    <n v="58"/>
    <n v="17.930921611177318"/>
    <n v="17.930921611177318"/>
    <n v="16.881551731854916"/>
    <n v="16.881551731854916"/>
    <n v="9.3388650722547428"/>
  </r>
  <r>
    <x v="0"/>
    <x v="4"/>
    <n v="10.961058089427899"/>
    <n v="58.251976287863201"/>
    <n v="30.786965622708902"/>
    <n v="5.6509999999999998E-2"/>
    <n v="0.47032000000000002"/>
    <n v="3.8699999999999998E-2"/>
    <n v="0.30181000000000002"/>
    <n v="0.16850999999999999"/>
    <n v="1.7809999999999999E-2"/>
    <n v="1.6936159385942571"/>
    <n v="1.6080452494322675"/>
    <n v="1.7394609178116271"/>
    <n v="5.0923596393086613E-2"/>
    <n v="-7.8206200298441386E-2"/>
    <n v="-2.7282603905354773E-2"/>
    <n v="1.6803740352793837"/>
    <m/>
    <n v="0.16103978443493416"/>
    <m/>
    <n v="6.9031106482025741"/>
    <m/>
    <s v=""/>
    <s v=""/>
    <n v="0.27060707241145238"/>
    <s v=""/>
    <s v=""/>
    <n v="0.36589659046060996"/>
    <n v="0.32514730095656014"/>
    <n v="0.19438049418677755"/>
    <n v="0.13076680676978258"/>
    <n v="4.0749289504049824E-2"/>
    <n v="4.8986924922898236"/>
    <n v="153.79986669326007"/>
    <n v="0.20413610398569115"/>
    <n v="8.3521029885443437E-2"/>
    <n v="0.2272568707823816"/>
    <n v="0.33589659046060993"/>
    <n v="3.0000000000000027E-2"/>
    <n v="0.10863971967822833"/>
    <n v="4"/>
    <n v="121.92"/>
    <n v="4"/>
    <n v="121.92"/>
    <n v="58"/>
    <n v="17.930921611177318"/>
    <n v="17.930921611177318"/>
    <n v="16.881551731854916"/>
    <n v="16.881551731854916"/>
    <n v="9.3388650722547428"/>
  </r>
  <r>
    <x v="1"/>
    <x v="0"/>
    <n v="9.5190132241922232"/>
    <n v="60.288500219052032"/>
    <n v="30.192486556755735"/>
    <n v="0.11178"/>
    <n v="1.1513"/>
    <n v="0.10478666666666665"/>
    <n v="1.1755966666666666"/>
    <n v="-2.4296666666666633E-2"/>
    <n v="6.9933333333333514E-3"/>
    <n v="1.579905722233675"/>
    <n v="1.4890399945813177"/>
    <n v="1.415758539042967"/>
    <n v="6.0783759063042536E-2"/>
    <n v="4.9020928487734643E-2"/>
    <n v="0.10980468755077717"/>
    <n v="1.4949014186193199"/>
    <n v="1.2610818754711988"/>
    <n v="0.1605498553012365"/>
    <n v="0.21343392552932575"/>
    <n v="6.5751646365440157"/>
    <n v="42.603997567227843"/>
    <n v="36.028832930683826"/>
    <n v="5.2884070228089247E-2"/>
    <n v="0.24000620644894499"/>
    <n v="0.31906267805527933"/>
    <n v="7.9056471606334333E-2"/>
    <n v="0.4358862571247849"/>
    <n v="0.3440202028514453"/>
    <n v="0.1907176463002454"/>
    <n v="0.1533025565511999"/>
    <n v="9.1866054273339603E-2"/>
    <n v="4.1267194112396837"/>
    <n v="92.327742456402106"/>
    <n v="0.24232323556488078"/>
    <n v="8.9964180204008606E-2"/>
    <n v="0.18318857706395042"/>
    <n v="0.34366437641417585"/>
    <n v="9.222188071060905E-2"/>
    <n v="0.16047579935022543"/>
    <n v="4"/>
    <n v="121.92"/>
    <n v="4"/>
    <n v="121.92"/>
    <n v="81"/>
    <n v="16.386036686800978"/>
    <n v="16.386036686800978"/>
    <n v="15.915608940386587"/>
    <n v="15.915608940386587"/>
    <n v="11.852104775623022"/>
  </r>
  <r>
    <x v="1"/>
    <x v="1"/>
    <n v="9.3425314007058393"/>
    <n v="58.369758264274999"/>
    <n v="32.287710335019199"/>
    <n v="6.8669999999999995E-2"/>
    <n v="0.61434999999999995"/>
    <n v="6.9489999999999996E-2"/>
    <n v="0.66232999999999997"/>
    <n v="-4.7980000000000023E-2"/>
    <n v="-8.2000000000000128E-4"/>
    <n v="1.48457285737296"/>
    <n v="1.5414593060028507"/>
    <n v="1.4878913143482646"/>
    <n v="-3.7807319227245513E-2"/>
    <n v="3.5601838568336902E-2"/>
    <n v="-2.2054806589086062E-3"/>
    <n v="1.5046411592413584"/>
    <n v="1.4587913666986656"/>
    <n v="0.12670947794030224"/>
    <n v="0.22159975101151566"/>
    <n v="1.909439130277268"/>
    <n v="42.508082013174374"/>
    <n v="40.598642882897103"/>
    <n v="9.4890273071213421E-2"/>
    <n v="0.1906522957749637"/>
    <n v="0.33342810624956332"/>
    <n v="0.14277581047459961"/>
    <n v="0.43221088330514779"/>
    <n v="0.35121578100509576"/>
    <n v="0.20113886979785836"/>
    <n v="0.1500769112072374"/>
    <n v="8.0995102300052024E-2"/>
    <n v="4.4082152004774979"/>
    <n v="99.472760862276417"/>
    <n v="0.22684917920787534"/>
    <n v="9.2146599629949949E-2"/>
    <n v="0.1855027394357468"/>
    <n v="0.34535616936022395"/>
    <n v="8.6854713944923834E-2"/>
    <n v="0.15985342992447715"/>
    <n v="4"/>
    <n v="121.92"/>
    <n v="4"/>
    <n v="121.92"/>
    <n v="81"/>
    <n v="16.386036686800978"/>
    <n v="16.386036686800978"/>
    <n v="15.915608940386587"/>
    <n v="15.915608940386587"/>
    <n v="11.852104775623022"/>
  </r>
  <r>
    <x v="1"/>
    <x v="2"/>
    <n v="9.7539569550288494"/>
    <n v="60.262959551126102"/>
    <n v="29.983083493845101"/>
    <n v="5.5300000000000002E-2"/>
    <n v="0.42996000000000001"/>
    <n v="5.7029999999999997E-2"/>
    <n v="0.46684999999999999"/>
    <n v="-3.6889999999999978E-2"/>
    <n v="-1.7299999999999954E-3"/>
    <n v="1.6310272115703577"/>
    <n v="1.618535507284478"/>
    <n v="1.7352416554388501"/>
    <n v="7.5178703202267412E-3"/>
    <n v="-7.0237148376103661E-2"/>
    <n v="-6.2719278055876918E-2"/>
    <n v="1.6616014580978955"/>
    <n v="1.5782128361506047"/>
    <n v="0.14541912057742537"/>
    <n v="0.22431294874969041"/>
    <n v="4.9237959026153044"/>
    <n v="38.558188254340187"/>
    <n v="33.634392351724884"/>
    <n v="7.8893828172265035E-2"/>
    <n v="0.24162862278676367"/>
    <n v="0.3727187227127241"/>
    <n v="0.13109009992596043"/>
    <n v="0.37298058184985072"/>
    <n v="0.326663860469532"/>
    <n v="0.19107648468637584"/>
    <n v="0.13558737578315616"/>
    <n v="4.6316721380318726E-2"/>
    <n v="4.6902037882758405"/>
    <n v="145.82370906433741"/>
    <n v="0.21321035186140785"/>
    <n v="8.3157582397433927E-2"/>
    <n v="0.22279650644406002"/>
    <n v="0.3429805818498507"/>
    <n v="3.0000000000000027E-2"/>
    <n v="0.12018407540579068"/>
    <n v="4"/>
    <n v="121.92"/>
    <n v="4"/>
    <n v="121.92"/>
    <n v="81"/>
    <n v="16.386036686800978"/>
    <n v="16.386036686800978"/>
    <n v="15.915608940386587"/>
    <n v="15.915608940386587"/>
    <n v="11.852104775623022"/>
  </r>
  <r>
    <x v="1"/>
    <x v="3"/>
    <n v="7.4879410473213399"/>
    <n v="53.155137064317401"/>
    <n v="39.3569218883612"/>
    <n v="4.9570000000000003E-2"/>
    <n v="0.30642999999999998"/>
    <n v="3.5279999999999999E-2"/>
    <n v="0.35483999999999999"/>
    <n v="-4.8410000000000009E-2"/>
    <n v="1.4290000000000004E-2"/>
    <n v="1.6841914631017896"/>
    <n v="1.7643263581710544"/>
    <m/>
    <n v="-4.6474978076051901E-2"/>
    <s v=""/>
    <s v=""/>
    <n v="1.7242589106364221"/>
    <m/>
    <n v="0.17427302100161543"/>
    <n v="0.21391152502910366"/>
    <n v="13.732817442425613"/>
    <n v="36.335451154786178"/>
    <n v="22.602633712360564"/>
    <n v="3.9638504027488225E-2"/>
    <n v="0.30049180934556374"/>
    <n v="0.36883885311925801"/>
    <n v="6.8347043773694272E-2"/>
    <n v="0.34933626013719921"/>
    <n v="0.3386960254611931"/>
    <n v="0.24006324017073355"/>
    <n v="9.8632785290459546E-2"/>
    <n v="1.0640234676006111E-2"/>
    <n v="7.9620739371717164"/>
    <n v="239.49565981184583"/>
    <n v="0.12559541746169961"/>
    <n v="7.9695965004265124E-2"/>
    <n v="0.23768391716721393"/>
    <n v="0.31933626013719918"/>
    <n v="3.0000000000000027E-2"/>
    <n v="8.1652342969985248E-2"/>
    <n v="4"/>
    <n v="121.92"/>
    <n v="4"/>
    <n v="121.92"/>
    <n v="81"/>
    <n v="16.386036686800978"/>
    <n v="16.386036686800978"/>
    <n v="15.915608940386587"/>
    <n v="15.915608940386587"/>
    <n v="11.852104775623022"/>
  </r>
  <r>
    <x v="1"/>
    <x v="4"/>
    <n v="9.4523408199549408"/>
    <n v="53.634513446562103"/>
    <n v="36.913145733482999"/>
    <n v="3.3329999999999999E-2"/>
    <n v="0.22384999999999999"/>
    <n v="3.8080000000000003E-2"/>
    <n v="0.28733999999999998"/>
    <n v="-6.3489999999999991E-2"/>
    <n v="-4.7500000000000042E-3"/>
    <n v="1.7189024946641827"/>
    <n v="1.6436140520697025"/>
    <n v="1.7582970423827067"/>
    <n v="4.4107312998754429E-2"/>
    <n v="-6.7186388442303291E-2"/>
    <n v="-2.3079075443548862E-2"/>
    <n v="1.7069378630388641"/>
    <m/>
    <n v="0.1924158766538181"/>
    <m/>
    <n v="11.994486789481682"/>
    <m/>
    <s v=""/>
    <s v=""/>
    <n v="0.32844194531021792"/>
    <s v=""/>
    <s v=""/>
    <n v="0.35587250451363617"/>
    <n v="0.33708974586681961"/>
    <n v="0.22702882505220945"/>
    <n v="0.11006092081461016"/>
    <n v="1.8782758646816555E-2"/>
    <n v="6.7239335677100271"/>
    <n v="204.29950911902128"/>
    <n v="0.14872246876474873"/>
    <n v="8.2985658670272702E-2"/>
    <n v="0.23356843625803414"/>
    <n v="0.32587250451363614"/>
    <n v="3.0000000000000027E-2"/>
    <n v="9.2304068255602001E-2"/>
    <n v="4"/>
    <n v="121.92"/>
    <n v="4"/>
    <n v="121.92"/>
    <n v="81"/>
    <n v="16.386036686800978"/>
    <n v="16.386036686800978"/>
    <n v="15.915608940386587"/>
    <n v="15.915608940386587"/>
    <n v="11.852104775623022"/>
  </r>
  <r>
    <x v="2"/>
    <x v="0"/>
    <n v="9.7776004022886394"/>
    <n v="61.291308810460201"/>
    <n v="28.931090787251197"/>
    <n v="0.15622"/>
    <n v="2.0661999999999998"/>
    <n v="0.16399666666666668"/>
    <n v="2.1973333333333334"/>
    <n v="-0.13113333333333355"/>
    <n v="-7.7766666666666817E-3"/>
    <n v="1.2085152203880165"/>
    <n v="1.2178261756770663"/>
    <n v="1.2190962993486192"/>
    <n v="-7.6624175753412307E-3"/>
    <n v="-1.0452437630335699E-3"/>
    <n v="-8.7076613383748006E-3"/>
    <n v="1.215145898471234"/>
    <n v="1.2779736674637066"/>
    <n v="0.12371537633356185"/>
    <n v="0.27658884565499353"/>
    <n v="5.9263607732269232"/>
    <n v="59.645691643281992"/>
    <n v="53.719330870055067"/>
    <n v="0.1528734693214317"/>
    <n v="0.15033223212955285"/>
    <n v="0.33609580136055855"/>
    <n v="0.1857635692310057"/>
    <n v="0.54145437793538331"/>
    <n v="0.35081523260071001"/>
    <n v="0.18064399381219587"/>
    <n v="0.17017123878851415"/>
    <n v="0.1906391453346733"/>
    <n v="3.4986123800699973"/>
    <n v="47.147986817954546"/>
    <n v="0.28582760573779048"/>
    <n v="9.4569258936861675E-2"/>
    <n v="0.11671866547676524"/>
    <n v="0.29507084256445332"/>
    <n v="0.24638353537093"/>
    <n v="0.17835217708768808"/>
    <n v="4"/>
    <n v="121.92"/>
    <n v="4"/>
    <n v="121.92"/>
    <n v="89"/>
    <n v="18.388905182804013"/>
    <n v="18.388905182804013"/>
    <n v="18.341643664281619"/>
    <n v="18.341643664281619"/>
    <n v="14.504288447437796"/>
  </r>
  <r>
    <x v="2"/>
    <x v="1"/>
    <n v="7.6221526778496402"/>
    <n v="56.451694053956501"/>
    <n v="35.926153268193801"/>
    <n v="0.12927"/>
    <n v="1.6586000000000001"/>
    <n v="0.13938"/>
    <n v="1.7402"/>
    <n v="-8.1599999999999895E-2"/>
    <n v="-1.0110000000000008E-2"/>
    <n v="1.0801688812232004"/>
    <n v="1.416953183978616"/>
    <n v="1.3811583394445035"/>
    <n v="-0.26051569325823049"/>
    <n v="2.7688697669639106E-2"/>
    <n v="-0.23282699558859138"/>
    <n v="1.3990557617115598"/>
    <n v="1.1529707225769472"/>
    <n v="8.7861561611770528E-2"/>
    <n v="0.30792580101180422"/>
    <n v="2.2059123850385691"/>
    <n v="33.789161814279694"/>
    <n v="31.583249429241125"/>
    <n v="0.2200642394000337"/>
    <n v="0.12292322400592276"/>
    <n v="0.43080536608521192"/>
    <n v="0.30788214207928916"/>
    <n v="0.47205442954280763"/>
    <n v="0.37355818939455504"/>
    <n v="0.21586526158514877"/>
    <n v="0.15769292780940627"/>
    <n v="9.849624014825259E-2"/>
    <n v="4.4452493869848482"/>
    <n v="84.13984430611228"/>
    <n v="0.22495925716291168"/>
    <n v="9.9903162607254251E-2"/>
    <n v="0.16041564898266664"/>
    <n v="0.32701598580929792"/>
    <n v="0.14503844373350971"/>
    <n v="0.16660033682663128"/>
    <n v="4"/>
    <n v="121.92"/>
    <n v="4"/>
    <n v="121.92"/>
    <n v="89"/>
    <n v="18.388905182804013"/>
    <n v="18.388905182804013"/>
    <n v="18.341643664281619"/>
    <n v="18.341643664281619"/>
    <n v="14.504288447437796"/>
  </r>
  <r>
    <x v="2"/>
    <x v="2"/>
    <n v="8.46584181760816"/>
    <n v="63.339451284261301"/>
    <n v="28.194706898130502"/>
    <n v="6.3310000000000005E-2"/>
    <n v="0.58504"/>
    <n v="7.8E-2"/>
    <n v="0.83631999999999995"/>
    <n v="-0.25127999999999995"/>
    <n v="-1.4689999999999995E-2"/>
    <n v="1.4321761682892089"/>
    <n v="1.5461676936908328"/>
    <n v="1.3079523512531479"/>
    <n v="-7.9783234567197006E-2"/>
    <n v="0.16672810085003231"/>
    <n v="8.6944866282835306E-2"/>
    <n v="1.4287654044110631"/>
    <n v="1.249734717491499"/>
    <n v="0.14252825449979079"/>
    <n v="0.27533664068036867"/>
    <n v="2.2718266011172981"/>
    <n v="31.976986591529819"/>
    <n v="29.705159990412522"/>
    <n v="0.13280838618057789"/>
    <n v="0.20363943918039651"/>
    <n v="0.3933914667708705"/>
    <n v="0.18975202759047399"/>
    <n v="0.46084324361846674"/>
    <n v="0.34205811290623334"/>
    <n v="0.18101368015231795"/>
    <n v="0.16104443275391539"/>
    <n v="0.1187851307122334"/>
    <n v="3.7873158396874671"/>
    <n v="77.034081423200377"/>
    <n v="0.26403924106908416"/>
    <n v="8.8430841606765689E-2"/>
    <n v="0.16747466008806861"/>
    <n v="0.33217655074620167"/>
    <n v="0.12866669287226506"/>
    <n v="0.16470189065813307"/>
    <n v="4"/>
    <n v="121.92"/>
    <n v="4"/>
    <n v="121.92"/>
    <n v="89"/>
    <n v="18.388905182804013"/>
    <n v="18.388905182804013"/>
    <n v="18.341643664281619"/>
    <n v="18.341643664281619"/>
    <n v="14.504288447437796"/>
  </r>
  <r>
    <x v="2"/>
    <x v="3"/>
    <n v="9.6381325911766194"/>
    <n v="54.869412778433301"/>
    <n v="35.4924546303901"/>
    <n v="5.2089999999999997E-2"/>
    <n v="0.37030000000000002"/>
    <n v="5.0729999999999997E-2"/>
    <n v="0.41571999999999998"/>
    <n v="-4.541999999999996E-2"/>
    <n v="1.3600000000000001E-3"/>
    <n v="1.7449189062578505"/>
    <n v="1.6696024246605343"/>
    <n v="1.5117415109719428"/>
    <n v="4.5866299067640941E-2"/>
    <n v="9.6134281962926962E-2"/>
    <n v="0.14200058103056792"/>
    <n v="1.7072606654591924"/>
    <m/>
    <n v="0.18666821642354842"/>
    <n v="0.23788368336025853"/>
    <n v="4.4673628560176688"/>
    <n v="21.528111828507598"/>
    <n v="17.060748972489929"/>
    <n v="5.1215466936710113E-2"/>
    <n v="0.31869130339134782"/>
    <n v="0.40612945555551877"/>
    <n v="8.7438152164170946E-2"/>
    <n v="0.35575069227955003"/>
    <n v="0.33396865334342035"/>
    <n v="0.21956671520168616"/>
    <n v="0.11440193814173419"/>
    <n v="2.1782038936129677E-2"/>
    <n v="6.2668368656795082"/>
    <n v="195.81950550441977"/>
    <n v="0.15957013425329858"/>
    <n v="8.3155227842101942E-2"/>
    <n v="0.23364513411310417"/>
    <n v="0.32575069227955"/>
    <n v="3.0000000000000027E-2"/>
    <n v="9.2105558166445833E-2"/>
    <n v="4"/>
    <n v="121.92"/>
    <n v="4"/>
    <n v="121.92"/>
    <n v="89"/>
    <n v="18.388905182804013"/>
    <n v="18.388905182804013"/>
    <n v="18.341643664281619"/>
    <n v="18.341643664281619"/>
    <n v="14.504288447437796"/>
  </r>
  <r>
    <x v="2"/>
    <x v="4"/>
    <n v="10.7699559300021"/>
    <n v="53.464125967018703"/>
    <n v="35.7659181029791"/>
    <n v="3.551E-2"/>
    <n v="0.26371"/>
    <n v="3.474E-2"/>
    <n v="0.24994"/>
    <n v="1.3770000000000004E-2"/>
    <n v="7.6999999999999985E-4"/>
    <n v="1.6791974480473844"/>
    <n v="1.592360147619331"/>
    <n v="1.6835459254063865"/>
    <n v="5.2574461900998258E-2"/>
    <n v="-5.5207188345870024E-2"/>
    <n v="-2.6327264448717681E-3"/>
    <n v="1.6517011736910341"/>
    <m/>
    <n v="0.22048080754416247"/>
    <m/>
    <n v="5.9455466871417082"/>
    <m/>
    <s v=""/>
    <s v=""/>
    <n v="0.36416840859704014"/>
    <s v=""/>
    <s v=""/>
    <n v="0.37671653822979845"/>
    <n v="0.34343621792082213"/>
    <n v="0.22057866500862144"/>
    <n v="0.12285755291220068"/>
    <n v="3.3280320308976319E-2"/>
    <n v="5.8380735769286032"/>
    <n v="161.67164139756832"/>
    <n v="0.17128937941993147"/>
    <n v="8.7437469862233275E-2"/>
    <n v="0.22044419886898975"/>
    <n v="0.34671653822979842"/>
    <n v="3.0000000000000027E-2"/>
    <n v="0.12627233936080867"/>
    <n v="4"/>
    <n v="121.92"/>
    <n v="4"/>
    <n v="121.92"/>
    <n v="89"/>
    <n v="18.388905182804013"/>
    <n v="18.388905182804013"/>
    <n v="18.341643664281619"/>
    <n v="18.341643664281619"/>
    <n v="14.504288447437796"/>
  </r>
  <r>
    <x v="3"/>
    <x v="0"/>
    <n v="10.031601857048932"/>
    <n v="64.638302120003587"/>
    <n v="25.330096022947469"/>
    <n v="0.10938000000000001"/>
    <n v="1.3462000000000001"/>
    <n v="0.10602"/>
    <n v="1.1751133333333332"/>
    <n v="0.17108666666666683"/>
    <n v="3.3600000000000019E-3"/>
    <n v="1.5331108755551957"/>
    <n v="1.4439243143128417"/>
    <n v="1.3738411877759655"/>
    <n v="6.1495583993573535E-2"/>
    <n v="4.832345517582335E-2"/>
    <n v="0.10981903916939689"/>
    <n v="1.4502921258813342"/>
    <n v="1.3743876688691443"/>
    <n v="0.1301411377608451"/>
    <n v="0.24781659388646282"/>
    <n v="3.6665330399875073"/>
    <n v="42.585844672946749"/>
    <n v="38.919311632959243"/>
    <n v="0.11767545612561772"/>
    <n v="0.1887426673477916"/>
    <n v="0.35940645477626942"/>
    <n v="0.17066378742847782"/>
    <n v="0.45271995249760977"/>
    <n v="0.32722549676860047"/>
    <n v="0.16743316191261193"/>
    <n v="0.15979233485598854"/>
    <n v="0.1254944557290093"/>
    <n v="3.5895288433818386"/>
    <n v="74.435648352341346"/>
    <n v="0.27858809432434034"/>
    <n v="8.314939070853139E-2"/>
    <n v="0.17258940910940501"/>
    <n v="0.33591574226558774"/>
    <n v="0.11680421023202203"/>
    <n v="0.16332633315618272"/>
    <n v="4"/>
    <n v="121.92"/>
    <n v="4"/>
    <n v="121.92"/>
    <m/>
    <n v="16.380811894727653"/>
    <n v="16.380811894727653"/>
    <n v="14.807885972096473"/>
    <n v="14.807885972096473"/>
    <s v=""/>
  </r>
  <r>
    <x v="3"/>
    <x v="1"/>
    <n v="11.536758417642099"/>
    <n v="61.283747469047597"/>
    <n v="27.179494113310302"/>
    <n v="6.386E-2"/>
    <n v="0.50039999999999996"/>
    <n v="5.5320000000000001E-2"/>
    <n v="0.44463999999999998"/>
    <n v="5.5759999999999976E-2"/>
    <n v="8.539999999999999E-3"/>
    <n v="1.7229264234010069"/>
    <n v="1.5672712167674943"/>
    <n v="1.7178545608825075"/>
    <n v="9.3242961765162641E-2"/>
    <n v="-9.0204737133178017E-2"/>
    <n v="3.0382246319846287E-3"/>
    <n v="1.6693507336836697"/>
    <n v="1.4973274941232309"/>
    <n v="0.14547038327526127"/>
    <n v="0.2122161315583399"/>
    <n v="2.5854095485039101"/>
    <n v="31.709014094447348"/>
    <n v="29.123604545943437"/>
    <n v="6.6745748283078637E-2"/>
    <n v="0.24284109104980203"/>
    <n v="0.3542631549164249"/>
    <n v="0.11142206386662287"/>
    <n v="0.37005632691182277"/>
    <n v="0.31430105405630815"/>
    <n v="0.17544127965501985"/>
    <n v="0.1388597744012883"/>
    <n v="5.5755272855514626E-2"/>
    <n v="4.2315286680073907"/>
    <n v="133.43761762151027"/>
    <n v="0.236321215914365"/>
    <n v="8.0621101028405584E-2"/>
    <n v="0.22463773432323997"/>
    <n v="0.34005632691182275"/>
    <n v="3.0000000000000027E-2"/>
    <n v="0.11541859258858278"/>
    <n v="4"/>
    <n v="121.92"/>
    <n v="4"/>
    <n v="121.92"/>
    <m/>
    <n v="16.380811894727653"/>
    <n v="16.380811894727653"/>
    <n v="14.807885972096473"/>
    <n v="14.807885972096473"/>
    <s v=""/>
  </r>
  <r>
    <x v="3"/>
    <x v="2"/>
    <n v="10.0963012115967"/>
    <n v="54.264166450530503"/>
    <n v="35.639532337872801"/>
    <n v="4.7289999999999999E-2"/>
    <n v="0.35219"/>
    <n v="4.8520000000000001E-2"/>
    <n v="0.32990999999999998"/>
    <n v="2.2280000000000022E-2"/>
    <n v="-1.2300000000000019E-3"/>
    <n v="1.6600490174588132"/>
    <n v="1.6522886271788342"/>
    <n v="1.6620229777365991"/>
    <n v="4.6802338244678653E-3"/>
    <n v="-5.8707146285176884E-3"/>
    <n v="-1.1904808040498233E-3"/>
    <n v="1.6581202074580823"/>
    <n v="1.6398669558877084"/>
    <n v="0.15741731641441156"/>
    <n v="0.21871794871794856"/>
    <n v="4.63925593369681"/>
    <n v="20.899715288401993"/>
    <n v="16.260459354705183"/>
    <n v="6.1300632303536995E-2"/>
    <n v="0.2610168333505587"/>
    <n v="0.36266065050301105"/>
    <n v="0.10164381715245235"/>
    <n v="0.37429426133657273"/>
    <n v="0.34271781914240446"/>
    <n v="0.22036424430350723"/>
    <n v="0.12235357483889722"/>
    <n v="3.1576442194168275E-2"/>
    <n v="5.8732206705442005"/>
    <n v="166.67774547088501"/>
    <n v="0.17026433299454796"/>
    <n v="8.6681547667584014E-2"/>
    <n v="0.22196936129204037"/>
    <n v="0.3442942613365727"/>
    <n v="3.0000000000000027E-2"/>
    <n v="0.12232490004453234"/>
    <n v="4"/>
    <n v="121.92"/>
    <n v="4"/>
    <n v="121.92"/>
    <m/>
    <n v="16.380811894727653"/>
    <n v="16.380811894727653"/>
    <n v="14.807885972096473"/>
    <n v="14.807885972096473"/>
    <s v=""/>
  </r>
  <r>
    <x v="3"/>
    <x v="3"/>
    <n v="8.4133078486046902"/>
    <n v="57.374113362411798"/>
    <n v="34.2125787889835"/>
    <n v="3.585E-2"/>
    <n v="0.25674999999999998"/>
    <n v="3.2579999999999998E-2"/>
    <n v="0.27506000000000003"/>
    <n v="-1.8310000000000048E-2"/>
    <n v="3.2700000000000021E-3"/>
    <n v="1.7567218062728109"/>
    <n v="1.7040318641525658"/>
    <n v="1.6968958852490073"/>
    <n v="3.0647647664783444E-2"/>
    <n v="4.1507156466501086E-3"/>
    <n v="3.4798363311433551E-2"/>
    <n v="1.7192165185581281"/>
    <m/>
    <n v="0.1949740034662045"/>
    <m/>
    <n v="9.2820088200453714"/>
    <m/>
    <s v=""/>
    <s v=""/>
    <n v="0.33520252744850848"/>
    <s v=""/>
    <s v=""/>
    <n v="0.3512390496007064"/>
    <n v="0.32990719906129196"/>
    <n v="0.213484671388186"/>
    <n v="0.11642252767310596"/>
    <n v="2.1331850539414443E-2"/>
    <n v="6.030629465427352"/>
    <n v="200.73437307855059"/>
    <n v="0.16582016947531636"/>
    <n v="8.1641935341341482E-2"/>
    <n v="0.23648584480941126"/>
    <n v="0.32123904960070637"/>
    <n v="3.0000000000000027E-2"/>
    <n v="8.4753204791295111E-2"/>
    <n v="4"/>
    <n v="121.92"/>
    <n v="4"/>
    <n v="121.92"/>
    <m/>
    <n v="16.380811894727653"/>
    <n v="16.380811894727653"/>
    <n v="14.807885972096473"/>
    <n v="14.807885972096473"/>
    <s v=""/>
  </r>
  <r>
    <x v="3"/>
    <x v="4"/>
    <n v="9.6967346570338098"/>
    <n v="59.476247948084897"/>
    <n v="30.827017394881299"/>
    <n v="4.5454999999999995E-2"/>
    <n v="0.23146"/>
    <n v="3.7530000000000001E-2"/>
    <n v="0.25351000000000001"/>
    <n v="-2.2050000000000014E-2"/>
    <n v="7.9249999999999945E-3"/>
    <n v="1.737746917931146"/>
    <n v="1.7018652965018501"/>
    <n v="1.6128775703857365"/>
    <n v="2.1305310623552211E-2"/>
    <n v="5.2837945194958692E-2"/>
    <n v="7.4143255818510903E-2"/>
    <n v="1.6841632616062441"/>
    <m/>
    <n v="0.20062545104642757"/>
    <m/>
    <n v="8.635695789327352"/>
    <m/>
    <s v=""/>
    <s v=""/>
    <n v="0.33788601399557533"/>
    <s v=""/>
    <s v=""/>
    <n v="0.36446669373349283"/>
    <n v="0.32611923908398321"/>
    <n v="0.19539104078459341"/>
    <n v="0.13072819829938981"/>
    <n v="3.8347454649509616E-2"/>
    <n v="4.9540193904466188"/>
    <n v="159.84085126101698"/>
    <n v="0.20185629509816011"/>
    <n v="8.2761291430554551E-2"/>
    <n v="0.22815719095764364"/>
    <n v="0.3344666937334928"/>
    <n v="3.0000000000000027E-2"/>
    <n v="0.10630950277584916"/>
    <n v="4"/>
    <n v="121.92"/>
    <n v="4"/>
    <n v="121.92"/>
    <m/>
    <n v="16.380811894727653"/>
    <n v="16.380811894727653"/>
    <n v="14.807885972096473"/>
    <n v="14.807885972096473"/>
    <s v=""/>
  </r>
  <r>
    <x v="4"/>
    <x v="0"/>
    <n v="9.3806807756021335"/>
    <n v="61.780788547732698"/>
    <n v="28.838530676665201"/>
    <n v="9.0179999999999996E-2"/>
    <n v="0.93993000000000004"/>
    <n v="9.1473333333333337E-2"/>
    <n v="0.99858000000000002"/>
    <n v="-5.864999999999998E-2"/>
    <n v="-1.2933333333333408E-3"/>
    <n v="1.4717034951418635"/>
    <m/>
    <n v="1.4692031619083934"/>
    <s v=""/>
    <s v=""/>
    <n v="1.7003825860817654E-3"/>
    <n v="1.4704533285251284"/>
    <n v="1.2202615798818885"/>
    <n v="0.1120578363026075"/>
    <n v="0.24183648416400672"/>
    <n v="2.4904595026570044"/>
    <n v="23.926152954201328"/>
    <n v="21.435693451544324"/>
    <n v="0.1297786478613992"/>
    <n v="0.16477581837849317"/>
    <n v="0.35560926309777818"/>
    <n v="0.19083344471928501"/>
    <n v="0.44511195149995153"/>
    <n v="0.34071103187996826"/>
    <n v="0.18402222632942217"/>
    <n v="0.1566888055505461"/>
    <n v="0.10440091961998327"/>
    <n v="3.9261320808702611"/>
    <n v="84.630471399409515"/>
    <n v="0.25470360634895944"/>
    <n v="8.868783601970065E-2"/>
    <n v="0.17737971085757054"/>
    <n v="0.33941774316481482"/>
    <n v="0.10569420833513671"/>
    <n v="0.16203803230724428"/>
    <n v="3"/>
    <n v="91.44"/>
    <n v="3"/>
    <n v="91.44"/>
    <n v="81"/>
    <n v="12.325533865139922"/>
    <n v="12.325533865139922"/>
    <n v="12.538723478022858"/>
    <n v="12.538723478022858"/>
    <n v="10.918287872663317"/>
  </r>
  <r>
    <x v="4"/>
    <x v="1"/>
    <n v="8.5699062305921299"/>
    <n v="60.9857496292313"/>
    <n v="30.444344140176501"/>
    <n v="5.2359999999999997E-2"/>
    <n v="0.39117000000000002"/>
    <n v="5.8959999999999999E-2"/>
    <n v="0.48715999999999998"/>
    <n v="-9.5989999999999964E-2"/>
    <n v="-6.6000000000000017E-3"/>
    <n v="1.564338263778809"/>
    <m/>
    <n v="1.5716951953004534"/>
    <s v=""/>
    <s v=""/>
    <n v="-4.6918705540880271E-3"/>
    <n v="1.5680167295396312"/>
    <n v="1.4843593135750022"/>
    <n v="0.12896890343698847"/>
    <n v="0.24008919722497518"/>
    <n v="1.6769203769587193"/>
    <n v="24.910603929923738"/>
    <n v="23.233683552965019"/>
    <n v="0.11112029378798671"/>
    <n v="0.20222539817957916"/>
    <n v="0.37646387783050111"/>
    <n v="0.17423847965092196"/>
    <n v="0.40829557375862968"/>
    <n v="0.34025891724878909"/>
    <n v="0.19370646530042979"/>
    <n v="0.14655245194835931"/>
    <n v="6.8036656509840587E-2"/>
    <n v="4.4122045954996194"/>
    <n v="115.43795123404732"/>
    <n v="0.22664406836890216"/>
    <n v="8.71298381677931E-2"/>
    <n v="0.2005607749386164"/>
    <n v="0.35636450592103397"/>
    <n v="5.1931067837595712E-2"/>
    <n v="0.15580373098241757"/>
    <n v="3"/>
    <n v="91.44"/>
    <n v="3"/>
    <n v="91.44"/>
    <n v="81"/>
    <n v="12.325533865139922"/>
    <n v="12.325533865139922"/>
    <n v="12.538723478022858"/>
    <n v="12.538723478022858"/>
    <n v="10.918287872663317"/>
  </r>
  <r>
    <x v="4"/>
    <x v="2"/>
    <n v="7.3198088854216898"/>
    <n v="52.901372422313202"/>
    <n v="39.778818692265098"/>
    <n v="5.058E-2"/>
    <n v="0.31829000000000002"/>
    <n v="5.2690000000000001E-2"/>
    <n v="0.33650000000000002"/>
    <n v="-1.8210000000000004E-2"/>
    <n v="-2.1100000000000008E-3"/>
    <n v="1.704938361176624"/>
    <m/>
    <m/>
    <s v=""/>
    <s v=""/>
    <s v=""/>
    <n v="1.704938361176624"/>
    <n v="1.5766654964261004"/>
    <n v="0.16185267475645182"/>
    <n v="0.22002294893861143"/>
    <n v="1.1559066147898129"/>
    <n v="19.019802043192897"/>
    <n v="17.863895428403083"/>
    <n v="5.8170274182159615E-2"/>
    <n v="0.27594883405131809"/>
    <n v="0.37512556598464419"/>
    <n v="9.9176731933326101E-2"/>
    <n v="0.35662703351825509"/>
    <n v="0.34397126336274197"/>
    <n v="0.24283148854078379"/>
    <n v="0.10113977482195818"/>
    <n v="1.2655770155513113E-2"/>
    <n v="7.8582449575311122"/>
    <n v="228.05932116016908"/>
    <n v="0.12725487757182083"/>
    <n v="8.1086709981899499E-2"/>
    <n v="0.23309335461556591"/>
    <n v="0.32662703351825506"/>
    <n v="3.0000000000000027E-2"/>
    <n v="9.3533678902689155E-2"/>
    <n v="3"/>
    <n v="91.44"/>
    <n v="3"/>
    <n v="91.44"/>
    <n v="81"/>
    <n v="12.325533865139922"/>
    <n v="12.325533865139922"/>
    <n v="12.538723478022858"/>
    <n v="12.538723478022858"/>
    <n v="10.918287872663317"/>
  </r>
  <r>
    <x v="4"/>
    <x v="3"/>
    <n v="7.5493923361225397"/>
    <n v="57.705733845538496"/>
    <n v="34.744873818339002"/>
    <m/>
    <m/>
    <n v="4.9509999999999998E-2"/>
    <n v="0.27800000000000002"/>
    <s v=""/>
    <s v=""/>
    <n v="1.7149228704544419"/>
    <m/>
    <m/>
    <s v=""/>
    <s v=""/>
    <s v=""/>
    <n v="1.7149228704544419"/>
    <m/>
    <n v="0.18496197445831516"/>
    <n v="0.2281067556296914"/>
    <n v="5.7793434355469122"/>
    <n v="18.446585188324296"/>
    <n v="12.667241752777382"/>
    <n v="4.314478117137624E-2"/>
    <n v="0.31719552016297503"/>
    <n v="0.39118549213452031"/>
    <n v="7.3989971971545276E-2"/>
    <n v="0.35285929416813511"/>
    <n v="0.33253492568234716"/>
    <n v="0.21686177795386871"/>
    <n v="0.11567314772847845"/>
    <n v="2.0324368485787947E-2"/>
    <n v="6.1772127385608062"/>
    <n v="203.988269041569"/>
    <n v="0.16188531014280469"/>
    <n v="8.156715646806606E-2"/>
    <n v="0.23546567401997542"/>
    <n v="0.32285929416813508"/>
    <n v="3.0000000000000027E-2"/>
    <n v="8.7393620148159656E-2"/>
    <n v="3"/>
    <n v="91.44"/>
    <n v="3"/>
    <n v="91.44"/>
    <n v="81"/>
    <n v="12.325533865139922"/>
    <n v="12.325533865139922"/>
    <n v="12.538723478022858"/>
    <n v="12.538723478022858"/>
    <n v="10.918287872663317"/>
  </r>
  <r>
    <x v="4"/>
    <x v="4"/>
    <n v="8.9717833222093208"/>
    <n v="60.337339052915503"/>
    <n v="30.690877624875199"/>
    <n v="4.3580000000000001E-2"/>
    <n v="0.23028000000000001"/>
    <n v="4.3430000000000003E-2"/>
    <n v="0.26841999999999999"/>
    <n v="-3.8139999999999979E-2"/>
    <n v="1.4999999999999736E-4"/>
    <n v="1.709005342281696"/>
    <m/>
    <m/>
    <s v=""/>
    <s v=""/>
    <s v=""/>
    <n v="1.709005342281696"/>
    <m/>
    <n v="0.20146627565982372"/>
    <m/>
    <n v="5.6069647165648666"/>
    <m/>
    <s v=""/>
    <s v=""/>
    <n v="0.34430694139223555"/>
    <s v=""/>
    <s v=""/>
    <n v="0.35509232366728449"/>
    <n v="0.32268098702346404"/>
    <n v="0.19490314821219917"/>
    <n v="0.12777783881126487"/>
    <n v="3.2411336643820454E-2"/>
    <n v="5.0715760061178434"/>
    <n v="174.28523348104011"/>
    <n v="0.19717736632433383"/>
    <n v="8.1064447801199979E-2"/>
    <n v="0.23405966932613098"/>
    <n v="0.32509232366728447"/>
    <n v="3.0000000000000027E-2"/>
    <n v="9.1032654341153485E-2"/>
    <n v="3"/>
    <n v="91.44"/>
    <n v="3"/>
    <n v="91.44"/>
    <n v="81"/>
    <n v="12.325533865139922"/>
    <n v="12.325533865139922"/>
    <n v="12.538723478022858"/>
    <n v="12.538723478022858"/>
    <n v="10.918287872663317"/>
  </r>
  <r>
    <x v="5"/>
    <x v="0"/>
    <n v="13.766703388661"/>
    <n v="61.755790235175702"/>
    <n v="24.477506376163333"/>
    <n v="0.12032"/>
    <n v="1.6133999999999999"/>
    <n v="0.12735333333333335"/>
    <n v="1.5502"/>
    <n v="6.3199999999999923E-2"/>
    <n v="-7.0333333333333498E-3"/>
    <n v="1.4809818070307719"/>
    <n v="1.420233616884353"/>
    <n v="1.3846698368532739"/>
    <n v="4.2522036720736352E-2"/>
    <n v="2.4893652909902902E-2"/>
    <n v="6.7415689630639264E-2"/>
    <n v="1.428628420256133"/>
    <n v="1.3871163801742945"/>
    <n v="9.1350885826771616E-2"/>
    <n v="0.28354519774011305"/>
    <n v="5.4969818922217"/>
    <n v="40.512859759684929"/>
    <n v="35.015877867463232"/>
    <n v="0.19219431191334144"/>
    <n v="0.13050647170769911"/>
    <n v="0.40508072791867056"/>
    <n v="0.27457425621097142"/>
    <n v="0.46089493575240259"/>
    <n v="0.31824043566593552"/>
    <n v="0.16150033484493961"/>
    <n v="0.1567401008209959"/>
    <n v="0.14265450008646707"/>
    <n v="3.4719936593493879"/>
    <n v="63.571935160125683"/>
    <n v="0.28801895916693254"/>
    <n v="8.3209388851095342E-2"/>
    <n v="0.16744211265285724"/>
    <n v="0.33215275659849031"/>
    <n v="0.12874217915391228"/>
    <n v="0.16471064394563306"/>
    <n v="5"/>
    <n v="152.4"/>
    <n v="5"/>
    <n v="152.4"/>
    <n v="91"/>
    <n v="22.150010135578857"/>
    <n v="22.150010135578857"/>
    <n v="23.474279594515828"/>
    <n v="23.474279594515828"/>
    <n v="14.388790817156805"/>
  </r>
  <r>
    <x v="5"/>
    <x v="1"/>
    <n v="13.1151640493788"/>
    <n v="61.436145946329603"/>
    <n v="25.448690004291599"/>
    <n v="0.11975"/>
    <n v="1.4748000000000001"/>
    <n v="0.10321"/>
    <n v="1.365"/>
    <n v="0.10980000000000012"/>
    <n v="1.6539999999999999E-2"/>
    <n v="1.3911585581478885"/>
    <n v="1.2987682413363941"/>
    <n v="1.4275186848150976"/>
    <n v="6.7316240492166737E-2"/>
    <n v="-9.3808486817606146E-2"/>
    <n v="-2.6492246325439409E-2"/>
    <n v="1.3724818280997935"/>
    <n v="1.3965477842093701"/>
    <n v="0.12094332981344603"/>
    <n v="0.29684456564082606"/>
    <n v="3.0632539094161766"/>
    <n v="29.55197916027905"/>
    <n v="26.488725250862874"/>
    <n v="0.17590123582738004"/>
    <n v="0.16599252239883466"/>
    <n v="0.40741377211221008"/>
    <n v="0.24142124971337542"/>
    <n v="0.48208232901894588"/>
    <n v="0.32583715663560037"/>
    <n v="0.16594739885122983"/>
    <n v="0.15988975778437053"/>
    <n v="0.15624517238334551"/>
    <n v="3.4752008395111953"/>
    <n v="57.739194965423366"/>
    <n v="0.28775315332297602"/>
    <n v="8.5961597673148538E-2"/>
    <n v="0.15410168235651095"/>
    <n v="0.32240009354093413"/>
    <n v="0.15968223547801175"/>
    <n v="0.16829841118442318"/>
    <n v="5"/>
    <n v="152.4"/>
    <n v="5"/>
    <n v="152.4"/>
    <n v="91"/>
    <n v="22.150010135578857"/>
    <n v="22.150010135578857"/>
    <n v="23.474279594515828"/>
    <n v="23.474279594515828"/>
    <n v="14.388790817156805"/>
  </r>
  <r>
    <x v="5"/>
    <x v="2"/>
    <n v="12.721072302959801"/>
    <n v="62.660115633965802"/>
    <n v="24.618812063074401"/>
    <n v="8.8639999999999997E-2"/>
    <n v="0.78873000000000004"/>
    <n v="9.3490000000000004E-2"/>
    <n v="0.96452000000000004"/>
    <n v="-0.17579"/>
    <n v="-4.8500000000000071E-3"/>
    <n v="1.3295659855001953"/>
    <n v="1.4568212913235263"/>
    <n v="1.5183396125602671"/>
    <n v="-8.8685281849465739E-2"/>
    <n v="-4.287263012326252E-2"/>
    <n v="-0.13155791197272826"/>
    <n v="1.4349089631279963"/>
    <n v="1.2770342112024005"/>
    <n v="0.13723311373918584"/>
    <n v="0.3493877551020409"/>
    <n v="6.6150804140835566"/>
    <n v="59.82804732998293"/>
    <n v="53.212966915899372"/>
    <n v="0.21215464136285506"/>
    <n v="0.19691702494232155"/>
    <n v="0.50133962140308785"/>
    <n v="0.3044225964607663"/>
    <n v="0.45852491957434094"/>
    <n v="0.32042789949288031"/>
    <n v="0.16270201687329711"/>
    <n v="0.1577258826195832"/>
    <n v="0.13809702008146063"/>
    <n v="3.4963321259538227"/>
    <n v="66.428059517588466"/>
    <n v="0.28601401811253652"/>
    <n v="8.3007709972507462E-2"/>
    <n v="0.16893436963921193"/>
    <n v="0.33324368689533296"/>
    <n v="0.12528123267900798"/>
    <n v="0.16430931725612102"/>
    <n v="5"/>
    <n v="152.4"/>
    <n v="5"/>
    <n v="152.4"/>
    <n v="91"/>
    <n v="22.150010135578857"/>
    <n v="22.150010135578857"/>
    <n v="23.474279594515828"/>
    <n v="23.474279594515828"/>
    <n v="14.388790817156805"/>
  </r>
  <r>
    <x v="5"/>
    <x v="3"/>
    <n v="10.565434912656601"/>
    <n v="57.950478074733397"/>
    <n v="31.484087012610001"/>
    <n v="4.5449999999999997E-2"/>
    <n v="0.43432999999999999"/>
    <n v="5.9760000000000001E-2"/>
    <n v="0.44013999999999998"/>
    <n v="-5.8099999999999818E-3"/>
    <n v="-1.4310000000000003E-2"/>
    <n v="1.6434463523859419"/>
    <n v="1.6506533120312701"/>
    <n v="1.5650171859074262"/>
    <n v="-4.4495490851470089E-3"/>
    <n v="5.2871413939009813E-2"/>
    <n v="4.8421864853862809E-2"/>
    <n v="1.6197056167748796"/>
    <m/>
    <n v="0.20734951779181904"/>
    <m/>
    <n v="11.83248446515384"/>
    <n v="52.175463947000964"/>
    <n v="40.342979481847124"/>
    <s v=""/>
    <n v="0.33584517860297214"/>
    <s v=""/>
    <s v=""/>
    <n v="0.38879033329249824"/>
    <n v="0.33566250156398958"/>
    <n v="0.19821074572351394"/>
    <n v="0.13745175584047564"/>
    <n v="5.3127831728508657E-2"/>
    <n v="4.7490903417489987"/>
    <n v="131.65342539280346"/>
    <n v="0.21056664077519302"/>
    <n v="8.6799120654572348E-2"/>
    <n v="0.21284205454571142"/>
    <n v="0.35879033329249821"/>
    <n v="3.0000000000000027E-2"/>
    <n v="0.14594827874678679"/>
    <n v="5"/>
    <n v="152.4"/>
    <n v="5"/>
    <n v="152.4"/>
    <n v="91"/>
    <n v="22.150010135578857"/>
    <n v="22.150010135578857"/>
    <n v="23.474279594515828"/>
    <n v="23.474279594515828"/>
    <n v="14.388790817156805"/>
  </r>
  <r>
    <x v="5"/>
    <x v="4"/>
    <n v="8.1028854513541297"/>
    <n v="53.050310854480401"/>
    <n v="38.846803694165501"/>
    <n v="4.8930000000000001E-2"/>
    <n v="0.27388000000000001"/>
    <n v="3.1550000000000002E-2"/>
    <n v="0.31820999999999999"/>
    <n v="-4.4329999999999981E-2"/>
    <n v="1.738E-2"/>
    <n v="1.6214093551113666"/>
    <n v="1.6324612981593847"/>
    <n v="1.6982349117478139"/>
    <n v="-6.6952993446394412E-3"/>
    <n v="-3.9845847018923158E-2"/>
    <n v="-4.6541146363562602E-2"/>
    <n v="1.6507018550061883"/>
    <m/>
    <n v="0.22686496694995278"/>
    <m/>
    <n v="11.854692395584241"/>
    <m/>
    <s v=""/>
    <s v=""/>
    <n v="0.37448642178020464"/>
    <s v=""/>
    <s v=""/>
    <n v="0.37709363962030629"/>
    <n v="0.35316481077558431"/>
    <n v="0.23826593856348799"/>
    <n v="0.11489887221209633"/>
    <n v="2.3928828844721972E-2"/>
    <n v="6.7776738858945658"/>
    <n v="184.38938215266708"/>
    <n v="0.14754324519525225"/>
    <n v="8.6315670064118999E-2"/>
    <n v="0.22020676074947038"/>
    <n v="0.34709363962030626"/>
    <n v="3.0000000000000027E-2"/>
    <n v="0.12688687887083588"/>
    <n v="5"/>
    <n v="152.4"/>
    <n v="5"/>
    <n v="152.4"/>
    <n v="91"/>
    <n v="22.150010135578857"/>
    <n v="22.150010135578857"/>
    <n v="23.474279594515828"/>
    <n v="23.474279594515828"/>
    <n v="14.388790817156805"/>
  </r>
  <r>
    <x v="6"/>
    <x v="0"/>
    <n v="8.8026328881872029"/>
    <n v="61.098806824167035"/>
    <n v="30.0985602876458"/>
    <n v="9.0120000000000006E-2"/>
    <n v="0.98033000000000003"/>
    <n v="0.10199333333333334"/>
    <n v="1.0858933333333334"/>
    <n v="-0.10556333333333334"/>
    <n v="-1.1873333333333333E-2"/>
    <n v="1.5173388309873175"/>
    <n v="1.5533126796630141"/>
    <n v="1.5932086594066053"/>
    <n v="-2.3139961768144608E-2"/>
    <n v="-2.5662848984881189E-2"/>
    <n v="-4.8802810753025797E-2"/>
    <n v="1.5546200566856456"/>
    <n v="1.500403752861234"/>
    <n v="9.5799219527125334E-2"/>
    <n v="0.22332730560578651"/>
    <n v="5.4213381294768848"/>
    <n v="58.128474461708166"/>
    <n v="52.707136332231279"/>
    <n v="0.12752808607866117"/>
    <n v="0.1489313880917002"/>
    <n v="0.34718910850032031"/>
    <n v="0.19825772040862011"/>
    <n v="0.41335092200541668"/>
    <n v="0.33998499806844956"/>
    <n v="0.19166124336869603"/>
    <n v="0.14832375469975353"/>
    <n v="7.3365923936967115E-2"/>
    <n v="4.314758209265583"/>
    <n v="109.83973596280538"/>
    <n v="0.23176269711998776"/>
    <n v="8.7350899269903928E-2"/>
    <n v="0.1973777254685094"/>
    <n v="0.35403750384629668"/>
    <n v="5.9313418159120002E-2"/>
    <n v="0.15665977837778727"/>
    <n v="2"/>
    <n v="60.96"/>
    <n v="2"/>
    <n v="60.96"/>
    <n v="117"/>
    <n v="7.3908570253616883"/>
    <n v="7.3908570253616883"/>
    <n v="6.0721663689012635"/>
    <n v="6.0721663689012635"/>
    <n v="14.022845782395615"/>
  </r>
  <r>
    <x v="6"/>
    <x v="1"/>
    <n v="8.3492408342913897"/>
    <n v="54.630401079951803"/>
    <n v="37.020358085756797"/>
    <n v="5.5449999999999999E-2"/>
    <n v="0.44197999999999998"/>
    <n v="5.5230000000000001E-2"/>
    <n v="0.43107000000000001"/>
    <n v="1.0909999999999975E-2"/>
    <n v="2.1999999999999797E-4"/>
    <n v="1.4551092119171698"/>
    <n v="1.8651425479445325"/>
    <n v="1.7105190244107824"/>
    <n v="-0.24451521662002668"/>
    <n v="9.2206659872366259E-2"/>
    <n v="-0.15230855674766042"/>
    <n v="1.7878307861776574"/>
    <n v="1.4664543824771641"/>
    <n v="0.14914186400173821"/>
    <n v="0.23440997761432675"/>
    <n v="2.7529012078491446"/>
    <n v="25.033172978458136"/>
    <n v="22.280271770608991"/>
    <n v="8.5268113612588542E-2"/>
    <n v="0.26664041597022886"/>
    <n v="0.41908537456610889"/>
    <n v="0.15244495859588003"/>
    <n v="0.32534687314050659"/>
    <n v="0.31939477775835573"/>
    <n v="0.22523634658666281"/>
    <n v="9.4158431171692925E-2"/>
    <n v="5.9520953821508571E-3"/>
    <n v="7.8037229172864517"/>
    <n v="273.30045032201701"/>
    <n v="0.12814396546356682"/>
    <n v="7.5975021792548961E-2"/>
    <n v="0.25278859479581145"/>
    <n v="0.29534687314050656"/>
    <n v="3.0000000000000027E-2"/>
    <n v="4.2558278344695111E-2"/>
    <n v="2"/>
    <n v="60.96"/>
    <n v="2"/>
    <n v="60.96"/>
    <n v="117"/>
    <n v="7.3908570253616883"/>
    <n v="7.3908570253616883"/>
    <n v="6.0721663689012635"/>
    <n v="6.0721663689012635"/>
    <n v="14.022845782395615"/>
  </r>
  <r>
    <x v="6"/>
    <x v="2"/>
    <n v="8.4028950297927807"/>
    <n v="50.889724268375701"/>
    <n v="40.707380701831497"/>
    <n v="3.3939999999999998E-2"/>
    <n v="0.26529000000000003"/>
    <n v="4.197E-2"/>
    <n v="0.30547999999999997"/>
    <n v="-4.0189999999999948E-2"/>
    <n v="-8.0300000000000024E-3"/>
    <n v="1.6283278761412019"/>
    <n v="1.5958424762686836"/>
    <n v="1.5423838709953663"/>
    <n v="2.0445838870145422E-2"/>
    <n v="3.3646069739951143E-2"/>
    <n v="5.4091908610096558E-2"/>
    <n v="1.5888514078017506"/>
    <n v="1.4884671321293419"/>
    <n v="0.15802064971040053"/>
    <n v="0.24027686222808198"/>
    <n v="4.9207348246163951"/>
    <n v="30.500246270035309"/>
    <n v="25.579511445418913"/>
    <n v="8.2256212517681448E-2"/>
    <n v="0.25107133175411717"/>
    <n v="0.38176423081327532"/>
    <n v="0.13069289905915815"/>
    <n v="0.40043343101820728"/>
    <n v="0.36815945234480446"/>
    <n v="0.24689036708622031"/>
    <n v="0.12126908525858415"/>
    <n v="3.2273978673402814E-2"/>
    <n v="6.6320233838542837"/>
    <n v="158.93958111081409"/>
    <n v="0.15078354555180074"/>
    <n v="9.1020483099080562E-2"/>
    <n v="0.20551109449369598"/>
    <n v="0.35998348953516407"/>
    <n v="4.0449941483043206E-2"/>
    <n v="0.15447239504146809"/>
    <n v="2"/>
    <n v="60.96"/>
    <n v="2"/>
    <n v="60.96"/>
    <n v="117"/>
    <n v="7.3908570253616883"/>
    <n v="7.3908570253616883"/>
    <n v="6.0721663689012635"/>
    <n v="6.0721663689012635"/>
    <n v="14.022845782395615"/>
  </r>
  <r>
    <x v="6"/>
    <x v="3"/>
    <n v="8.4945633088165096"/>
    <n v="52.8079451506282"/>
    <n v="38.697491540555298"/>
    <n v="3.7010000000000001E-2"/>
    <n v="0.22939999999999999"/>
    <n v="3.9629999999999999E-2"/>
    <n v="0.27526"/>
    <n v="-4.5860000000000012E-2"/>
    <n v="-2.6199999999999973E-3"/>
    <n v="1.6544462501563928"/>
    <n v="1.7037153957293283"/>
    <n v="1.5880272090416565"/>
    <n v="-2.9883096067300621E-2"/>
    <n v="7.0168076925989337E-2"/>
    <n v="4.0284980858688715E-2"/>
    <n v="1.6487296183091258"/>
    <m/>
    <n v="0.18200774501042621"/>
    <n v="0.22410615554736446"/>
    <n v="7.9634007643047608"/>
    <n v="28.63041118317695"/>
    <n v="20.667010418872188"/>
    <n v="4.2098410536938247E-2"/>
    <n v="0.30008155996034469"/>
    <n v="0.36949045629633176"/>
    <n v="6.9408896335987069E-2"/>
    <n v="0.37783787988334872"/>
    <n v="0.35291616708106288"/>
    <n v="0.23725390718902117"/>
    <n v="0.11566225989204171"/>
    <n v="2.4921712802285834E-2"/>
    <n v="6.696961519443219"/>
    <n v="181.24418810125002"/>
    <n v="0.14932144930155419"/>
    <n v="8.6675622709589659E-2"/>
    <n v="0.21973815731024832"/>
    <n v="0.34783787988334869"/>
    <n v="3.0000000000000027E-2"/>
    <n v="0.12809972257310037"/>
    <n v="2"/>
    <n v="60.96"/>
    <n v="2"/>
    <n v="60.96"/>
    <n v="117"/>
    <n v="7.3908570253616883"/>
    <n v="7.3908570253616883"/>
    <n v="6.0721663689012635"/>
    <n v="6.0721663689012635"/>
    <n v="14.022845782395615"/>
  </r>
  <r>
    <x v="6"/>
    <x v="4"/>
    <n v="9.8632385305853205"/>
    <n v="49.984231568739602"/>
    <n v="40.152529900675098"/>
    <n v="3.6449999999999996E-2"/>
    <n v="0.22999"/>
    <n v="1.864E-2"/>
    <n v="0.24908"/>
    <n v="-1.9089999999999996E-2"/>
    <n v="1.7809999999999996E-2"/>
    <n v="1.7415197218255281"/>
    <n v="1.6971356563789264"/>
    <n v="1.7148425172936581"/>
    <n v="2.5837246670095935E-2"/>
    <n v="-1.0307675256954927E-2"/>
    <n v="1.552957141314101E-2"/>
    <n v="1.7178326318327042"/>
    <m/>
    <n v="0.19415739268680435"/>
    <m/>
    <n v="7.1645430881544296"/>
    <m/>
    <s v=""/>
    <s v=""/>
    <n v="0.33352990486894896"/>
    <s v=""/>
    <s v=""/>
    <n v="0.35176127100652665"/>
    <n v="0.34003404749962496"/>
    <n v="0.24289393804995929"/>
    <n v="9.7140109449665668E-2"/>
    <n v="1.1727223506901696E-2"/>
    <n v="8.1223326341473285"/>
    <n v="230.33140262095941"/>
    <n v="0.12311734141444437"/>
    <n v="8.0950532635199121E-2"/>
    <n v="0.23615703332345056"/>
    <n v="0.32176127100652663"/>
    <n v="3.0000000000000027E-2"/>
    <n v="8.5604237683076068E-2"/>
    <n v="2"/>
    <n v="60.96"/>
    <n v="2"/>
    <n v="60.96"/>
    <n v="117"/>
    <n v="7.3908570253616883"/>
    <n v="7.3908570253616883"/>
    <n v="6.0721663689012635"/>
    <n v="6.0721663689012635"/>
    <n v="14.022845782395615"/>
  </r>
  <r>
    <x v="7"/>
    <x v="0"/>
    <n v="9.7855192997366327"/>
    <n v="60.626746461665427"/>
    <n v="29.587734238597932"/>
    <n v="0.12031"/>
    <n v="1.3612"/>
    <n v="0.13077000000000003"/>
    <n v="1.5193333333333332"/>
    <n v="-0.15813333333333324"/>
    <n v="-1.0460000000000025E-2"/>
    <n v="1.4347357766639901"/>
    <n v="1.3773507169798773"/>
    <n v="1.3580348532357007"/>
    <n v="4.1283014265558284E-2"/>
    <n v="1.3895900481622914E-2"/>
    <n v="5.5178914747181201E-2"/>
    <n v="1.3900404489598561"/>
    <n v="1.2837577707195926"/>
    <n v="9.3794410232117431E-2"/>
    <n v="0.19948556730494416"/>
    <n v="3.6403690990882489"/>
    <n v="39.410262896933141"/>
    <n v="35.769893797844894"/>
    <n v="0.10569115707282672"/>
    <n v="0.13037802410897745"/>
    <n v="0.27729300753757619"/>
    <n v="0.14691498342859874"/>
    <n v="0.47545643435477125"/>
    <n v="0.34706809092676982"/>
    <n v="0.18582561861644448"/>
    <n v="0.16124247231032535"/>
    <n v="0.12838834342800143"/>
    <n v="3.8080389961897656"/>
    <n v="69.752500405295734"/>
    <n v="0.2626023528121893"/>
    <n v="9.2323562641097076E-2"/>
    <n v="0.15827361067286183"/>
    <n v="0.32545002598432698"/>
    <n v="0.15000640837044427"/>
    <n v="0.16717641531146515"/>
    <n v="4"/>
    <n v="121.92"/>
    <n v="4"/>
    <n v="121.92"/>
    <n v="74"/>
    <n v="17.915394873683706"/>
    <n v="17.915394873683706"/>
    <n v="17.96653911825501"/>
    <n v="17.96653911825501"/>
    <n v="11.383490666050701"/>
  </r>
  <r>
    <x v="7"/>
    <x v="1"/>
    <n v="9.9961157570787407"/>
    <n v="63.940614241560603"/>
    <n v="26.0632700013606"/>
    <n v="6.9790000000000005E-2"/>
    <n v="0.56516"/>
    <n v="5.8569999999999997E-2"/>
    <n v="0.48124"/>
    <n v="8.3919999999999995E-2"/>
    <n v="1.1220000000000008E-2"/>
    <n v="1.5341406172338803"/>
    <n v="1.2610293450798851"/>
    <n v="1.5558323545268626"/>
    <n v="0.18830921171674406"/>
    <n v="-0.20326558432704406"/>
    <n v="-1.4956372610300009E-2"/>
    <n v="1.408430849803374"/>
    <n v="1.4075449486799556"/>
    <n v="0.17272662333023792"/>
    <n v="0.19954194102490694"/>
    <n v="2.2485018058771566"/>
    <n v="23.979174122973134"/>
    <n v="21.730672317095976"/>
    <n v="2.6815317694669022E-2"/>
    <n v="0.24327350488067426"/>
    <n v="0.28104102556912441"/>
    <n v="3.7767520688450157E-2"/>
    <n v="0.46851666045155693"/>
    <n v="0.33228471418110272"/>
    <n v="0.17047260715403073"/>
    <n v="0.16181210702707199"/>
    <n v="0.13623194627045421"/>
    <n v="3.5806635928034058"/>
    <n v="68.398109084680655"/>
    <n v="0.27927784168550468"/>
    <n v="8.546576511257431E-2"/>
    <n v="0.16264316991328165"/>
    <n v="0.32864443861084608"/>
    <n v="0.13987222184071085"/>
    <n v="0.16600126869756443"/>
    <n v="4"/>
    <n v="121.92"/>
    <n v="4"/>
    <n v="121.92"/>
    <n v="74"/>
    <n v="17.915394873683706"/>
    <n v="17.915394873683706"/>
    <n v="17.96653911825501"/>
    <n v="17.96653911825501"/>
    <n v="11.383490666050701"/>
  </r>
  <r>
    <x v="7"/>
    <x v="2"/>
    <n v="8.0008475184456298"/>
    <n v="58.984549875434901"/>
    <n v="33.014602606119503"/>
    <n v="4.4429999999999997E-2"/>
    <n v="0.37863999999999998"/>
    <n v="5.2130000000000003E-2"/>
    <n v="0.36475000000000002"/>
    <n v="1.3889999999999958E-2"/>
    <n v="-7.7000000000000055E-3"/>
    <n v="1.6554979790442272"/>
    <n v="1.9002791792382669"/>
    <n v="1.5425585266256459"/>
    <n v="-0.14403594544703863"/>
    <n v="0.21049260467775557"/>
    <n v="6.6456659230716947E-2"/>
    <n v="1.5990282528349367"/>
    <n v="1.5106272474695672"/>
    <n v="0.13862890184740512"/>
    <n v="0.20330902972518231"/>
    <n v="1.8218627854485163"/>
    <n v="26.18301142179569"/>
    <n v="24.361148636347174"/>
    <n v="6.4680127877777188E-2"/>
    <n v="0.22167153071348214"/>
    <n v="0.32509688258702446"/>
    <n v="0.10342535187354232"/>
    <n v="0.39659311213775972"/>
    <n v="0.34598352846306457"/>
    <n v="0.20754524296056864"/>
    <n v="0.13843828550249593"/>
    <n v="5.0609583674695147E-2"/>
    <n v="4.9648829812925914"/>
    <n v="135.64844438989599"/>
    <n v="0.20141461616878897"/>
    <n v="8.7897662004561478E-2"/>
    <n v="0.20792911287358096"/>
    <n v="0.36175120751742851"/>
    <n v="3.484190462033121E-2"/>
    <n v="0.15382209464384755"/>
    <n v="4"/>
    <n v="121.92"/>
    <n v="4"/>
    <n v="121.92"/>
    <n v="74"/>
    <n v="17.915394873683706"/>
    <n v="17.915394873683706"/>
    <n v="17.96653911825501"/>
    <n v="17.96653911825501"/>
    <n v="11.383490666050701"/>
  </r>
  <r>
    <x v="7"/>
    <x v="3"/>
    <n v="7.4231156110349001"/>
    <n v="60.0563956268658"/>
    <n v="32.520488762099298"/>
    <n v="4.6350000000000002E-2"/>
    <n v="0.30219000000000001"/>
    <n v="4.1779999999999998E-2"/>
    <n v="0.33456000000000002"/>
    <n v="-3.237000000000001E-2"/>
    <n v="4.5700000000000046E-3"/>
    <n v="1.6837366164171128"/>
    <n v="1.8314790630582252"/>
    <n v="1.5560846348817099"/>
    <n v="-8.739915060217264E-2"/>
    <n v="0.16291350015115233"/>
    <n v="7.551434954897969E-2"/>
    <n v="1.690433438119016"/>
    <m/>
    <n v="0.14661058881741712"/>
    <m/>
    <n v="1.5968669784539942"/>
    <m/>
    <s v=""/>
    <s v=""/>
    <n v="0.24783544171927979"/>
    <s v=""/>
    <s v=""/>
    <n v="0.36210058938905054"/>
    <n v="0.33195409847043222"/>
    <n v="0.2056715409453746"/>
    <n v="0.12628255752505763"/>
    <n v="3.0146490918618318E-2"/>
    <n v="5.4123661547188782"/>
    <n v="178.02128608902376"/>
    <n v="0.18476207474029271"/>
    <n v="8.2375059279317264E-2"/>
    <n v="0.22964698489707824"/>
    <n v="0.33210058938905052"/>
    <n v="3.0000000000000027E-2"/>
    <n v="0.10245360449197227"/>
    <n v="4"/>
    <n v="121.92"/>
    <n v="4"/>
    <n v="121.92"/>
    <n v="74"/>
    <n v="17.915394873683706"/>
    <n v="17.915394873683706"/>
    <n v="17.96653911825501"/>
    <n v="17.96653911825501"/>
    <n v="11.383490666050701"/>
  </r>
  <r>
    <x v="7"/>
    <x v="4"/>
    <n v="7.4430959405381003"/>
    <n v="60.284926693114997"/>
    <n v="32.271977366346903"/>
    <n v="4.478E-2"/>
    <n v="0.32334000000000002"/>
    <n v="4.308E-2"/>
    <n v="0.28706999999999999"/>
    <n v="3.6270000000000024E-2"/>
    <n v="1.7000000000000001E-3"/>
    <n v="1.6974812852040733"/>
    <n v="1.5847303694512205"/>
    <n v="1.7306357703393476"/>
    <n v="6.7477167881071096E-2"/>
    <n v="-8.7318875990894385E-2"/>
    <n v="-1.9841708109823279E-2"/>
    <n v="1.6709491416648803"/>
    <m/>
    <n v="0.14839882816446134"/>
    <m/>
    <n v="3.4436608074048567"/>
    <m/>
    <s v=""/>
    <s v=""/>
    <n v="0.24796689454548074"/>
    <s v=""/>
    <s v=""/>
    <n v="0.36945315408872437"/>
    <n v="0.33442458837423583"/>
    <n v="0.20447287688455967"/>
    <n v="0.12995171148967616"/>
    <n v="3.5028565714488535E-2"/>
    <n v="5.2363651345419271"/>
    <n v="166.54174547445135"/>
    <n v="0.1909721675830918"/>
    <n v="8.3336286236367324E-2"/>
    <n v="0.2250175160595756"/>
    <n v="0.33945315408872434"/>
    <n v="3.0000000000000027E-2"/>
    <n v="0.11443563802914875"/>
    <n v="4"/>
    <n v="121.92"/>
    <n v="4"/>
    <n v="121.92"/>
    <n v="74"/>
    <n v="17.915394873683706"/>
    <n v="17.915394873683706"/>
    <n v="17.96653911825501"/>
    <n v="17.96653911825501"/>
    <n v="11.383490666050701"/>
  </r>
  <r>
    <x v="8"/>
    <x v="0"/>
    <n v="9.1471589310637427"/>
    <n v="62.556591380507399"/>
    <n v="28.296249688428833"/>
    <n v="0.13231000000000001"/>
    <n v="1.5330999999999999"/>
    <n v="0.13880000000000001"/>
    <n v="1.6795"/>
    <n v="-0.14640000000000009"/>
    <n v="-6.4899999999999958E-3"/>
    <n v="1.4760400632219171"/>
    <n v="1.4473300551027668"/>
    <n v="1.5288480596487302"/>
    <n v="1.9345418601353432E-2"/>
    <n v="-5.4928578039544235E-2"/>
    <n v="-3.5583159438190799E-2"/>
    <n v="1.4840727259911379"/>
    <m/>
    <n v="0.10094569422553377"/>
    <n v="0.25948539031836038"/>
    <n v="5.9580369631606622"/>
    <n v="58.299633880986661"/>
    <n v="52.341596917825996"/>
    <n v="0.15853969609282659"/>
    <n v="0.14981075160635579"/>
    <n v="0.38509519056464353"/>
    <n v="0.23528443895828774"/>
    <n v="0.43997255622975928"/>
    <n v="0.33817121666947081"/>
    <n v="0.18182252585845066"/>
    <n v="0.15634869081102015"/>
    <n v="0.10180133956028847"/>
    <n v="3.9095175978076671"/>
    <n v="87.129930149744411"/>
    <n v="0.25578603369396985"/>
    <n v="8.7324305523317908E-2"/>
    <n v="0.18061567969549441"/>
    <n v="0.34178343250466064"/>
    <n v="9.8189123725098637E-2"/>
    <n v="0.16116775280916623"/>
    <n v="5"/>
    <n v="152.4"/>
    <n v="4"/>
    <n v="121.92"/>
    <n v="102"/>
    <n v="20.756930209136357"/>
    <n v="17.005135912547839"/>
    <n v="22.631949386429518"/>
    <n v="18.863575473087934"/>
    <n v="14.226737722111872"/>
  </r>
  <r>
    <x v="8"/>
    <x v="1"/>
    <n v="7.7309806131421697"/>
    <n v="61.3413628170183"/>
    <n v="30.927656569839598"/>
    <n v="7.6850000000000002E-2"/>
    <n v="0.69176000000000004"/>
    <n v="0.10382"/>
    <n v="0.74982000000000004"/>
    <n v="-5.806E-2"/>
    <n v="-2.6969999999999994E-2"/>
    <n v="1.5079841439848498"/>
    <n v="1.467385545562615"/>
    <n v="1.6031640303325181"/>
    <n v="2.6601484824250017E-2"/>
    <n v="-8.8966354564794292E-2"/>
    <n v="-6.2364869740544282E-2"/>
    <n v="1.5261779066266612"/>
    <m/>
    <n v="0.12536461636017762"/>
    <n v="0.25492909028017979"/>
    <n v="4.1912279961074113"/>
    <n v="31.17236812237984"/>
    <n v="26.981140126272429"/>
    <n v="0.12956447392000217"/>
    <n v="0.19132870776163036"/>
    <n v="0.3890671453420439"/>
    <n v="0.19773843758041354"/>
    <n v="0.42408380882012786"/>
    <n v="0.34683567799141424"/>
    <n v="0.19597690198597778"/>
    <n v="0.15085877600543646"/>
    <n v="7.7248130828713624E-2"/>
    <n v="4.3378304015546654"/>
    <n v="105.87055102614566"/>
    <n v="0.23052999020929979"/>
    <n v="8.9028743203326835E-2"/>
    <n v="0.1906198706144947"/>
    <n v="0.34909710238105107"/>
    <n v="7.4986706439076789E-2"/>
    <n v="0.15847723176655637"/>
    <n v="5"/>
    <n v="152.4"/>
    <n v="4"/>
    <n v="121.92"/>
    <n v="102"/>
    <n v="20.756930209136357"/>
    <n v="17.005135912547839"/>
    <n v="22.631949386429518"/>
    <n v="18.863575473087934"/>
    <n v="14.226737722111872"/>
  </r>
  <r>
    <x v="8"/>
    <x v="2"/>
    <n v="7.7172725128637003"/>
    <n v="53.946498626424997"/>
    <n v="38.336228860711302"/>
    <n v="5.5489999999999998E-2"/>
    <n v="0.38416"/>
    <n v="6.7119999999999999E-2"/>
    <n v="0.43215999999999999"/>
    <n v="-4.7999999999999987E-2"/>
    <n v="-1.1630000000000001E-2"/>
    <n v="1.574916309294345"/>
    <n v="1.5769355021976941"/>
    <n v="1.6638859711262437"/>
    <n v="-1.2578713757861071E-3"/>
    <n v="-5.4166447294359502E-2"/>
    <n v="-5.5424318670145606E-2"/>
    <n v="1.6052459275394275"/>
    <m/>
    <n v="0.16599408124831869"/>
    <n v="0.27032590051457989"/>
    <n v="1.1391857869621387"/>
    <n v="28.084058690130856"/>
    <n v="26.944872903168719"/>
    <n v="0.1043318192662612"/>
    <n v="0.26646132291951241"/>
    <n v="0.43393955090945779"/>
    <n v="0.16747822798994538"/>
    <n v="0.39424681979644238"/>
    <n v="0.36024879174796398"/>
    <n v="0.23538273062574347"/>
    <n v="0.12486606112222051"/>
    <n v="3.3998028048478401E-2"/>
    <n v="6.1697826856011"/>
    <n v="159.02927734765336"/>
    <n v="0.16208026294569133"/>
    <n v="8.9571296644402471E-2"/>
    <n v="0.20940643238336798"/>
    <n v="0.36283121761359854"/>
    <n v="3.1415602182843838E-2"/>
    <n v="0.15342478523023056"/>
    <n v="5"/>
    <n v="152.4"/>
    <n v="4"/>
    <n v="121.92"/>
    <n v="102"/>
    <n v="20.756930209136357"/>
    <n v="17.005135912547839"/>
    <n v="22.631949386429518"/>
    <n v="18.863575473087934"/>
    <n v="14.226737722111872"/>
  </r>
  <r>
    <x v="8"/>
    <x v="3"/>
    <n v="7.3684455512369702"/>
    <n v="55.590835491689802"/>
    <n v="37.040718957073302"/>
    <n v="3.2320000000000002E-2"/>
    <n v="0.21102000000000001"/>
    <n v="4.9320000000000003E-2"/>
    <n v="0.27900999999999998"/>
    <n v="-6.7989999999999967E-2"/>
    <n v="-1.7000000000000001E-2"/>
    <n v="1.6290970583062601"/>
    <n v="1.6236686933005595"/>
    <n v="1.6070064541986597"/>
    <n v="3.3509996615988433E-3"/>
    <n v="1.0285814887781219E-2"/>
    <n v="1.3636814549380061E-2"/>
    <n v="1.6199240686018264"/>
    <m/>
    <n v="0.17755996904823329"/>
    <n v="0.28190559440559421"/>
    <n v="6.2673602584114345"/>
    <n v="19.904518752217463"/>
    <n v="13.637158493806028"/>
    <n v="0.10434562535736092"/>
    <n v="0.28763366748142843"/>
    <n v="0.45666565745112642"/>
    <n v="0.16903198996969798"/>
    <n v="0.38870789864082023"/>
    <n v="0.35494595967644771"/>
    <n v="0.22910820439505142"/>
    <n v="0.12583775528139629"/>
    <n v="3.3761938964372518E-2"/>
    <n v="5.9795793369042682"/>
    <n v="161.80388480621073"/>
    <n v="0.16723584447291862"/>
    <n v="8.8230788367485685E-2"/>
    <n v="0.21289395869979394"/>
    <n v="0.3587078986408202"/>
    <n v="3.0000000000000027E-2"/>
    <n v="0.14581393994102626"/>
    <n v="5"/>
    <n v="152.4"/>
    <n v="4"/>
    <n v="121.92"/>
    <n v="102"/>
    <n v="20.756930209136357"/>
    <n v="17.005135912547839"/>
    <n v="22.631949386429518"/>
    <n v="18.863575473087934"/>
    <n v="14.226737722111872"/>
  </r>
  <r>
    <x v="8"/>
    <x v="4"/>
    <n v="7.7156855831258602"/>
    <n v="56.551247049025697"/>
    <n v="35.733067367848399"/>
    <n v="4.9390000000000003E-2"/>
    <n v="0.28914000000000001"/>
    <n v="4.5740000000000003E-2"/>
    <n v="0.24858"/>
    <n v="4.0560000000000013E-2"/>
    <n v="3.6500000000000005E-3"/>
    <n v="1.6518745663772201"/>
    <n v="1.6258059970445258"/>
    <n v="1.690292239037499"/>
    <n v="1.5741975873815074E-2"/>
    <n v="-3.8941180572315909E-2"/>
    <n v="-2.3199204698500831E-2"/>
    <n v="1.6559909341530819"/>
    <m/>
    <n v="0.20331514897188413"/>
    <m/>
    <n v="6.5469776139591414"/>
    <m/>
    <s v=""/>
    <s v=""/>
    <n v="0.3366880434734234"/>
    <s v=""/>
    <s v=""/>
    <n v="0.37509776069695022"/>
    <n v="0.34544981064518021"/>
    <n v="0.22235944658387707"/>
    <n v="0.12309036406130314"/>
    <n v="2.9647950051770011E-2"/>
    <n v="5.9420362427259432"/>
    <n v="173.60677407972992"/>
    <n v="0.16829247738503261"/>
    <n v="8.5728025266843019E-2"/>
    <n v="0.2214634459547723"/>
    <n v="0.3450977606969502"/>
    <n v="3.0000000000000027E-2"/>
    <n v="0.1236343147421779"/>
    <n v="5"/>
    <n v="152.4"/>
    <n v="4"/>
    <n v="121.92"/>
    <n v="102"/>
    <n v="20.756930209136357"/>
    <n v="17.005135912547839"/>
    <n v="22.631949386429518"/>
    <n v="18.863575473087934"/>
    <n v="14.226737722111872"/>
  </r>
  <r>
    <x v="9"/>
    <x v="0"/>
    <n v="7.9836665387286798"/>
    <n v="64.712489762072266"/>
    <n v="27.303843699199067"/>
    <n v="0.18057999999999999"/>
    <n v="2.1067999999999998"/>
    <n v="0.19185666666666668"/>
    <n v="2.2136"/>
    <n v="-0.10680000000000023"/>
    <n v="-1.1276666666666685E-2"/>
    <n v="1.1609141425118703"/>
    <n v="1.6714344911281358"/>
    <n v="1.1611979579110738"/>
    <n v="-0.38350899651178066"/>
    <n v="0.38329579098679389"/>
    <n v="-2.1320552498671957E-4"/>
    <n v="1.1610560502114722"/>
    <n v="1.1666388901434039"/>
    <n v="0.1058539005333004"/>
    <n v="0.25162295507660321"/>
    <n v="2.9456331512360863"/>
    <n v="58.578108027107511"/>
    <n v="55.632474875871424"/>
    <n v="0.1457690545433028"/>
    <n v="0.12290231165267182"/>
    <n v="0.29214835436377962"/>
    <n v="0.1692460427111078"/>
    <n v="0.56186564142963313"/>
    <n v="0.35026640857201224"/>
    <n v="0.17490163306643502"/>
    <n v="0.17536477550557722"/>
    <n v="0.21159923285762089"/>
    <n v="3.3787325373201802"/>
    <n v="43.900154065118102"/>
    <n v="0.29596897326272043"/>
    <n v="9.1175590246360738E-2"/>
    <n v="0.10386691753024579"/>
    <n v="0.28567543592173272"/>
    <n v="0.27619020550790041"/>
    <n v="0.18180851839148693"/>
    <n v="5"/>
    <n v="152.4"/>
    <n v="5"/>
    <n v="152.4"/>
    <n v="81"/>
    <n v="23.431142853174816"/>
    <n v="23.431142853174816"/>
    <n v="22.145996191579997"/>
    <n v="22.145996191579997"/>
    <n v="13.64306091736681"/>
  </r>
  <r>
    <x v="9"/>
    <x v="1"/>
    <n v="8.3929348945059594"/>
    <n v="65.817674914690599"/>
    <n v="25.789390190803399"/>
    <n v="9.6509999999999999E-2"/>
    <n v="0.76837999999999995"/>
    <n v="9.5490000000000005E-2"/>
    <n v="0.78525999999999996"/>
    <n v="-1.6880000000000006E-2"/>
    <n v="1.0199999999999931E-3"/>
    <n v="1.0981300848655016"/>
    <n v="1.0124789663505971"/>
    <n v="1.3092622684802417"/>
    <n v="7.5135387131328973E-2"/>
    <n v="-0.26034602567092802"/>
    <n v="-0.18521063853959907"/>
    <n v="1.0553045256080493"/>
    <n v="1.3180018724797586"/>
    <n v="8.2746669554857738E-2"/>
    <n v="0.24716553287981854"/>
    <n v="1.7311693300252409"/>
    <n v="22.424954277754978"/>
    <n v="20.693784947729736"/>
    <n v="0.16441886332496081"/>
    <n v="8.7322934860235166E-2"/>
    <n v="0.26083490542239762"/>
    <n v="0.17351197056216244"/>
    <n v="0.6017718771290379"/>
    <n v="0.34934248606572593"/>
    <n v="0.16954567478626492"/>
    <n v="0.17979681127946101"/>
    <n v="0.25242939106331197"/>
    <n v="3.2705621159482501"/>
    <n v="36.113783867172451"/>
    <n v="0.30575783750557667"/>
    <n v="8.827454762050943E-2"/>
    <n v="7.8740355284472541E-2"/>
    <n v="0.26730639609811818"/>
    <n v="0.33446548103091972"/>
    <n v="0.18856604081364564"/>
    <n v="5"/>
    <n v="152.4"/>
    <n v="5"/>
    <n v="152.4"/>
    <n v="81"/>
    <n v="23.431142853174816"/>
    <n v="23.431142853174816"/>
    <n v="22.145996191579997"/>
    <n v="22.145996191579997"/>
    <n v="13.64306091736681"/>
  </r>
  <r>
    <x v="9"/>
    <x v="2"/>
    <n v="8.5620895352612099"/>
    <n v="64.235745184826897"/>
    <n v="27.202165279911899"/>
    <n v="5.5599999999999997E-2"/>
    <n v="0.39391999999999999"/>
    <n v="7.9880000000000007E-2"/>
    <n v="0.41853000000000001"/>
    <n v="-2.4610000000000021E-2"/>
    <n v="-2.428000000000001E-2"/>
    <n v="1.5326522162700356"/>
    <n v="1.591011856107591"/>
    <n v="1.6093788598432852"/>
    <n v="-3.6990773593197281E-2"/>
    <n v="-1.1641772955823859E-2"/>
    <n v="-4.8632546549021133E-2"/>
    <n v="1.5776809774069704"/>
    <n v="1.4752963237600472"/>
    <n v="0.11855765665554312"/>
    <n v="0.20886942239255413"/>
    <n v="2.9339354836149454"/>
    <n v="36.676906641693876"/>
    <n v="33.74297115807893"/>
    <n v="9.031176573701101E-2"/>
    <n v="0.18704615963139729"/>
    <n v="0.32952931447071415"/>
    <n v="0.14248315483931687"/>
    <n v="0.40464868777095453"/>
    <n v="0.32784169727163731"/>
    <n v="0.17770473156160849"/>
    <n v="0.15013696571002882"/>
    <n v="7.6806990499317218E-2"/>
    <n v="4.032864232459227"/>
    <n v="110.03853284739149"/>
    <n v="0.24796272385053822"/>
    <n v="8.2465800349885848E-2"/>
    <n v="0.20285700023189618"/>
    <n v="0.3580431857755908"/>
    <n v="4.660550199536373E-2"/>
    <n v="0.15518618554369462"/>
    <n v="5"/>
    <n v="152.4"/>
    <n v="5"/>
    <n v="152.4"/>
    <n v="81"/>
    <n v="23.431142853174816"/>
    <n v="23.431142853174816"/>
    <n v="22.145996191579997"/>
    <n v="22.145996191579997"/>
    <n v="13.64306091736681"/>
  </r>
  <r>
    <x v="9"/>
    <x v="3"/>
    <n v="7.5896263677160496"/>
    <n v="63.935996772945799"/>
    <n v="28.4743768593382"/>
    <n v="5.3129999999999997E-2"/>
    <n v="0.34206999999999999"/>
    <n v="5.7910000000000003E-2"/>
    <n v="0.35460000000000003"/>
    <n v="-1.2530000000000041E-2"/>
    <n v="-4.7800000000000065E-3"/>
    <n v="1.626309523235459"/>
    <n v="1.6381172378173163"/>
    <n v="1.790656849437209"/>
    <n v="-7.0074298419247243E-3"/>
    <n v="-9.0526462096503599E-2"/>
    <n v="-9.7533891938428319E-2"/>
    <n v="1.6850278701633281"/>
    <m/>
    <n v="0.14167596631835216"/>
    <n v="0.19899371069182401"/>
    <n v="1.8308693608987783"/>
    <n v="23.320480856684085"/>
    <n v="21.489611495785308"/>
    <n v="5.7317744373471841E-2"/>
    <n v="0.23872795177874437"/>
    <n v="0.33530994850294171"/>
    <n v="9.6581996724197344E-2"/>
    <n v="0.36414042635346111"/>
    <n v="0.32132069958971321"/>
    <n v="0.1845435906325204"/>
    <n v="0.13677710895719281"/>
    <n v="4.2819726763747901E-2"/>
    <n v="4.5738657670781535"/>
    <n v="156.50320016673794"/>
    <n v="0.21863343852323269"/>
    <n v="7.9618747299952441E-2"/>
    <n v="0.22836262195080681"/>
    <n v="0.33414042635346108"/>
    <n v="3.0000000000000027E-2"/>
    <n v="0.10577780440265427"/>
    <n v="5"/>
    <n v="152.4"/>
    <n v="5"/>
    <n v="152.4"/>
    <n v="81"/>
    <n v="23.431142853174816"/>
    <n v="23.431142853174816"/>
    <n v="22.145996191579997"/>
    <n v="22.145996191579997"/>
    <n v="13.64306091736681"/>
  </r>
  <r>
    <x v="9"/>
    <x v="4"/>
    <n v="8.1105379564016395"/>
    <n v="60.266704952945602"/>
    <n v="31.622757090652801"/>
    <n v="5.1679999999999997E-2"/>
    <n v="0.41976999999999998"/>
    <n v="4.7059999999999998E-2"/>
    <n v="0.34117999999999998"/>
    <n v="7.8589999999999993E-2"/>
    <n v="4.6199999999999991E-3"/>
    <n v="1.7064011020802119"/>
    <n v="1.6291006949948268"/>
    <n v="1.7710080910308021"/>
    <n v="4.5412860512872619E-2"/>
    <n v="-8.3368523205942388E-2"/>
    <n v="-3.7955662693069769E-2"/>
    <n v="1.7021699627019469"/>
    <m/>
    <n v="0.14521310773184842"/>
    <m/>
    <n v="4.6495827434957357"/>
    <m/>
    <s v=""/>
    <s v=""/>
    <n v="0.24717739017175422"/>
    <s v=""/>
    <s v=""/>
    <n v="0.35767171218794458"/>
    <n v="0.32708098498116639"/>
    <n v="0.20041836384895056"/>
    <n v="0.12666262113221582"/>
    <n v="3.059072720677819E-2"/>
    <n v="5.2605085308290684"/>
    <n v="177.92065519047728"/>
    <n v="0.19009569020552422"/>
    <n v="8.1580917273289061E-2"/>
    <n v="0.23243558313798263"/>
    <n v="0.32767171218794455"/>
    <n v="3.0000000000000027E-2"/>
    <n v="9.5236129049961926E-2"/>
    <n v="5"/>
    <n v="152.4"/>
    <n v="5"/>
    <n v="152.4"/>
    <n v="81"/>
    <n v="23.431142853174816"/>
    <n v="23.431142853174816"/>
    <n v="22.145996191579997"/>
    <n v="22.145996191579997"/>
    <n v="13.64306091736681"/>
  </r>
  <r>
    <x v="10"/>
    <x v="0"/>
    <n v="8.6845126916507169"/>
    <n v="57.141449760873364"/>
    <n v="34.174037547475905"/>
    <n v="0.11212999999999999"/>
    <n v="1.2989999999999999"/>
    <n v="0.10831"/>
    <n v="1.2261666666666666"/>
    <n v="7.2833333333333306E-2"/>
    <n v="3.8199999999999901E-3"/>
    <n v="1.4062490281421764"/>
    <n v="1.5217275332686386"/>
    <n v="1.5362709239355952"/>
    <n v="-7.7602219974707412E-2"/>
    <n v="-9.7732422192279185E-3"/>
    <n v="-8.7375462193935341E-2"/>
    <n v="1.4880824951154701"/>
    <n v="1.3876874222154809"/>
    <n v="9.6935654301763013E-2"/>
    <n v="0.25662555759643141"/>
    <n v="5.4249832254050103"/>
    <n v="30.585121625408995"/>
    <n v="25.160138400003984"/>
    <n v="0.15968990329466839"/>
    <n v="0.14424825031901817"/>
    <n v="0.38188000005849643"/>
    <n v="0.23763174973947826"/>
    <n v="0.43845943580548297"/>
    <n v="0.36007307684754442"/>
    <n v="0.21028351089545311"/>
    <n v="0.14978956595209131"/>
    <n v="7.8386358957938551E-2"/>
    <n v="4.5956354359859475"/>
    <n v="100.50737307355756"/>
    <n v="0.21759776508152459"/>
    <n v="9.4569826470918467E-2"/>
    <n v="0.18156840083943571"/>
    <n v="0.34247992940155714"/>
    <n v="9.5979506403925829E-2"/>
    <n v="0.16091152856212143"/>
    <n v="5"/>
    <n v="152.4"/>
    <n v="5"/>
    <n v="152.4"/>
    <n v="86"/>
    <n v="21.333311740803694"/>
    <n v="21.333311740803694"/>
    <n v="23.054600339106404"/>
    <n v="23.054600339106404"/>
    <n v="13.102637669661004"/>
  </r>
  <r>
    <x v="10"/>
    <x v="1"/>
    <n v="8.1595654230805401"/>
    <n v="62.162761230816201"/>
    <n v="29.677673346103301"/>
    <n v="8.9969999999999994E-2"/>
    <n v="1.04"/>
    <n v="9.9919999999999995E-2"/>
    <n v="1.1084000000000001"/>
    <n v="-6.8400000000000016E-2"/>
    <n v="-9.9500000000000005E-3"/>
    <n v="1.3557285399538996"/>
    <n v="1.3100876486847963"/>
    <n v="1.5214834139052924"/>
    <n v="3.2699516825622589E-2"/>
    <n v="-0.15145496044185341"/>
    <n v="-0.11875544361623082"/>
    <n v="1.3957665341813295"/>
    <n v="1.3698561739616666"/>
    <m/>
    <n v="0.24482338611449447"/>
    <m/>
    <n v="32.069226442194221"/>
    <s v=""/>
    <s v=""/>
    <s v=""/>
    <n v="0.34171628912356539"/>
    <s v=""/>
    <n v="0.47329564747874353"/>
    <n v="0.34980897594734905"/>
    <n v="0.18724424809843548"/>
    <n v="0.16256472784891357"/>
    <n v="0.12348667153139448"/>
    <n v="3.8396041071859157"/>
    <n v="73.530933472778017"/>
    <n v="0.26044351763466311"/>
    <n v="9.1737262674288861E-2"/>
    <n v="0.1596341285214839"/>
    <n v="0.32644464698729692"/>
    <n v="0.14685100049144661"/>
    <n v="0.16681051846581302"/>
    <n v="5"/>
    <n v="152.4"/>
    <n v="5"/>
    <n v="152.4"/>
    <n v="86"/>
    <n v="21.333311740803694"/>
    <n v="21.333311740803694"/>
    <n v="23.054600339106404"/>
    <n v="23.054600339106404"/>
    <n v="13.102637669661004"/>
  </r>
  <r>
    <x v="10"/>
    <x v="2"/>
    <n v="9.7211941771526096"/>
    <n v="55.869320543890602"/>
    <n v="34.409485278956801"/>
    <n v="5.3719999999999997E-2"/>
    <n v="0.63783999999999996"/>
    <n v="6.1089999999999998E-2"/>
    <n v="0.56976000000000004"/>
    <n v="6.8079999999999918E-2"/>
    <n v="-7.3700000000000015E-3"/>
    <n v="1.5643237003166117"/>
    <n v="1.4970512674423657"/>
    <n v="1.5075109634829584"/>
    <n v="4.4172102709484608E-2"/>
    <n v="-6.8679955231993571E-3"/>
    <n v="3.7304107186285247E-2"/>
    <n v="1.5229619770806453"/>
    <n v="1.4524178006905872"/>
    <n v="0.15147625160462128"/>
    <n v="0.24909200968522993"/>
    <n v="6.1975138514644668"/>
    <n v="35.629487671809535"/>
    <n v="29.431973820345068"/>
    <n v="9.7615758080608656E-2"/>
    <n v="0.23069257162453929"/>
    <n v="0.379357659545209"/>
    <n v="0.14866508792066971"/>
    <n v="0.42529736713937916"/>
    <n v="0.3565764559448904"/>
    <n v="0.21186199382748813"/>
    <n v="0.14471446211740227"/>
    <n v="6.8720911194488754E-2"/>
    <n v="4.7772759135624661"/>
    <n v="108.87435588404644"/>
    <n v="0.20932431328930493"/>
    <n v="9.3550284253381286E-2"/>
    <n v="0.18985576575436136"/>
    <n v="0.34853849541890808"/>
    <n v="7.6758871720471078E-2"/>
    <n v="0.15868272966454672"/>
    <n v="5"/>
    <n v="152.4"/>
    <n v="5"/>
    <n v="152.4"/>
    <n v="86"/>
    <n v="21.333311740803694"/>
    <n v="21.333311740803694"/>
    <n v="23.054600339106404"/>
    <n v="23.054600339106404"/>
    <n v="13.102637669661004"/>
  </r>
  <r>
    <x v="10"/>
    <x v="3"/>
    <n v="8.0636744071551405"/>
    <n v="51.792894067449197"/>
    <n v="40.143431525395599"/>
    <n v="4.197E-2"/>
    <n v="0.28699999999999998"/>
    <n v="3.1539999999999999E-2"/>
    <n v="0.32416"/>
    <n v="-3.7160000000000026E-2"/>
    <n v="1.0430000000000002E-2"/>
    <n v="1.5376286243068222"/>
    <n v="1.6101554300370722"/>
    <n v="1.5728040637036453"/>
    <n v="-4.6091802917290363E-2"/>
    <n v="2.3737317511748235E-2"/>
    <n v="-2.2354485405542128E-2"/>
    <n v="1.5735293726825132"/>
    <m/>
    <n v="0.19697423606950254"/>
    <n v="0.27257525083612039"/>
    <n v="7.6039131137653939"/>
    <n v="21.517562555260305"/>
    <n v="13.913649441494911"/>
    <n v="7.5601014766617847E-2"/>
    <n v="0.30994474611706163"/>
    <n v="0.42890516345693919"/>
    <n v="0.11896041733987756"/>
    <n v="0.40621533106320251"/>
    <n v="0.36949217182666183"/>
    <n v="0.24376877807882119"/>
    <n v="0.12572339374784064"/>
    <n v="3.6723159236540681E-2"/>
    <n v="6.3217284677858299"/>
    <n v="150.37236426752909"/>
    <n v="0.15818458592389489"/>
    <n v="9.2103982710483909E-2"/>
    <n v="0.20187057894936516"/>
    <n v="0.35732205203495254"/>
    <n v="4.889327902824997E-2"/>
    <n v="0.15545147308558738"/>
    <n v="5"/>
    <n v="152.4"/>
    <n v="5"/>
    <n v="152.4"/>
    <n v="86"/>
    <n v="21.333311740803694"/>
    <n v="21.333311740803694"/>
    <n v="23.054600339106404"/>
    <n v="23.054600339106404"/>
    <n v="13.102637669661004"/>
  </r>
  <r>
    <x v="10"/>
    <x v="4"/>
    <n v="10.249794539162"/>
    <n v="53.0432761098984"/>
    <n v="36.706929350939603"/>
    <n v="3.6889999999999999E-2"/>
    <n v="0.26035999999999998"/>
    <n v="3.058E-2"/>
    <n v="0.23981"/>
    <n v="2.0549999999999985E-2"/>
    <n v="6.3099999999999996E-3"/>
    <n v="1.6883770962189937"/>
    <n v="1.6532199057871084"/>
    <m/>
    <n v="2.1042148655734911E-2"/>
    <s v=""/>
    <s v=""/>
    <n v="1.6707985010030511"/>
    <m/>
    <n v="0.20628387873920881"/>
    <m/>
    <n v="6.7124351300782621"/>
    <m/>
    <s v=""/>
    <s v=""/>
    <n v="0.34465879537856525"/>
    <s v=""/>
    <s v=""/>
    <n v="0.36950999962149012"/>
    <n v="0.34295655693839766"/>
    <n v="0.22583690408483936"/>
    <n v="0.1171196528535583"/>
    <n v="2.6553442683092454E-2"/>
    <n v="6.2726939144784257"/>
    <n v="178.07583487409855"/>
    <n v="0.15942113765376514"/>
    <n v="8.6010566095707924E-2"/>
    <n v="0.22498172383832493"/>
    <n v="0.33950999962149009"/>
    <n v="3.0000000000000027E-2"/>
    <n v="0.11452827578316516"/>
    <n v="5"/>
    <n v="152.4"/>
    <n v="5"/>
    <n v="152.4"/>
    <n v="86"/>
    <n v="21.333311740803694"/>
    <n v="21.333311740803694"/>
    <n v="23.054600339106404"/>
    <n v="23.054600339106404"/>
    <n v="13.102637669661004"/>
  </r>
  <r>
    <x v="11"/>
    <x v="0"/>
    <n v="11.037377573869799"/>
    <n v="66.6079323835677"/>
    <n v="22.354690042562499"/>
    <n v="0.11564000000000001"/>
    <n v="1.4797"/>
    <n v="0.11847666666666667"/>
    <n v="1.5859333333333332"/>
    <n v="-0.10623333333333318"/>
    <n v="-2.8366666666666679E-3"/>
    <n v="1.445159418681643"/>
    <n v="1.3265175027695333"/>
    <n v="1.2817006397131312"/>
    <n v="8.7809670420658195E-2"/>
    <n v="3.3170013683745316E-2"/>
    <n v="0.12097968410440352"/>
    <n v="1.3511258537214357"/>
    <n v="1.3288885126843084"/>
    <n v="9.034892885290545E-2"/>
    <n v="0.24265208475734798"/>
    <n v="4.1626316106100001"/>
    <n v="38.793128883614372"/>
    <n v="34.630497273004373"/>
    <n v="0.15230315590444254"/>
    <n v="0.12207277362919913"/>
    <n v="0.32785350517505796"/>
    <n v="0.20578073154585882"/>
    <n v="0.49014118727492995"/>
    <n v="0.31879821364678118"/>
    <n v="0.15402834999435969"/>
    <n v="0.16476986365242149"/>
    <n v="0.17134297362814876"/>
    <n v="3.2993760086326716"/>
    <n v="55.896103861641926"/>
    <n v="0.30308761334978013"/>
    <n v="7.8436712303349795E-2"/>
    <n v="0.14902750284421312"/>
    <n v="0.31869056079141339"/>
    <n v="0.17145062648351655"/>
    <n v="0.16966305794720027"/>
    <n v="5"/>
    <n v="152.4"/>
    <n v="5"/>
    <n v="152.4"/>
    <n v="76"/>
    <n v="21.693590313532969"/>
    <n v="21.693590313532969"/>
    <n v="22.037238108143949"/>
    <n v="22.037238108143949"/>
    <n v="11.768047358803793"/>
  </r>
  <r>
    <x v="11"/>
    <x v="1"/>
    <n v="8.8987042564571208"/>
    <n v="66.391759692196004"/>
    <n v="24.709536051346898"/>
    <n v="9.7320000000000004E-2"/>
    <n v="1.0694999999999999"/>
    <n v="8.2570000000000005E-2"/>
    <n v="1.3627"/>
    <n v="-0.29320000000000013"/>
    <n v="1.4749999999999999E-2"/>
    <n v="1.357785807244376"/>
    <n v="1.3651723119771104"/>
    <n v="1.3124856922449528"/>
    <n v="-5.4912210982193382E-3"/>
    <n v="3.9167899884358814E-2"/>
    <n v="3.3676678786139475E-2"/>
    <n v="1.3451479371554795"/>
    <n v="1.1775255303479537"/>
    <n v="0.12509032517061408"/>
    <n v="0.28644501278772383"/>
    <n v="3.1273660269350212"/>
    <n v="32.956968338210025"/>
    <n v="29.829602311275004"/>
    <n v="0.16135468761710975"/>
    <n v="0.16826499286135968"/>
    <n v="0.38531091805988166"/>
    <n v="0.21704592519852198"/>
    <n v="0.49239700484698878"/>
    <n v="0.33196309519817074"/>
    <n v="0.16495844514405897"/>
    <n v="0.16700465005411178"/>
    <n v="0.16043390964881804"/>
    <n v="3.4270976977123446"/>
    <n v="59.908190628574644"/>
    <n v="0.29179209004386414"/>
    <n v="8.3316157716382525E-2"/>
    <n v="0.14760714986814194"/>
    <n v="0.31765219668390682"/>
    <n v="0.17474480816308197"/>
    <n v="0.17004504681576488"/>
    <n v="5"/>
    <n v="152.4"/>
    <n v="5"/>
    <n v="152.4"/>
    <n v="76"/>
    <n v="21.693590313532969"/>
    <n v="21.693590313532969"/>
    <n v="22.037238108143949"/>
    <n v="22.037238108143949"/>
    <n v="11.768047358803793"/>
  </r>
  <r>
    <x v="11"/>
    <x v="2"/>
    <n v="7.7411830533954298"/>
    <n v="48.807946796642298"/>
    <n v="43.450870149962299"/>
    <n v="6.1199999999999997E-2"/>
    <n v="0.53725999999999996"/>
    <n v="6.4829999999999999E-2"/>
    <n v="0.76812000000000002"/>
    <n v="-0.23086000000000007"/>
    <n v="-3.6300000000000013E-3"/>
    <n v="1.5132163807387446"/>
    <n v="1.5481215515351761"/>
    <n v="1.4127585717464071"/>
    <n v="-2.3404839903475281E-2"/>
    <n v="9.0764456913569949E-2"/>
    <n v="6.7359617010094672E-2"/>
    <n v="1.4913655013401093"/>
    <n v="1.4228051919833602"/>
    <n v="0.18086060062752138"/>
    <n v="0.25524246395806027"/>
    <n v="2.841931304286001"/>
    <n v="27.060781676852876"/>
    <n v="24.218850372566877"/>
    <n v="7.4381863330538894E-2"/>
    <n v="0.26972926032753669"/>
    <n v="0.38065980522409731"/>
    <n v="0.11093054489656062"/>
    <n v="0.43722056553203426"/>
    <n v="0.39010610619895963"/>
    <n v="0.25735243468955366"/>
    <n v="0.13275367150940598"/>
    <n v="4.7114459333074621E-2"/>
    <n v="6.2922035393370557"/>
    <n v="128.71368701479082"/>
    <n v="0.15892683600399862"/>
    <n v="9.8202921563070519E-2"/>
    <n v="0.18234844311840998"/>
    <n v="0.343050187582777"/>
    <n v="9.4170377949257256E-2"/>
    <n v="0.16070174446436702"/>
    <n v="5"/>
    <n v="152.4"/>
    <n v="5"/>
    <n v="152.4"/>
    <n v="76"/>
    <n v="21.693590313532969"/>
    <n v="21.693590313532969"/>
    <n v="22.037238108143949"/>
    <n v="22.037238108143949"/>
    <n v="11.768047358803793"/>
  </r>
  <r>
    <x v="11"/>
    <x v="3"/>
    <n v="9.3935786826165604"/>
    <n v="55.811879207616599"/>
    <n v="34.794542109766802"/>
    <n v="3.8699999999999998E-2"/>
    <n v="0.26205000000000001"/>
    <n v="2.7740000000000001E-2"/>
    <n v="0.32119999999999999"/>
    <n v="-5.914999999999998E-2"/>
    <n v="1.0959999999999998E-2"/>
    <n v="1.5975397748885036"/>
    <n v="1.6576151343102778"/>
    <n v="1.7213733979607677"/>
    <n v="-3.621522216723614E-2"/>
    <n v="-3.8435386909442384E-2"/>
    <n v="-7.4650609076678531E-2"/>
    <n v="1.6588427690531831"/>
    <m/>
    <n v="0.17941728754012964"/>
    <n v="0.25388457269700332"/>
    <n v="4.6518560007839795"/>
    <n v="18.564726872472225"/>
    <n v="13.912870871688245"/>
    <n v="7.4467285156873675E-2"/>
    <n v="0.29762507007907985"/>
    <n v="0.42115458759258112"/>
    <n v="0.12352951751350127"/>
    <n v="0.37402159658370449"/>
    <n v="0.34111964342027001"/>
    <n v="0.21639500137956302"/>
    <n v="0.12472464204070699"/>
    <n v="3.2901953163434472E-2"/>
    <n v="5.6837902677073489"/>
    <n v="165.57085592743724"/>
    <n v="0.17593893386276666"/>
    <n v="8.6091722586571814E-2"/>
    <n v="0.22214104192703632"/>
    <n v="0.34402159658370446"/>
    <n v="3.0000000000000027E-2"/>
    <n v="0.12188055465666814"/>
    <n v="5"/>
    <n v="152.4"/>
    <n v="5"/>
    <n v="152.4"/>
    <n v="76"/>
    <n v="21.693590313532969"/>
    <n v="21.693590313532969"/>
    <n v="22.037238108143949"/>
    <n v="22.037238108143949"/>
    <n v="11.768047358803793"/>
  </r>
  <r>
    <x v="11"/>
    <x v="4"/>
    <n v="11.812121232093601"/>
    <n v="54.934734108636803"/>
    <n v="33.253144659269601"/>
    <n v="3.8100000000000002E-2"/>
    <n v="0.24238999999999999"/>
    <n v="2.8420000000000001E-2"/>
    <n v="0.25029000000000001"/>
    <n v="-7.9000000000000181E-3"/>
    <n v="9.6800000000000011E-3"/>
    <n v="1.6951101205394183"/>
    <n v="1.6629680797642237"/>
    <n v="1.7216983386682638"/>
    <n v="1.8982355146098542E-2"/>
    <n v="-3.4684749488563066E-2"/>
    <n v="-1.570239434246452E-2"/>
    <n v="1.6932588463239686"/>
    <m/>
    <n v="0.20415165551552591"/>
    <m/>
    <n v="4.084071913528601"/>
    <m/>
    <s v=""/>
    <s v=""/>
    <n v="0.34568159669334769"/>
    <s v=""/>
    <s v=""/>
    <n v="0.36103439761359668"/>
    <n v="0.32912869400489142"/>
    <n v="0.20664955559444537"/>
    <n v="0.12247913841044605"/>
    <n v="3.190570360870526E-2"/>
    <n v="5.4910228085089248"/>
    <n v="168.26786995899855"/>
    <n v="0.18211543365844218"/>
    <n v="8.4643071378066564E-2"/>
    <n v="0.23031830188657498"/>
    <n v="0.33103439761359665"/>
    <n v="3.0000000000000027E-2"/>
    <n v="0.10071609572702167"/>
    <n v="5"/>
    <n v="152.4"/>
    <n v="5"/>
    <n v="152.4"/>
    <n v="76"/>
    <n v="21.693590313532969"/>
    <n v="21.693590313532969"/>
    <n v="22.037238108143949"/>
    <n v="22.037238108143949"/>
    <n v="11.7680473588037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J4:N42" firstHeaderRow="1" firstDataRow="2" firstDataCol="1" rowPageCount="1" colPageCount="1"/>
  <pivotFields count="6">
    <pivotField axis="axisPage" showAll="0">
      <items count="5">
        <item x="0"/>
        <item x="1"/>
        <item x="2"/>
        <item x="3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showAll="0"/>
    <pivotField showAll="0"/>
  </pivotFields>
  <rowFields count="1">
    <field x="2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item="1" hier="-1"/>
  </pageFields>
  <dataFields count="1">
    <dataField name="Sum of Ec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2:Y16" firstHeaderRow="1" firstDataRow="2" firstDataCol="1"/>
  <pivotFields count="6">
    <pivotField showAll="0"/>
    <pivotField axis="axisCol" numFmtId="14" showAll="0">
      <items count="16">
        <item h="1"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LAI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showError="1" updatedVersion="4" minRefreshableVersion="3" useAutoFormatting="1" rowGrandTotals="0" colGrandTotals="0" itemPrintTitles="1" createdVersion="4" indent="0" compact="0" compactData="0" multipleFieldFilters="0">
  <location ref="BH5:BL53" firstHeaderRow="0" firstDataRow="1" firstDataCol="2"/>
  <pivotFields count="51"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5">
        <item x="0"/>
        <item x="1"/>
        <item x="2"/>
        <item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4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C-2011" fld="8" subtotal="average" baseField="1" baseItem="3"/>
    <dataField name="Average of clay" fld="4" subtotal="average" baseField="0" baseItem="1"/>
    <dataField name="Average of AWC" fld="31" subtotal="average" baseField="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9"/>
  <sheetViews>
    <sheetView topLeftCell="A25" workbookViewId="0">
      <selection activeCell="Q48" sqref="Q48"/>
    </sheetView>
  </sheetViews>
  <sheetFormatPr defaultRowHeight="15" x14ac:dyDescent="0.25"/>
  <cols>
    <col min="1" max="1" width="13.140625" style="36" bestFit="1" customWidth="1"/>
    <col min="2" max="6" width="9.140625" style="36"/>
    <col min="7" max="7" width="7.28515625" style="36" customWidth="1"/>
    <col min="8" max="9" width="9.140625" style="36"/>
    <col min="10" max="11" width="9.140625" style="38"/>
    <col min="12" max="12" width="10.85546875" style="36" customWidth="1"/>
    <col min="13" max="16384" width="9.140625" style="36"/>
  </cols>
  <sheetData>
    <row r="1" spans="1:51" x14ac:dyDescent="0.25">
      <c r="B1" s="37" t="s">
        <v>223</v>
      </c>
      <c r="C1" s="37"/>
      <c r="AH1" s="36">
        <v>0.22850000000000001</v>
      </c>
      <c r="AI1" s="36">
        <v>0.13719999999999999</v>
      </c>
      <c r="AM1" s="39"/>
      <c r="AN1" s="39"/>
      <c r="AO1" s="39">
        <v>0.23760000000000001</v>
      </c>
      <c r="AP1" s="39">
        <v>0.17369999999999999</v>
      </c>
      <c r="AQ1" s="39"/>
    </row>
    <row r="2" spans="1:51" x14ac:dyDescent="0.25">
      <c r="AH2" s="36">
        <v>-0.157</v>
      </c>
      <c r="AI2" s="36">
        <v>0.1454</v>
      </c>
      <c r="AM2" s="39"/>
      <c r="AN2" s="39"/>
      <c r="AO2" s="39">
        <v>-0.17199999999999999</v>
      </c>
      <c r="AP2" s="39">
        <v>8.4000000000000005E-2</v>
      </c>
      <c r="AQ2" s="39"/>
    </row>
    <row r="3" spans="1:51" ht="63.75" x14ac:dyDescent="0.2">
      <c r="A3" s="36" t="s">
        <v>224</v>
      </c>
      <c r="B3" s="40" t="s">
        <v>225</v>
      </c>
      <c r="C3" s="40" t="s">
        <v>226</v>
      </c>
      <c r="D3" s="40" t="s">
        <v>227</v>
      </c>
      <c r="E3" s="40" t="s">
        <v>228</v>
      </c>
      <c r="F3" s="40" t="s">
        <v>229</v>
      </c>
      <c r="G3" s="40" t="s">
        <v>230</v>
      </c>
      <c r="H3" s="40" t="s">
        <v>231</v>
      </c>
      <c r="I3" s="40" t="s">
        <v>232</v>
      </c>
      <c r="J3" s="41" t="s">
        <v>233</v>
      </c>
      <c r="K3" s="41" t="s">
        <v>233</v>
      </c>
      <c r="L3" s="40" t="s">
        <v>234</v>
      </c>
      <c r="M3" s="40" t="s">
        <v>235</v>
      </c>
      <c r="Z3" s="36" t="s">
        <v>236</v>
      </c>
      <c r="AF3" s="36" t="s">
        <v>237</v>
      </c>
      <c r="AM3" s="39" t="s">
        <v>238</v>
      </c>
      <c r="AN3" s="39"/>
      <c r="AO3" s="39"/>
      <c r="AP3" s="39"/>
      <c r="AQ3" s="39"/>
    </row>
    <row r="4" spans="1:51" x14ac:dyDescent="0.25">
      <c r="A4" s="36">
        <v>0</v>
      </c>
      <c r="B4" s="38">
        <v>0.2989</v>
      </c>
      <c r="C4" s="42"/>
      <c r="D4" s="42">
        <f>F4*0.2651-0.2092+F4</f>
        <v>1.2077120000000001</v>
      </c>
      <c r="E4" s="43">
        <f>1-D4/2.65</f>
        <v>0.5442596226415094</v>
      </c>
      <c r="F4" s="36">
        <v>1.1200000000000001</v>
      </c>
      <c r="G4" s="44">
        <f>IFERROR(IF(OR(E4="",B4=""),"",E4-B4),"")</f>
        <v>0.2453596226415094</v>
      </c>
      <c r="H4" s="43">
        <f t="shared" ref="H4:H10" si="0">1-F4/2.65</f>
        <v>0.57735849056603761</v>
      </c>
      <c r="I4" s="44">
        <f>IFERROR(IF(OR(B4="",H4=""),"",H4-B4),"")</f>
        <v>0.27845849056603761</v>
      </c>
      <c r="J4" s="38">
        <v>0.1363</v>
      </c>
      <c r="K4" s="38">
        <v>0.1363</v>
      </c>
      <c r="L4" s="45">
        <f>IF(J4="","",H4-J4)</f>
        <v>0.44105849056603763</v>
      </c>
      <c r="M4" s="37"/>
      <c r="N4" s="45">
        <f>L4-I4</f>
        <v>0.16260000000000002</v>
      </c>
      <c r="AA4" s="36" t="s">
        <v>50</v>
      </c>
      <c r="AB4" s="36" t="s">
        <v>233</v>
      </c>
      <c r="AC4" s="36" t="s">
        <v>239</v>
      </c>
      <c r="AD4" s="36" t="s">
        <v>240</v>
      </c>
      <c r="AF4" s="36" t="s">
        <v>241</v>
      </c>
      <c r="AG4" s="36" t="s">
        <v>50</v>
      </c>
      <c r="AH4" s="36" t="s">
        <v>233</v>
      </c>
      <c r="AI4" s="36" t="s">
        <v>239</v>
      </c>
      <c r="AJ4" s="36" t="s">
        <v>240</v>
      </c>
      <c r="AM4" s="39" t="s">
        <v>241</v>
      </c>
      <c r="AN4" s="39" t="s">
        <v>50</v>
      </c>
      <c r="AO4" s="39" t="s">
        <v>233</v>
      </c>
      <c r="AP4" s="39" t="s">
        <v>239</v>
      </c>
      <c r="AQ4" s="39" t="s">
        <v>240</v>
      </c>
    </row>
    <row r="5" spans="1:51" x14ac:dyDescent="0.25">
      <c r="A5" s="36">
        <v>8</v>
      </c>
      <c r="B5" s="38">
        <v>0.36979999999999996</v>
      </c>
      <c r="C5" s="36">
        <v>1.4</v>
      </c>
      <c r="D5" s="36">
        <v>1.4</v>
      </c>
      <c r="E5" s="43">
        <f t="shared" ref="E5:E10" si="1">1-D5/2.65</f>
        <v>0.47169811320754718</v>
      </c>
      <c r="F5" s="36">
        <v>1.26</v>
      </c>
      <c r="G5" s="44">
        <f t="shared" ref="G5:G59" si="2">IFERROR(IF(OR(E5="",B5=""),"",E5-B5),"")</f>
        <v>0.10189811320754721</v>
      </c>
      <c r="H5" s="43">
        <f t="shared" si="0"/>
        <v>0.52452830188679245</v>
      </c>
      <c r="I5" s="44">
        <f t="shared" ref="I5:I59" si="3">IFERROR(IF(OR(B5="",H5=""),"",H5-B5),"")</f>
        <v>0.15472830188679249</v>
      </c>
      <c r="J5" s="38">
        <v>0.19789999999999999</v>
      </c>
      <c r="K5" s="38">
        <v>0.19789999999999999</v>
      </c>
      <c r="L5" s="45">
        <f t="shared" ref="L5:L53" si="4">IF(J5="","",H5-J5)</f>
        <v>0.32662830188679248</v>
      </c>
      <c r="M5" s="37">
        <f>AVERAGE(0.58,1.68)</f>
        <v>1.1299999999999999</v>
      </c>
      <c r="N5" s="45">
        <f t="shared" ref="N5:N59" si="5">L5-I5</f>
        <v>0.1719</v>
      </c>
      <c r="O5" s="36">
        <f>M5*2.54*10000/3600</f>
        <v>7.9727777777777771</v>
      </c>
      <c r="Z5" s="36">
        <v>1</v>
      </c>
      <c r="AA5" s="36">
        <f>1-Z5/2.65</f>
        <v>0.62264150943396224</v>
      </c>
      <c r="AB5" s="36">
        <f>Z5*0.2933-0.2118</f>
        <v>8.1500000000000017E-2</v>
      </c>
      <c r="AC5" s="36">
        <f>MIN(0.2417*Z5+0.0174,AA5-0.03)</f>
        <v>0.2591</v>
      </c>
      <c r="AD5" s="36">
        <f>AC5-AB5</f>
        <v>0.17759999999999998</v>
      </c>
      <c r="AF5" s="36">
        <v>1</v>
      </c>
      <c r="AG5" s="36">
        <f>1-AF5/2.65</f>
        <v>0.62264150943396224</v>
      </c>
      <c r="AH5" s="36">
        <f>AF5*0.2285-0.157</f>
        <v>7.1500000000000008E-2</v>
      </c>
      <c r="AI5" s="36">
        <f>MIN(AG5-0.03,0.1372*AF5+0.1454)</f>
        <v>0.28259999999999996</v>
      </c>
      <c r="AJ5" s="36">
        <f>AI5-AH5</f>
        <v>0.21109999999999995</v>
      </c>
      <c r="AM5" s="39">
        <v>1</v>
      </c>
      <c r="AN5" s="39">
        <f>1-AM5/2.65</f>
        <v>0.62264150943396224</v>
      </c>
      <c r="AO5" s="39">
        <f>AM5*AO$1+AO$2</f>
        <v>6.5600000000000019E-2</v>
      </c>
      <c r="AP5" s="39">
        <f>MIN(AN5-0.03,AP$1*AM5+AP$2)</f>
        <v>0.25769999999999998</v>
      </c>
      <c r="AQ5" s="39">
        <f>AP5-AO5</f>
        <v>0.19209999999999997</v>
      </c>
      <c r="AW5" s="36">
        <v>1.24</v>
      </c>
      <c r="AX5" s="36">
        <v>1.37</v>
      </c>
      <c r="AY5" s="36">
        <f>AX5-AW5</f>
        <v>0.13000000000000012</v>
      </c>
    </row>
    <row r="6" spans="1:51" x14ac:dyDescent="0.25">
      <c r="A6" s="36">
        <v>24</v>
      </c>
      <c r="B6" s="38">
        <v>0.40509999999999996</v>
      </c>
      <c r="C6" s="36">
        <v>1.47</v>
      </c>
      <c r="D6" s="36">
        <v>1.47</v>
      </c>
      <c r="E6" s="43">
        <f t="shared" si="1"/>
        <v>0.44528301886792454</v>
      </c>
      <c r="F6" s="36">
        <v>1.37</v>
      </c>
      <c r="G6" s="44">
        <f t="shared" si="2"/>
        <v>4.018301886792458E-2</v>
      </c>
      <c r="H6" s="43">
        <f t="shared" si="0"/>
        <v>0.48301886792452819</v>
      </c>
      <c r="I6" s="44">
        <f t="shared" si="3"/>
        <v>7.7918867924528235E-2</v>
      </c>
      <c r="J6" s="38">
        <v>0.17760000000000001</v>
      </c>
      <c r="K6" s="38">
        <v>0.17760000000000001</v>
      </c>
      <c r="L6" s="45">
        <f t="shared" si="4"/>
        <v>0.30541886792452821</v>
      </c>
      <c r="M6" s="37">
        <v>0.38</v>
      </c>
      <c r="N6" s="45">
        <f t="shared" si="5"/>
        <v>0.22749999999999998</v>
      </c>
      <c r="O6" s="36">
        <f t="shared" ref="O6:O59" si="6">M6*2.54*10000/3600</f>
        <v>2.681111111111111</v>
      </c>
      <c r="Z6" s="36">
        <v>1.1000000000000001</v>
      </c>
      <c r="AA6" s="36">
        <f t="shared" ref="AA6:AA12" si="7">1-Z6/2.65</f>
        <v>0.58490566037735836</v>
      </c>
      <c r="AB6" s="36">
        <f t="shared" ref="AB6:AB12" si="8">Z6*0.2933-0.2118</f>
        <v>0.11083000000000004</v>
      </c>
      <c r="AC6" s="36">
        <f t="shared" ref="AC6:AC12" si="9">MIN(0.2417*Z6+0.0174,AA6-0.03)</f>
        <v>0.28327000000000002</v>
      </c>
      <c r="AD6" s="36">
        <f t="shared" ref="AD6:AD12" si="10">AC6-AB6</f>
        <v>0.17243999999999998</v>
      </c>
      <c r="AF6" s="36">
        <v>1.1000000000000001</v>
      </c>
      <c r="AG6" s="36">
        <f t="shared" ref="AG6:AG12" si="11">1-AF6/2.65</f>
        <v>0.58490566037735836</v>
      </c>
      <c r="AH6" s="36">
        <f t="shared" ref="AH6:AH12" si="12">AF6*0.2285-0.157</f>
        <v>9.4350000000000017E-2</v>
      </c>
      <c r="AI6" s="36">
        <f t="shared" ref="AI6:AI12" si="13">MIN(AG6-0.03,0.1372*AF6+0.1454)</f>
        <v>0.29632000000000003</v>
      </c>
      <c r="AJ6" s="36">
        <f t="shared" ref="AJ6:AJ12" si="14">AI6-AH6</f>
        <v>0.20197000000000001</v>
      </c>
      <c r="AM6" s="39">
        <v>1.1000000000000001</v>
      </c>
      <c r="AN6" s="39">
        <f t="shared" ref="AN6:AN12" si="15">1-AM6/2.65</f>
        <v>0.58490566037735836</v>
      </c>
      <c r="AO6" s="39">
        <f t="shared" ref="AO6:AO12" si="16">AM6*AO$1+AO$2</f>
        <v>8.9360000000000051E-2</v>
      </c>
      <c r="AP6" s="39">
        <f t="shared" ref="AP6:AP12" si="17">MIN(AN6-0.03,AP$1*AM6+AP$2)</f>
        <v>0.27507000000000004</v>
      </c>
      <c r="AQ6" s="39">
        <f t="shared" ref="AQ6:AQ12" si="18">AP6-AO6</f>
        <v>0.18570999999999999</v>
      </c>
      <c r="AW6" s="36">
        <v>1.26</v>
      </c>
      <c r="AX6" s="36">
        <v>1.4</v>
      </c>
      <c r="AY6" s="36">
        <f>AX6-AW6</f>
        <v>0.1399999999999999</v>
      </c>
    </row>
    <row r="7" spans="1:51" s="37" customFormat="1" x14ac:dyDescent="0.25">
      <c r="A7" s="37">
        <v>29</v>
      </c>
      <c r="B7" s="46">
        <v>0.35590000000000005</v>
      </c>
      <c r="C7" s="37">
        <v>1.5</v>
      </c>
      <c r="D7" s="37">
        <v>1.5</v>
      </c>
      <c r="E7" s="47">
        <f t="shared" si="1"/>
        <v>0.43396226415094341</v>
      </c>
      <c r="F7" s="37">
        <v>1.43</v>
      </c>
      <c r="G7" s="44">
        <f t="shared" si="2"/>
        <v>7.8062264150943361E-2</v>
      </c>
      <c r="H7" s="47">
        <f t="shared" si="0"/>
        <v>0.46037735849056605</v>
      </c>
      <c r="I7" s="44">
        <f t="shared" si="3"/>
        <v>0.104477358490566</v>
      </c>
      <c r="J7" s="38">
        <v>7.85E-2</v>
      </c>
      <c r="K7" s="38"/>
      <c r="L7" s="45">
        <f t="shared" si="4"/>
        <v>0.38187735849056603</v>
      </c>
      <c r="M7" s="37">
        <v>0.18</v>
      </c>
      <c r="N7" s="45">
        <f t="shared" si="5"/>
        <v>0.27740000000000004</v>
      </c>
      <c r="O7" s="36">
        <f t="shared" si="6"/>
        <v>1.27</v>
      </c>
      <c r="Z7" s="36">
        <v>1.2</v>
      </c>
      <c r="AA7" s="36">
        <f t="shared" si="7"/>
        <v>0.54716981132075471</v>
      </c>
      <c r="AB7" s="36">
        <f t="shared" si="8"/>
        <v>0.14016000000000001</v>
      </c>
      <c r="AC7" s="36">
        <f t="shared" si="9"/>
        <v>0.30743999999999994</v>
      </c>
      <c r="AD7" s="36">
        <f t="shared" si="10"/>
        <v>0.16727999999999993</v>
      </c>
      <c r="AF7" s="36">
        <v>1.2</v>
      </c>
      <c r="AG7" s="36">
        <f t="shared" si="11"/>
        <v>0.54716981132075471</v>
      </c>
      <c r="AH7" s="36">
        <f t="shared" si="12"/>
        <v>0.1172</v>
      </c>
      <c r="AI7" s="36">
        <f t="shared" si="13"/>
        <v>0.31003999999999998</v>
      </c>
      <c r="AJ7" s="36">
        <f t="shared" si="14"/>
        <v>0.19283999999999998</v>
      </c>
      <c r="AM7" s="39">
        <v>1.2</v>
      </c>
      <c r="AN7" s="39">
        <f t="shared" si="15"/>
        <v>0.54716981132075471</v>
      </c>
      <c r="AO7" s="39">
        <f t="shared" si="16"/>
        <v>0.11312</v>
      </c>
      <c r="AP7" s="39">
        <f t="shared" si="17"/>
        <v>0.29243999999999998</v>
      </c>
      <c r="AQ7" s="39">
        <f t="shared" si="18"/>
        <v>0.17931999999999998</v>
      </c>
      <c r="AW7" s="36">
        <v>1.26</v>
      </c>
      <c r="AX7" s="36">
        <v>1.37</v>
      </c>
      <c r="AY7" s="36">
        <f t="shared" ref="AY7:AY38" si="19">AX7-AW7</f>
        <v>0.1100000000000001</v>
      </c>
    </row>
    <row r="8" spans="1:51" x14ac:dyDescent="0.25">
      <c r="A8" s="36">
        <v>34</v>
      </c>
      <c r="B8" s="38">
        <v>0.39789999999999998</v>
      </c>
      <c r="C8" s="36">
        <v>1.66</v>
      </c>
      <c r="D8" s="36">
        <v>1.66</v>
      </c>
      <c r="E8" s="43">
        <f t="shared" si="1"/>
        <v>0.37358490566037739</v>
      </c>
      <c r="F8" s="36">
        <v>1.47</v>
      </c>
      <c r="G8" s="44">
        <f t="shared" si="2"/>
        <v>-2.4315094339622589E-2</v>
      </c>
      <c r="H8" s="43">
        <f t="shared" si="0"/>
        <v>0.44528301886792454</v>
      </c>
      <c r="I8" s="44">
        <f t="shared" si="3"/>
        <v>4.7383018867924565E-2</v>
      </c>
      <c r="J8" s="38">
        <v>0.27149999999999996</v>
      </c>
      <c r="K8" s="38">
        <v>0.27149999999999996</v>
      </c>
      <c r="L8" s="45">
        <f t="shared" si="4"/>
        <v>0.17378301886792458</v>
      </c>
      <c r="M8" s="37">
        <v>0</v>
      </c>
      <c r="N8" s="45">
        <f t="shared" si="5"/>
        <v>0.12640000000000001</v>
      </c>
      <c r="O8" s="36">
        <f t="shared" si="6"/>
        <v>0</v>
      </c>
      <c r="Z8" s="36">
        <v>1.3</v>
      </c>
      <c r="AA8" s="36">
        <f t="shared" si="7"/>
        <v>0.50943396226415083</v>
      </c>
      <c r="AB8" s="36">
        <f t="shared" si="8"/>
        <v>0.16949000000000003</v>
      </c>
      <c r="AC8" s="36">
        <f t="shared" si="9"/>
        <v>0.33160999999999996</v>
      </c>
      <c r="AD8" s="36">
        <f t="shared" si="10"/>
        <v>0.16211999999999993</v>
      </c>
      <c r="AF8" s="36">
        <v>1.3</v>
      </c>
      <c r="AG8" s="36">
        <f t="shared" si="11"/>
        <v>0.50943396226415083</v>
      </c>
      <c r="AH8" s="36">
        <f t="shared" si="12"/>
        <v>0.14005000000000004</v>
      </c>
      <c r="AI8" s="36">
        <f t="shared" si="13"/>
        <v>0.32375999999999999</v>
      </c>
      <c r="AJ8" s="36">
        <f t="shared" si="14"/>
        <v>0.18370999999999996</v>
      </c>
      <c r="AM8" s="39">
        <v>1.3</v>
      </c>
      <c r="AN8" s="39">
        <f t="shared" si="15"/>
        <v>0.50943396226415083</v>
      </c>
      <c r="AO8" s="39">
        <f t="shared" si="16"/>
        <v>0.13688000000000006</v>
      </c>
      <c r="AP8" s="39">
        <f t="shared" si="17"/>
        <v>0.30981000000000003</v>
      </c>
      <c r="AQ8" s="39">
        <f t="shared" si="18"/>
        <v>0.17292999999999997</v>
      </c>
      <c r="AW8" s="36">
        <v>1.27</v>
      </c>
      <c r="AX8" s="36">
        <v>1.4</v>
      </c>
      <c r="AY8" s="36">
        <f t="shared" si="19"/>
        <v>0.12999999999999989</v>
      </c>
    </row>
    <row r="9" spans="1:51" x14ac:dyDescent="0.25">
      <c r="A9" s="36">
        <v>38</v>
      </c>
      <c r="B9" s="38">
        <v>0.39909999999999995</v>
      </c>
      <c r="C9" s="36">
        <v>1.71</v>
      </c>
      <c r="D9" s="36">
        <v>1.71</v>
      </c>
      <c r="E9" s="43">
        <f t="shared" si="1"/>
        <v>0.3547169811320755</v>
      </c>
      <c r="F9" s="36">
        <v>1.54</v>
      </c>
      <c r="G9" s="44">
        <f t="shared" si="2"/>
        <v>-4.4383018867924451E-2</v>
      </c>
      <c r="H9" s="43">
        <f t="shared" si="0"/>
        <v>0.4188679245283019</v>
      </c>
      <c r="I9" s="44">
        <f t="shared" si="3"/>
        <v>1.976792452830195E-2</v>
      </c>
      <c r="J9" s="38">
        <v>0.309</v>
      </c>
      <c r="L9" s="45">
        <f t="shared" si="4"/>
        <v>0.10986792452830191</v>
      </c>
      <c r="M9" s="37">
        <v>7.0000000000000007E-2</v>
      </c>
      <c r="N9" s="45">
        <f t="shared" si="5"/>
        <v>9.0099999999999958E-2</v>
      </c>
      <c r="O9" s="36">
        <f t="shared" si="6"/>
        <v>0.49388888888888893</v>
      </c>
      <c r="Z9" s="36">
        <v>1.4</v>
      </c>
      <c r="AA9" s="36">
        <f t="shared" si="7"/>
        <v>0.47169811320754718</v>
      </c>
      <c r="AB9" s="36">
        <f t="shared" si="8"/>
        <v>0.19882</v>
      </c>
      <c r="AC9" s="36">
        <f t="shared" si="9"/>
        <v>0.35577999999999999</v>
      </c>
      <c r="AD9" s="36">
        <f t="shared" si="10"/>
        <v>0.15695999999999999</v>
      </c>
      <c r="AF9" s="36">
        <v>1.4</v>
      </c>
      <c r="AG9" s="36">
        <f t="shared" si="11"/>
        <v>0.47169811320754718</v>
      </c>
      <c r="AH9" s="36">
        <f t="shared" si="12"/>
        <v>0.16290000000000002</v>
      </c>
      <c r="AI9" s="36">
        <f t="shared" si="13"/>
        <v>0.33748</v>
      </c>
      <c r="AJ9" s="36">
        <f t="shared" si="14"/>
        <v>0.17457999999999999</v>
      </c>
      <c r="AK9" s="48"/>
      <c r="AM9" s="39">
        <v>1.4</v>
      </c>
      <c r="AN9" s="39">
        <f t="shared" si="15"/>
        <v>0.47169811320754718</v>
      </c>
      <c r="AO9" s="39">
        <f t="shared" si="16"/>
        <v>0.16064000000000001</v>
      </c>
      <c r="AP9" s="39">
        <f t="shared" si="17"/>
        <v>0.32717999999999997</v>
      </c>
      <c r="AQ9" s="39">
        <f t="shared" si="18"/>
        <v>0.16653999999999997</v>
      </c>
      <c r="AR9" s="48"/>
      <c r="AW9" s="36">
        <v>1.27</v>
      </c>
      <c r="AX9" s="36">
        <v>1.43</v>
      </c>
      <c r="AY9" s="36">
        <f t="shared" si="19"/>
        <v>0.15999999999999992</v>
      </c>
    </row>
    <row r="10" spans="1:51" x14ac:dyDescent="0.25">
      <c r="A10" s="36">
        <v>51</v>
      </c>
      <c r="B10" s="38">
        <v>0.32350000000000001</v>
      </c>
      <c r="C10" s="36">
        <v>1.66</v>
      </c>
      <c r="D10" s="36">
        <v>1.66</v>
      </c>
      <c r="E10" s="43">
        <f t="shared" si="1"/>
        <v>0.37358490566037739</v>
      </c>
      <c r="F10" s="36">
        <v>1.46</v>
      </c>
      <c r="G10" s="44">
        <f t="shared" si="2"/>
        <v>5.0084905660377377E-2</v>
      </c>
      <c r="H10" s="43">
        <f t="shared" si="0"/>
        <v>0.44905660377358492</v>
      </c>
      <c r="I10" s="44">
        <f t="shared" si="3"/>
        <v>0.12555660377358491</v>
      </c>
      <c r="J10" s="38">
        <v>0.27399999999999997</v>
      </c>
      <c r="K10" s="38">
        <v>0.27399999999999997</v>
      </c>
      <c r="L10" s="45">
        <f t="shared" si="4"/>
        <v>0.17505660377358495</v>
      </c>
      <c r="M10" s="37">
        <v>0.12</v>
      </c>
      <c r="N10" s="45">
        <f t="shared" si="5"/>
        <v>4.9500000000000044E-2</v>
      </c>
      <c r="O10" s="36">
        <f t="shared" si="6"/>
        <v>0.84666666666666668</v>
      </c>
      <c r="Z10" s="36">
        <v>1.5</v>
      </c>
      <c r="AA10" s="36">
        <f t="shared" si="7"/>
        <v>0.43396226415094341</v>
      </c>
      <c r="AB10" s="36">
        <f t="shared" si="8"/>
        <v>0.22815000000000002</v>
      </c>
      <c r="AC10" s="36">
        <f t="shared" si="9"/>
        <v>0.37995000000000001</v>
      </c>
      <c r="AD10" s="36">
        <f t="shared" si="10"/>
        <v>0.15179999999999999</v>
      </c>
      <c r="AF10" s="36">
        <v>1.5</v>
      </c>
      <c r="AG10" s="36">
        <f t="shared" si="11"/>
        <v>0.43396226415094341</v>
      </c>
      <c r="AH10" s="36">
        <f t="shared" si="12"/>
        <v>0.18575</v>
      </c>
      <c r="AI10" s="36">
        <f t="shared" si="13"/>
        <v>0.35119999999999996</v>
      </c>
      <c r="AJ10" s="48">
        <f t="shared" si="14"/>
        <v>0.16544999999999996</v>
      </c>
      <c r="AM10" s="39">
        <v>1.5</v>
      </c>
      <c r="AN10" s="39">
        <f t="shared" si="15"/>
        <v>0.43396226415094341</v>
      </c>
      <c r="AO10" s="39">
        <f t="shared" si="16"/>
        <v>0.18440000000000001</v>
      </c>
      <c r="AP10" s="39">
        <f t="shared" si="17"/>
        <v>0.34455000000000002</v>
      </c>
      <c r="AQ10" s="39">
        <f t="shared" si="18"/>
        <v>0.16015000000000001</v>
      </c>
      <c r="AW10" s="36">
        <v>1.28</v>
      </c>
      <c r="AX10" s="36">
        <v>1.38</v>
      </c>
      <c r="AY10" s="36">
        <f t="shared" si="19"/>
        <v>9.9999999999999867E-2</v>
      </c>
    </row>
    <row r="11" spans="1:51" x14ac:dyDescent="0.25">
      <c r="B11" s="38" t="s">
        <v>218</v>
      </c>
      <c r="G11" s="44" t="str">
        <f t="shared" si="2"/>
        <v/>
      </c>
      <c r="I11" s="44" t="str">
        <f t="shared" si="3"/>
        <v/>
      </c>
      <c r="L11" s="45" t="str">
        <f t="shared" si="4"/>
        <v/>
      </c>
      <c r="N11" s="45"/>
      <c r="Z11" s="36">
        <v>1.6</v>
      </c>
      <c r="AA11" s="36">
        <f t="shared" si="7"/>
        <v>0.39622641509433953</v>
      </c>
      <c r="AB11" s="36">
        <f t="shared" si="8"/>
        <v>0.25748000000000004</v>
      </c>
      <c r="AC11" s="36">
        <f t="shared" si="9"/>
        <v>0.36622641509433951</v>
      </c>
      <c r="AD11" s="36">
        <f t="shared" si="10"/>
        <v>0.10874641509433947</v>
      </c>
      <c r="AF11" s="36">
        <v>1.6</v>
      </c>
      <c r="AG11" s="36">
        <f t="shared" si="11"/>
        <v>0.39622641509433953</v>
      </c>
      <c r="AH11" s="36">
        <f t="shared" si="12"/>
        <v>0.20860000000000004</v>
      </c>
      <c r="AI11" s="36">
        <f t="shared" si="13"/>
        <v>0.36492000000000002</v>
      </c>
      <c r="AJ11" s="36">
        <f t="shared" si="14"/>
        <v>0.15631999999999999</v>
      </c>
      <c r="AM11" s="39">
        <v>1.6</v>
      </c>
      <c r="AN11" s="39">
        <f t="shared" si="15"/>
        <v>0.39622641509433953</v>
      </c>
      <c r="AO11" s="39">
        <f t="shared" si="16"/>
        <v>0.20816000000000007</v>
      </c>
      <c r="AP11" s="39">
        <f t="shared" si="17"/>
        <v>0.36192000000000002</v>
      </c>
      <c r="AQ11" s="39">
        <f t="shared" si="18"/>
        <v>0.15375999999999995</v>
      </c>
      <c r="AW11" s="36">
        <v>1.29</v>
      </c>
      <c r="AX11" s="36">
        <v>1.43</v>
      </c>
      <c r="AY11" s="36">
        <f t="shared" si="19"/>
        <v>0.1399999999999999</v>
      </c>
    </row>
    <row r="12" spans="1:51" x14ac:dyDescent="0.25">
      <c r="A12" s="38" t="s">
        <v>242</v>
      </c>
      <c r="G12" s="44" t="str">
        <f>IFERROR(IF(OR(E12="",A12=""),"",E12-A12),"")</f>
        <v/>
      </c>
      <c r="I12" s="44" t="str">
        <f>IFERROR(IF(OR(A12="",H12=""),"",H12-A12),"")</f>
        <v/>
      </c>
      <c r="L12" s="45" t="str">
        <f t="shared" si="4"/>
        <v/>
      </c>
      <c r="N12" s="45"/>
      <c r="Z12" s="36">
        <v>1.7</v>
      </c>
      <c r="AA12" s="36">
        <f t="shared" si="7"/>
        <v>0.35849056603773588</v>
      </c>
      <c r="AB12" s="36">
        <f t="shared" si="8"/>
        <v>0.28681000000000001</v>
      </c>
      <c r="AC12" s="36">
        <f t="shared" si="9"/>
        <v>0.32849056603773585</v>
      </c>
      <c r="AD12" s="36">
        <f t="shared" si="10"/>
        <v>4.1680566037735844E-2</v>
      </c>
      <c r="AF12" s="36">
        <v>1.7</v>
      </c>
      <c r="AG12" s="36">
        <f t="shared" si="11"/>
        <v>0.35849056603773588</v>
      </c>
      <c r="AH12" s="36">
        <f t="shared" si="12"/>
        <v>0.23145000000000002</v>
      </c>
      <c r="AI12" s="36">
        <f t="shared" si="13"/>
        <v>0.32849056603773585</v>
      </c>
      <c r="AJ12" s="36">
        <f t="shared" si="14"/>
        <v>9.7040566037735837E-2</v>
      </c>
      <c r="AM12" s="39">
        <v>1.7</v>
      </c>
      <c r="AN12" s="39">
        <f t="shared" si="15"/>
        <v>0.35849056603773588</v>
      </c>
      <c r="AO12" s="39">
        <f t="shared" si="16"/>
        <v>0.23192000000000002</v>
      </c>
      <c r="AP12" s="39">
        <f t="shared" si="17"/>
        <v>0.32849056603773585</v>
      </c>
      <c r="AQ12" s="39">
        <f t="shared" si="18"/>
        <v>9.6570566037735839E-2</v>
      </c>
      <c r="AW12" s="36">
        <v>1.34</v>
      </c>
      <c r="AX12" s="36">
        <v>1.48</v>
      </c>
      <c r="AY12" s="36">
        <f t="shared" si="19"/>
        <v>0.1399999999999999</v>
      </c>
    </row>
    <row r="13" spans="1:51" x14ac:dyDescent="0.25">
      <c r="A13" s="36">
        <v>0</v>
      </c>
      <c r="B13" s="38">
        <v>0.3407</v>
      </c>
      <c r="C13" s="36">
        <v>1.37</v>
      </c>
      <c r="D13" s="36">
        <v>1.37</v>
      </c>
      <c r="E13" s="38">
        <v>0.48299999999999998</v>
      </c>
      <c r="F13" s="36">
        <v>1.24</v>
      </c>
      <c r="G13" s="44">
        <f t="shared" si="2"/>
        <v>0.14229999999999998</v>
      </c>
      <c r="H13" s="43">
        <f t="shared" ref="H13:H20" si="20">1-F13/2.65</f>
        <v>0.5320754716981132</v>
      </c>
      <c r="I13" s="44">
        <f t="shared" si="3"/>
        <v>0.1913754716981132</v>
      </c>
      <c r="J13" s="38">
        <v>0.1593</v>
      </c>
      <c r="K13" s="38">
        <v>0.1593</v>
      </c>
      <c r="L13" s="45">
        <f t="shared" si="4"/>
        <v>0.3727754716981132</v>
      </c>
      <c r="M13" s="36">
        <f>AVERAGE(0.42,1.1)</f>
        <v>0.76</v>
      </c>
      <c r="N13" s="45">
        <f t="shared" si="5"/>
        <v>0.18140000000000001</v>
      </c>
      <c r="O13" s="36">
        <f t="shared" si="6"/>
        <v>5.362222222222222</v>
      </c>
      <c r="AW13" s="36">
        <v>1.34</v>
      </c>
      <c r="AX13" s="36">
        <v>1.51</v>
      </c>
      <c r="AY13" s="36">
        <f t="shared" si="19"/>
        <v>0.16999999999999993</v>
      </c>
    </row>
    <row r="14" spans="1:51" x14ac:dyDescent="0.25">
      <c r="A14" s="36">
        <v>6</v>
      </c>
      <c r="B14" s="38">
        <v>0.36030000000000001</v>
      </c>
      <c r="C14" s="36">
        <v>1.38</v>
      </c>
      <c r="D14" s="36">
        <v>1.38</v>
      </c>
      <c r="E14" s="38">
        <v>0.47920000000000001</v>
      </c>
      <c r="F14" s="36">
        <v>1.28</v>
      </c>
      <c r="G14" s="44">
        <f t="shared" si="2"/>
        <v>0.11890000000000001</v>
      </c>
      <c r="H14" s="43">
        <f t="shared" si="20"/>
        <v>0.51698113207547169</v>
      </c>
      <c r="I14" s="44">
        <f t="shared" si="3"/>
        <v>0.15668113207547169</v>
      </c>
      <c r="J14" s="38">
        <v>0.15839999999999999</v>
      </c>
      <c r="K14" s="38">
        <v>0.15839999999999999</v>
      </c>
      <c r="L14" s="45">
        <f t="shared" si="4"/>
        <v>0.35858113207547171</v>
      </c>
      <c r="M14" s="36">
        <f>AVERAGE(0.41,0.74)</f>
        <v>0.57499999999999996</v>
      </c>
      <c r="N14" s="45">
        <f t="shared" si="5"/>
        <v>0.20190000000000002</v>
      </c>
      <c r="O14" s="36">
        <f t="shared" si="6"/>
        <v>4.0569444444444445</v>
      </c>
      <c r="AW14" s="36">
        <v>1.35</v>
      </c>
      <c r="AX14" s="36">
        <v>1.49</v>
      </c>
      <c r="AY14" s="36">
        <f t="shared" si="19"/>
        <v>0.1399999999999999</v>
      </c>
    </row>
    <row r="15" spans="1:51" x14ac:dyDescent="0.25">
      <c r="A15" s="36">
        <v>12</v>
      </c>
      <c r="B15" s="38">
        <v>0.35070000000000001</v>
      </c>
      <c r="C15" s="36">
        <v>1.37</v>
      </c>
      <c r="D15" s="36">
        <v>1.37</v>
      </c>
      <c r="E15" s="38">
        <v>0.48299999999999998</v>
      </c>
      <c r="F15" s="36">
        <v>1.26</v>
      </c>
      <c r="G15" s="44">
        <f t="shared" si="2"/>
        <v>0.13229999999999997</v>
      </c>
      <c r="H15" s="43">
        <f t="shared" si="20"/>
        <v>0.52452830188679245</v>
      </c>
      <c r="I15" s="44">
        <f t="shared" si="3"/>
        <v>0.17382830188679244</v>
      </c>
      <c r="J15" s="38">
        <v>0.1575</v>
      </c>
      <c r="K15" s="38">
        <v>0.1575</v>
      </c>
      <c r="L15" s="45">
        <f t="shared" si="4"/>
        <v>0.36702830188679247</v>
      </c>
      <c r="M15" s="36">
        <f>AVERAGE(0.58,1.76)</f>
        <v>1.17</v>
      </c>
      <c r="N15" s="45">
        <f t="shared" si="5"/>
        <v>0.19320000000000004</v>
      </c>
      <c r="O15" s="36">
        <f t="shared" si="6"/>
        <v>8.2550000000000008</v>
      </c>
      <c r="AW15" s="36">
        <v>1.37</v>
      </c>
      <c r="AX15" s="36">
        <v>1.47</v>
      </c>
      <c r="AY15" s="36">
        <f t="shared" si="19"/>
        <v>9.9999999999999867E-2</v>
      </c>
    </row>
    <row r="16" spans="1:51" x14ac:dyDescent="0.25">
      <c r="A16" s="36">
        <v>19</v>
      </c>
      <c r="B16" s="38">
        <v>0.3836</v>
      </c>
      <c r="C16" s="36">
        <v>1.51</v>
      </c>
      <c r="D16" s="36">
        <v>1.51</v>
      </c>
      <c r="E16" s="38">
        <v>0.43020000000000003</v>
      </c>
      <c r="F16" s="36">
        <v>1.42</v>
      </c>
      <c r="G16" s="44">
        <f t="shared" si="2"/>
        <v>4.660000000000003E-2</v>
      </c>
      <c r="H16" s="43">
        <f t="shared" si="20"/>
        <v>0.46415094339622642</v>
      </c>
      <c r="I16" s="44">
        <f t="shared" si="3"/>
        <v>8.0550943396226427E-2</v>
      </c>
      <c r="J16" s="38">
        <v>0.17670000000000002</v>
      </c>
      <c r="K16" s="38">
        <v>0.17670000000000002</v>
      </c>
      <c r="L16" s="45">
        <f t="shared" si="4"/>
        <v>0.2874509433962264</v>
      </c>
      <c r="M16" s="36">
        <v>7.0000000000000007E-2</v>
      </c>
      <c r="N16" s="45">
        <f t="shared" si="5"/>
        <v>0.20689999999999997</v>
      </c>
      <c r="O16" s="36">
        <f t="shared" si="6"/>
        <v>0.49388888888888893</v>
      </c>
      <c r="AW16" s="36">
        <v>1.39</v>
      </c>
      <c r="AX16" s="36">
        <v>1.53</v>
      </c>
      <c r="AY16" s="36">
        <f t="shared" si="19"/>
        <v>0.14000000000000012</v>
      </c>
    </row>
    <row r="17" spans="1:51" x14ac:dyDescent="0.25">
      <c r="A17" s="36">
        <v>27</v>
      </c>
      <c r="B17" s="38">
        <v>0.37270000000000003</v>
      </c>
      <c r="C17" s="36">
        <v>1.53</v>
      </c>
      <c r="D17" s="36">
        <v>1.53</v>
      </c>
      <c r="E17" s="38">
        <v>0.42259999999999998</v>
      </c>
      <c r="F17" s="36">
        <v>1.39</v>
      </c>
      <c r="G17" s="44">
        <f t="shared" si="2"/>
        <v>4.9899999999999944E-2</v>
      </c>
      <c r="H17" s="43">
        <f t="shared" si="20"/>
        <v>0.47547169811320755</v>
      </c>
      <c r="I17" s="44">
        <f t="shared" si="3"/>
        <v>0.10277169811320752</v>
      </c>
      <c r="J17" s="38">
        <v>0.17510000000000001</v>
      </c>
      <c r="K17" s="38">
        <v>0.17510000000000001</v>
      </c>
      <c r="L17" s="45">
        <f t="shared" si="4"/>
        <v>0.30037169811320752</v>
      </c>
      <c r="M17" s="36">
        <v>0.15</v>
      </c>
      <c r="N17" s="45">
        <f t="shared" si="5"/>
        <v>0.1976</v>
      </c>
      <c r="O17" s="36">
        <f t="shared" si="6"/>
        <v>1.0583333333333333</v>
      </c>
      <c r="AF17" s="37"/>
      <c r="AG17" s="37"/>
      <c r="AW17" s="36">
        <v>1.39</v>
      </c>
      <c r="AX17" s="36">
        <v>1.55</v>
      </c>
      <c r="AY17" s="36">
        <f t="shared" si="19"/>
        <v>0.16000000000000014</v>
      </c>
    </row>
    <row r="18" spans="1:51" x14ac:dyDescent="0.25">
      <c r="A18" s="36">
        <v>35</v>
      </c>
      <c r="B18" s="38">
        <v>0.4108</v>
      </c>
      <c r="C18" s="36">
        <v>1.68</v>
      </c>
      <c r="D18" s="36">
        <v>1.68</v>
      </c>
      <c r="E18" s="38">
        <v>0.36599999999999999</v>
      </c>
      <c r="F18" s="36">
        <v>1.5</v>
      </c>
      <c r="G18" s="44">
        <f t="shared" si="2"/>
        <v>-4.4800000000000006E-2</v>
      </c>
      <c r="H18" s="43">
        <f t="shared" si="20"/>
        <v>0.43396226415094341</v>
      </c>
      <c r="I18" s="44">
        <f t="shared" si="3"/>
        <v>2.3162264150943412E-2</v>
      </c>
      <c r="J18" s="38">
        <v>0.19570000000000001</v>
      </c>
      <c r="K18" s="38">
        <v>0.19570000000000001</v>
      </c>
      <c r="L18" s="45">
        <f t="shared" si="4"/>
        <v>0.2382622641509434</v>
      </c>
      <c r="M18" s="36">
        <v>0.02</v>
      </c>
      <c r="N18" s="45">
        <f t="shared" si="5"/>
        <v>0.21509999999999999</v>
      </c>
      <c r="O18" s="36">
        <f t="shared" si="6"/>
        <v>0.14111111111111113</v>
      </c>
      <c r="AW18" s="36">
        <v>1.41</v>
      </c>
      <c r="AX18" s="36">
        <v>1.56</v>
      </c>
      <c r="AY18" s="36">
        <f t="shared" si="19"/>
        <v>0.15000000000000013</v>
      </c>
    </row>
    <row r="19" spans="1:51" x14ac:dyDescent="0.25">
      <c r="A19" s="36">
        <v>40</v>
      </c>
      <c r="B19" s="38">
        <v>0.42119999999999996</v>
      </c>
      <c r="C19" s="36">
        <v>1.65</v>
      </c>
      <c r="D19" s="36">
        <v>1.65</v>
      </c>
      <c r="E19" s="38">
        <v>0.37740000000000001</v>
      </c>
      <c r="F19" s="36">
        <v>1.49</v>
      </c>
      <c r="G19" s="44">
        <f t="shared" si="2"/>
        <v>-4.379999999999995E-2</v>
      </c>
      <c r="H19" s="43">
        <f t="shared" si="20"/>
        <v>0.43773584905660379</v>
      </c>
      <c r="I19" s="44">
        <f t="shared" si="3"/>
        <v>1.6535849056603824E-2</v>
      </c>
      <c r="J19" s="38">
        <v>0.25650000000000001</v>
      </c>
      <c r="K19" s="38">
        <v>0.25650000000000001</v>
      </c>
      <c r="L19" s="45">
        <f t="shared" si="4"/>
        <v>0.18123584905660378</v>
      </c>
      <c r="M19" s="36">
        <v>0</v>
      </c>
      <c r="N19" s="45">
        <f t="shared" si="5"/>
        <v>0.16469999999999996</v>
      </c>
      <c r="O19" s="36">
        <f t="shared" si="6"/>
        <v>0</v>
      </c>
      <c r="AW19" s="36">
        <v>1.42</v>
      </c>
      <c r="AX19" s="36">
        <v>1.51</v>
      </c>
      <c r="AY19" s="36">
        <f t="shared" si="19"/>
        <v>9.000000000000008E-2</v>
      </c>
    </row>
    <row r="20" spans="1:51" x14ac:dyDescent="0.25">
      <c r="A20" s="36">
        <v>49</v>
      </c>
      <c r="B20" s="38">
        <v>0.40639999999999998</v>
      </c>
      <c r="C20" s="36">
        <v>1.67</v>
      </c>
      <c r="D20" s="36">
        <v>1.67</v>
      </c>
      <c r="E20" s="38">
        <v>0.36979999999999996</v>
      </c>
      <c r="F20" s="36">
        <v>1.51</v>
      </c>
      <c r="G20" s="44">
        <f t="shared" si="2"/>
        <v>-3.6600000000000021E-2</v>
      </c>
      <c r="H20" s="43">
        <f t="shared" si="20"/>
        <v>0.43018867924528303</v>
      </c>
      <c r="I20" s="44">
        <f t="shared" si="3"/>
        <v>2.3788679245283051E-2</v>
      </c>
      <c r="J20" s="38">
        <v>0.26250000000000001</v>
      </c>
      <c r="K20" s="38">
        <v>0.26250000000000001</v>
      </c>
      <c r="L20" s="45">
        <f t="shared" si="4"/>
        <v>0.16768867924528302</v>
      </c>
      <c r="M20" s="36">
        <v>0</v>
      </c>
      <c r="N20" s="45">
        <f t="shared" si="5"/>
        <v>0.14389999999999997</v>
      </c>
      <c r="O20" s="36">
        <f t="shared" si="6"/>
        <v>0</v>
      </c>
      <c r="Z20" s="36" t="s">
        <v>243</v>
      </c>
      <c r="AW20" s="37">
        <v>1.43</v>
      </c>
      <c r="AX20" s="37">
        <v>1.5</v>
      </c>
      <c r="AY20" s="36">
        <f t="shared" si="19"/>
        <v>7.0000000000000062E-2</v>
      </c>
    </row>
    <row r="21" spans="1:51" x14ac:dyDescent="0.25">
      <c r="B21" s="38" t="s">
        <v>218</v>
      </c>
      <c r="E21" s="38"/>
      <c r="G21" s="44" t="str">
        <f t="shared" si="2"/>
        <v/>
      </c>
      <c r="I21" s="44" t="str">
        <f t="shared" si="3"/>
        <v/>
      </c>
      <c r="L21" s="45" t="str">
        <f t="shared" si="4"/>
        <v/>
      </c>
      <c r="N21" s="45"/>
      <c r="AW21" s="36">
        <v>1.43</v>
      </c>
      <c r="AX21" s="36">
        <v>1.61</v>
      </c>
      <c r="AY21" s="36">
        <f t="shared" si="19"/>
        <v>0.18000000000000016</v>
      </c>
    </row>
    <row r="22" spans="1:51" x14ac:dyDescent="0.25">
      <c r="B22" s="38" t="s">
        <v>218</v>
      </c>
      <c r="E22" s="38"/>
      <c r="G22" s="44" t="str">
        <f t="shared" si="2"/>
        <v/>
      </c>
      <c r="I22" s="44" t="str">
        <f t="shared" si="3"/>
        <v/>
      </c>
      <c r="L22" s="45" t="str">
        <f t="shared" si="4"/>
        <v/>
      </c>
      <c r="N22" s="45"/>
      <c r="AW22" s="36">
        <v>1.46</v>
      </c>
      <c r="AX22" s="36">
        <v>1.66</v>
      </c>
      <c r="AY22" s="36">
        <f t="shared" si="19"/>
        <v>0.19999999999999996</v>
      </c>
    </row>
    <row r="23" spans="1:51" x14ac:dyDescent="0.25">
      <c r="A23" s="38" t="s">
        <v>244</v>
      </c>
      <c r="E23" s="38"/>
      <c r="G23" s="44" t="str">
        <f>IFERROR(IF(OR(E23="",A23=""),"",E23-A23),"")</f>
        <v/>
      </c>
      <c r="I23" s="44" t="str">
        <f>IFERROR(IF(OR(A23="",H23=""),"",H23-A23),"")</f>
        <v/>
      </c>
      <c r="L23" s="45" t="str">
        <f t="shared" si="4"/>
        <v/>
      </c>
      <c r="N23" s="45"/>
      <c r="AW23" s="36">
        <v>1.46</v>
      </c>
      <c r="AX23" s="36">
        <v>1.81</v>
      </c>
      <c r="AY23" s="36">
        <f t="shared" si="19"/>
        <v>0.35000000000000009</v>
      </c>
    </row>
    <row r="24" spans="1:51" x14ac:dyDescent="0.25">
      <c r="A24" s="36">
        <v>0</v>
      </c>
      <c r="B24" s="38">
        <v>0.31329999999999997</v>
      </c>
      <c r="C24" s="36">
        <v>1.56</v>
      </c>
      <c r="D24" s="36">
        <v>1.56</v>
      </c>
      <c r="E24" s="38">
        <v>0.4113</v>
      </c>
      <c r="F24" s="36">
        <v>1.41</v>
      </c>
      <c r="G24" s="44">
        <f t="shared" si="2"/>
        <v>9.8000000000000032E-2</v>
      </c>
      <c r="H24" s="43">
        <f>1-F24/2.65</f>
        <v>0.4679245283018868</v>
      </c>
      <c r="I24" s="44">
        <f t="shared" si="3"/>
        <v>0.15462452830188683</v>
      </c>
      <c r="J24" s="38">
        <v>0.1449</v>
      </c>
      <c r="K24" s="38">
        <v>0.1449</v>
      </c>
      <c r="L24" s="45">
        <f t="shared" si="4"/>
        <v>0.32302452830188677</v>
      </c>
      <c r="M24" s="36">
        <f>AVERAGE(0.34,0.7)</f>
        <v>0.52</v>
      </c>
      <c r="N24" s="45">
        <f t="shared" si="5"/>
        <v>0.16839999999999994</v>
      </c>
      <c r="O24" s="36">
        <f t="shared" si="6"/>
        <v>3.6688888888888891</v>
      </c>
      <c r="AW24" s="36">
        <v>1.46</v>
      </c>
      <c r="AX24" s="36">
        <v>1.6</v>
      </c>
      <c r="AY24" s="36">
        <f t="shared" si="19"/>
        <v>0.14000000000000012</v>
      </c>
    </row>
    <row r="25" spans="1:51" x14ac:dyDescent="0.25">
      <c r="A25" s="36">
        <v>6</v>
      </c>
      <c r="B25" s="38">
        <v>0.40029999999999999</v>
      </c>
      <c r="C25" s="36">
        <v>1.81</v>
      </c>
      <c r="D25" s="36">
        <v>1.81</v>
      </c>
      <c r="E25" s="38">
        <v>0.317</v>
      </c>
      <c r="F25" s="36">
        <v>1.46</v>
      </c>
      <c r="G25" s="44">
        <f t="shared" si="2"/>
        <v>-8.3299999999999985E-2</v>
      </c>
      <c r="H25" s="43">
        <f>1-F25/2.65</f>
        <v>0.44905660377358492</v>
      </c>
      <c r="I25" s="44">
        <f t="shared" si="3"/>
        <v>4.8756603773584928E-2</v>
      </c>
      <c r="J25" s="38">
        <v>0.24109999999999998</v>
      </c>
      <c r="K25" s="38">
        <v>0.24109999999999998</v>
      </c>
      <c r="L25" s="45">
        <f t="shared" si="4"/>
        <v>0.20795660377358494</v>
      </c>
      <c r="M25" s="36">
        <v>0</v>
      </c>
      <c r="N25" s="45">
        <f t="shared" si="5"/>
        <v>0.15920000000000001</v>
      </c>
      <c r="O25" s="36">
        <f t="shared" si="6"/>
        <v>0</v>
      </c>
      <c r="AW25" s="36">
        <v>1.46</v>
      </c>
      <c r="AX25" s="36">
        <v>1.63</v>
      </c>
      <c r="AY25" s="36">
        <f t="shared" si="19"/>
        <v>0.16999999999999993</v>
      </c>
    </row>
    <row r="26" spans="1:51" x14ac:dyDescent="0.25">
      <c r="A26" s="36">
        <v>27</v>
      </c>
      <c r="B26" s="38">
        <v>0.3926</v>
      </c>
      <c r="C26" s="36">
        <v>1.71</v>
      </c>
      <c r="D26" s="36">
        <v>1.71</v>
      </c>
      <c r="E26" s="38">
        <v>0.35470000000000002</v>
      </c>
      <c r="F26" s="36">
        <v>1.58</v>
      </c>
      <c r="G26" s="44">
        <f t="shared" si="2"/>
        <v>-3.7899999999999989E-2</v>
      </c>
      <c r="H26" s="43">
        <f>1-F26/2.65</f>
        <v>0.40377358490566029</v>
      </c>
      <c r="I26" s="44">
        <f t="shared" si="3"/>
        <v>1.1173584905660283E-2</v>
      </c>
      <c r="J26" s="38">
        <v>0.24299999999999999</v>
      </c>
      <c r="K26" s="38">
        <v>0.24299999999999999</v>
      </c>
      <c r="L26" s="45">
        <f t="shared" si="4"/>
        <v>0.16077358490566029</v>
      </c>
      <c r="M26" s="36">
        <v>0</v>
      </c>
      <c r="N26" s="45">
        <f t="shared" si="5"/>
        <v>0.14960000000000001</v>
      </c>
      <c r="O26" s="36">
        <f t="shared" si="6"/>
        <v>0</v>
      </c>
      <c r="AW26" s="36">
        <v>1.47</v>
      </c>
      <c r="AX26" s="36">
        <v>1.66</v>
      </c>
      <c r="AY26" s="36">
        <f t="shared" si="19"/>
        <v>0.18999999999999995</v>
      </c>
    </row>
    <row r="27" spans="1:51" x14ac:dyDescent="0.25">
      <c r="A27" s="36">
        <v>47</v>
      </c>
      <c r="B27" s="38">
        <v>0.35220000000000001</v>
      </c>
      <c r="C27" s="36">
        <v>1.55</v>
      </c>
      <c r="D27" s="36">
        <v>1.55</v>
      </c>
      <c r="E27" s="38">
        <v>0.41509999999999997</v>
      </c>
      <c r="F27" s="36">
        <v>1.39</v>
      </c>
      <c r="G27" s="44">
        <f t="shared" si="2"/>
        <v>6.2899999999999956E-2</v>
      </c>
      <c r="H27" s="43">
        <f>1-F27/2.65</f>
        <v>0.47547169811320755</v>
      </c>
      <c r="I27" s="44">
        <f t="shared" si="3"/>
        <v>0.12327169811320754</v>
      </c>
      <c r="J27" s="38">
        <v>0.21030000000000001</v>
      </c>
      <c r="K27" s="38">
        <v>0.21030000000000001</v>
      </c>
      <c r="L27" s="45">
        <f t="shared" si="4"/>
        <v>0.26517169811320751</v>
      </c>
      <c r="M27" s="36">
        <v>0</v>
      </c>
      <c r="N27" s="45">
        <f t="shared" si="5"/>
        <v>0.14189999999999997</v>
      </c>
      <c r="O27" s="36">
        <f t="shared" si="6"/>
        <v>0</v>
      </c>
      <c r="AW27" s="36">
        <v>1.48</v>
      </c>
      <c r="AX27" s="36">
        <v>1.69</v>
      </c>
      <c r="AY27" s="36">
        <f t="shared" si="19"/>
        <v>0.20999999999999996</v>
      </c>
    </row>
    <row r="28" spans="1:51" x14ac:dyDescent="0.25">
      <c r="B28" s="38" t="s">
        <v>218</v>
      </c>
      <c r="E28" s="38"/>
      <c r="G28" s="44" t="str">
        <f t="shared" si="2"/>
        <v/>
      </c>
      <c r="I28" s="44" t="str">
        <f t="shared" si="3"/>
        <v/>
      </c>
      <c r="L28" s="45" t="str">
        <f t="shared" si="4"/>
        <v/>
      </c>
      <c r="N28" s="45"/>
      <c r="AW28" s="36">
        <v>1.49</v>
      </c>
      <c r="AX28" s="36">
        <v>1.65</v>
      </c>
      <c r="AY28" s="36">
        <f t="shared" si="19"/>
        <v>0.15999999999999992</v>
      </c>
    </row>
    <row r="29" spans="1:51" x14ac:dyDescent="0.25">
      <c r="A29" s="38" t="s">
        <v>244</v>
      </c>
      <c r="E29" s="38"/>
      <c r="G29" s="44" t="str">
        <f>IFERROR(IF(OR(E29="",A29=""),"",E29-A29),"")</f>
        <v/>
      </c>
      <c r="I29" s="44" t="str">
        <f>IFERROR(IF(OR(A29="",H29=""),"",H29-A29),"")</f>
        <v/>
      </c>
      <c r="L29" s="45" t="str">
        <f t="shared" si="4"/>
        <v/>
      </c>
      <c r="N29" s="45"/>
      <c r="AW29" s="36">
        <v>1.49</v>
      </c>
      <c r="AX29" s="36">
        <v>1.77</v>
      </c>
      <c r="AY29" s="36">
        <f t="shared" si="19"/>
        <v>0.28000000000000003</v>
      </c>
    </row>
    <row r="30" spans="1:51" x14ac:dyDescent="0.25">
      <c r="A30" s="36">
        <v>0</v>
      </c>
      <c r="B30" s="38">
        <v>0.33189999999999997</v>
      </c>
      <c r="C30" s="42"/>
      <c r="D30" s="42">
        <f>F30*0.2651-0.2092+F30</f>
        <v>1.5239870000000002</v>
      </c>
      <c r="E30" s="38"/>
      <c r="F30" s="36">
        <v>1.37</v>
      </c>
      <c r="G30" s="44" t="str">
        <f t="shared" si="2"/>
        <v/>
      </c>
      <c r="H30" s="43">
        <f>1-F30/2.65</f>
        <v>0.48301886792452819</v>
      </c>
      <c r="I30" s="44">
        <f t="shared" si="3"/>
        <v>0.15111886792452822</v>
      </c>
      <c r="J30" s="38">
        <v>0.17300000000000001</v>
      </c>
      <c r="K30" s="38">
        <v>0.17300000000000001</v>
      </c>
      <c r="L30" s="45">
        <f t="shared" si="4"/>
        <v>0.31001886792452815</v>
      </c>
      <c r="N30" s="45">
        <f t="shared" si="5"/>
        <v>0.15889999999999993</v>
      </c>
      <c r="O30" s="36">
        <f t="shared" si="6"/>
        <v>0</v>
      </c>
      <c r="AW30" s="36">
        <v>1.5</v>
      </c>
      <c r="AX30" s="36">
        <v>1.68</v>
      </c>
      <c r="AY30" s="36">
        <f t="shared" si="19"/>
        <v>0.17999999999999994</v>
      </c>
    </row>
    <row r="31" spans="1:51" x14ac:dyDescent="0.25">
      <c r="A31" s="36">
        <v>9</v>
      </c>
      <c r="B31" s="38">
        <v>0.36280000000000001</v>
      </c>
      <c r="C31" s="36">
        <v>1.77</v>
      </c>
      <c r="D31" s="36">
        <v>1.77</v>
      </c>
      <c r="E31" s="38">
        <v>0.33210000000000001</v>
      </c>
      <c r="F31" s="36">
        <v>1.49</v>
      </c>
      <c r="G31" s="44">
        <f t="shared" si="2"/>
        <v>-3.0700000000000005E-2</v>
      </c>
      <c r="H31" s="43">
        <f>1-F31/2.65</f>
        <v>0.43773584905660379</v>
      </c>
      <c r="I31" s="44">
        <f t="shared" si="3"/>
        <v>7.4935849056603776E-2</v>
      </c>
      <c r="J31" s="38">
        <v>0.22640000000000002</v>
      </c>
      <c r="K31" s="38">
        <v>0.22640000000000002</v>
      </c>
      <c r="L31" s="45">
        <f t="shared" si="4"/>
        <v>0.21133584905660377</v>
      </c>
      <c r="M31" s="36">
        <v>0</v>
      </c>
      <c r="N31" s="45">
        <f t="shared" si="5"/>
        <v>0.13639999999999999</v>
      </c>
      <c r="O31" s="36">
        <f t="shared" si="6"/>
        <v>0</v>
      </c>
      <c r="AW31" s="36">
        <v>1.51</v>
      </c>
      <c r="AX31" s="36">
        <v>1.67</v>
      </c>
      <c r="AY31" s="36">
        <f t="shared" si="19"/>
        <v>0.15999999999999992</v>
      </c>
    </row>
    <row r="32" spans="1:51" x14ac:dyDescent="0.25">
      <c r="A32" s="36">
        <v>30</v>
      </c>
      <c r="B32" s="38">
        <v>0.3705</v>
      </c>
      <c r="C32" s="36">
        <v>1.73</v>
      </c>
      <c r="D32" s="36">
        <v>1.73</v>
      </c>
      <c r="E32" s="38">
        <v>0.34720000000000001</v>
      </c>
      <c r="F32" s="36">
        <v>1.54</v>
      </c>
      <c r="G32" s="44">
        <f t="shared" si="2"/>
        <v>-2.3299999999999987E-2</v>
      </c>
      <c r="H32" s="43">
        <f>1-F32/2.65</f>
        <v>0.4188679245283019</v>
      </c>
      <c r="I32" s="44">
        <f t="shared" si="3"/>
        <v>4.8367924528301909E-2</v>
      </c>
      <c r="J32" s="38">
        <v>0.23329999999999998</v>
      </c>
      <c r="K32" s="38">
        <v>0.23329999999999998</v>
      </c>
      <c r="L32" s="45">
        <f t="shared" si="4"/>
        <v>0.18556792452830193</v>
      </c>
      <c r="M32" s="36">
        <v>0.08</v>
      </c>
      <c r="N32" s="45">
        <f t="shared" si="5"/>
        <v>0.13720000000000002</v>
      </c>
      <c r="O32" s="36">
        <f t="shared" si="6"/>
        <v>0.56444444444444453</v>
      </c>
      <c r="AW32" s="36">
        <v>1.51</v>
      </c>
      <c r="AX32" s="36">
        <v>1.67</v>
      </c>
      <c r="AY32" s="36">
        <f t="shared" si="19"/>
        <v>0.15999999999999992</v>
      </c>
    </row>
    <row r="33" spans="1:51" x14ac:dyDescent="0.25">
      <c r="B33" s="38" t="s">
        <v>218</v>
      </c>
      <c r="E33" s="38"/>
      <c r="G33" s="44" t="str">
        <f t="shared" si="2"/>
        <v/>
      </c>
      <c r="I33" s="44" t="str">
        <f t="shared" si="3"/>
        <v/>
      </c>
      <c r="L33" s="45" t="str">
        <f t="shared" si="4"/>
        <v/>
      </c>
      <c r="N33" s="45"/>
      <c r="AW33" s="36">
        <v>1.51</v>
      </c>
      <c r="AX33" s="36">
        <v>1.77</v>
      </c>
      <c r="AY33" s="36">
        <f t="shared" si="19"/>
        <v>0.26</v>
      </c>
    </row>
    <row r="34" spans="1:51" x14ac:dyDescent="0.25">
      <c r="A34" s="38" t="s">
        <v>245</v>
      </c>
      <c r="E34" s="38"/>
      <c r="G34" s="44" t="str">
        <f>IFERROR(IF(OR(E34="",A34=""),"",E34-A34),"")</f>
        <v/>
      </c>
      <c r="I34" s="44" t="str">
        <f>IFERROR(IF(OR(A34="",H34=""),"",H34-A34),"")</f>
        <v/>
      </c>
      <c r="L34" s="45" t="str">
        <f t="shared" si="4"/>
        <v/>
      </c>
      <c r="N34" s="45"/>
      <c r="AW34" s="36">
        <v>1.51</v>
      </c>
      <c r="AX34" s="36">
        <v>1.8</v>
      </c>
      <c r="AY34" s="36">
        <f t="shared" si="19"/>
        <v>0.29000000000000004</v>
      </c>
    </row>
    <row r="35" spans="1:51" x14ac:dyDescent="0.25">
      <c r="A35" s="36">
        <v>0</v>
      </c>
      <c r="B35" s="38">
        <v>0.28300000000000003</v>
      </c>
      <c r="C35" s="42"/>
      <c r="D35" s="42">
        <f>F35*0.2651-0.2092+F35</f>
        <v>1.1824100000000002</v>
      </c>
      <c r="E35" s="38"/>
      <c r="F35" s="36">
        <v>1.1000000000000001</v>
      </c>
      <c r="G35" s="44" t="str">
        <f t="shared" si="2"/>
        <v/>
      </c>
      <c r="H35" s="43">
        <f>1-F35/2.65</f>
        <v>0.58490566037735836</v>
      </c>
      <c r="I35" s="44">
        <f t="shared" si="3"/>
        <v>0.30190566037735833</v>
      </c>
      <c r="J35" s="38">
        <v>9.8000000000000004E-2</v>
      </c>
      <c r="K35" s="38">
        <v>9.8000000000000004E-2</v>
      </c>
      <c r="L35" s="45">
        <f t="shared" si="4"/>
        <v>0.48690566037735838</v>
      </c>
      <c r="N35" s="45">
        <f t="shared" si="5"/>
        <v>0.18500000000000005</v>
      </c>
      <c r="O35" s="36">
        <f t="shared" si="6"/>
        <v>0</v>
      </c>
      <c r="AW35" s="36">
        <v>1.54</v>
      </c>
      <c r="AX35" s="36">
        <v>1.71</v>
      </c>
      <c r="AY35" s="36">
        <f t="shared" si="19"/>
        <v>0.16999999999999993</v>
      </c>
    </row>
    <row r="36" spans="1:51" x14ac:dyDescent="0.25">
      <c r="A36" s="36">
        <v>9</v>
      </c>
      <c r="B36" s="38">
        <v>0.2999</v>
      </c>
      <c r="C36" s="36">
        <v>1.49</v>
      </c>
      <c r="D36" s="36">
        <v>1.49</v>
      </c>
      <c r="E36" s="38">
        <v>0.43770000000000003</v>
      </c>
      <c r="F36" s="36">
        <v>1.35</v>
      </c>
      <c r="G36" s="44">
        <f t="shared" si="2"/>
        <v>0.13780000000000003</v>
      </c>
      <c r="H36" s="43">
        <f>1-F36/2.65</f>
        <v>0.49056603773584906</v>
      </c>
      <c r="I36" s="44">
        <f t="shared" si="3"/>
        <v>0.19066603773584906</v>
      </c>
      <c r="J36" s="38">
        <v>0.17010000000000003</v>
      </c>
      <c r="K36" s="38">
        <v>0.17010000000000003</v>
      </c>
      <c r="L36" s="45">
        <f t="shared" si="4"/>
        <v>0.32046603773584903</v>
      </c>
      <c r="M36" s="36">
        <v>0.17</v>
      </c>
      <c r="N36" s="45">
        <f t="shared" si="5"/>
        <v>0.12979999999999997</v>
      </c>
      <c r="O36" s="36">
        <f t="shared" si="6"/>
        <v>1.1994444444444445</v>
      </c>
      <c r="AW36" s="36">
        <v>1.54</v>
      </c>
      <c r="AX36" s="36">
        <v>1.73</v>
      </c>
      <c r="AY36" s="36">
        <f t="shared" si="19"/>
        <v>0.18999999999999995</v>
      </c>
    </row>
    <row r="37" spans="1:51" x14ac:dyDescent="0.25">
      <c r="A37" s="36">
        <v>18</v>
      </c>
      <c r="B37" s="38">
        <v>0.3332</v>
      </c>
      <c r="C37" s="36">
        <v>1.48</v>
      </c>
      <c r="D37" s="36">
        <v>1.48</v>
      </c>
      <c r="E37" s="38">
        <v>0.4415</v>
      </c>
      <c r="F37" s="36">
        <v>1.34</v>
      </c>
      <c r="G37" s="44">
        <f t="shared" si="2"/>
        <v>0.10830000000000001</v>
      </c>
      <c r="H37" s="43">
        <f>1-F37/2.65</f>
        <v>0.49433962264150944</v>
      </c>
      <c r="I37" s="44">
        <f t="shared" si="3"/>
        <v>0.16113962264150944</v>
      </c>
      <c r="J37" s="38">
        <v>0.1736</v>
      </c>
      <c r="K37" s="38">
        <v>0.1736</v>
      </c>
      <c r="L37" s="45">
        <f t="shared" si="4"/>
        <v>0.32073962264150946</v>
      </c>
      <c r="M37" s="36">
        <v>0.43</v>
      </c>
      <c r="N37" s="45">
        <f t="shared" si="5"/>
        <v>0.15960000000000002</v>
      </c>
      <c r="O37" s="36">
        <f t="shared" si="6"/>
        <v>3.0338888888888889</v>
      </c>
      <c r="AW37" s="36">
        <v>1.58</v>
      </c>
      <c r="AX37" s="36">
        <v>1.71</v>
      </c>
      <c r="AY37" s="36">
        <f t="shared" si="19"/>
        <v>0.12999999999999989</v>
      </c>
    </row>
    <row r="38" spans="1:51" x14ac:dyDescent="0.25">
      <c r="A38" s="36">
        <v>29</v>
      </c>
      <c r="B38" s="38">
        <v>0.36820000000000003</v>
      </c>
      <c r="C38" s="36">
        <v>1.67</v>
      </c>
      <c r="D38" s="36">
        <v>1.67</v>
      </c>
      <c r="E38" s="38">
        <v>0.36979999999999996</v>
      </c>
      <c r="F38" s="36">
        <v>1.51</v>
      </c>
      <c r="G38" s="44">
        <f t="shared" si="2"/>
        <v>1.5999999999999348E-3</v>
      </c>
      <c r="H38" s="43">
        <f>1-F38/2.65</f>
        <v>0.43018867924528303</v>
      </c>
      <c r="I38" s="44">
        <f t="shared" si="3"/>
        <v>6.1988679245283007E-2</v>
      </c>
      <c r="J38" s="38">
        <v>0.19079999999999997</v>
      </c>
      <c r="K38" s="38">
        <v>0.19079999999999997</v>
      </c>
      <c r="L38" s="45">
        <f t="shared" si="4"/>
        <v>0.23938867924528306</v>
      </c>
      <c r="M38" s="36">
        <v>0.13</v>
      </c>
      <c r="N38" s="45">
        <f t="shared" si="5"/>
        <v>0.17740000000000006</v>
      </c>
      <c r="O38" s="36">
        <f t="shared" si="6"/>
        <v>0.91722222222222227</v>
      </c>
      <c r="AW38" s="36">
        <v>1.59</v>
      </c>
      <c r="AX38" s="36">
        <v>1.79</v>
      </c>
      <c r="AY38" s="36">
        <f t="shared" si="19"/>
        <v>0.19999999999999996</v>
      </c>
    </row>
    <row r="39" spans="1:51" x14ac:dyDescent="0.25">
      <c r="A39" s="36">
        <v>42</v>
      </c>
      <c r="B39" s="38">
        <v>0.37340000000000001</v>
      </c>
      <c r="C39" s="36">
        <v>1.6</v>
      </c>
      <c r="D39" s="36">
        <v>1.6</v>
      </c>
      <c r="E39" s="38">
        <v>0.3962</v>
      </c>
      <c r="F39" s="36">
        <v>1.46</v>
      </c>
      <c r="G39" s="44">
        <f t="shared" si="2"/>
        <v>2.2799999999999987E-2</v>
      </c>
      <c r="H39" s="43">
        <f>1-F39/2.65</f>
        <v>0.44905660377358492</v>
      </c>
      <c r="I39" s="44">
        <f t="shared" si="3"/>
        <v>7.5656603773584907E-2</v>
      </c>
      <c r="J39" s="38">
        <v>0.1956</v>
      </c>
      <c r="K39" s="38">
        <v>0.1956</v>
      </c>
      <c r="L39" s="45">
        <f t="shared" si="4"/>
        <v>0.25345660377358492</v>
      </c>
      <c r="M39" s="36">
        <v>0.09</v>
      </c>
      <c r="N39" s="45">
        <f t="shared" si="5"/>
        <v>0.17780000000000001</v>
      </c>
      <c r="O39" s="36">
        <f t="shared" si="6"/>
        <v>0.63500000000000001</v>
      </c>
    </row>
    <row r="40" spans="1:51" x14ac:dyDescent="0.25">
      <c r="B40" s="38" t="s">
        <v>218</v>
      </c>
      <c r="E40" s="38"/>
      <c r="G40" s="44" t="str">
        <f t="shared" si="2"/>
        <v/>
      </c>
      <c r="I40" s="44" t="str">
        <f t="shared" si="3"/>
        <v/>
      </c>
      <c r="L40" s="45" t="str">
        <f t="shared" si="4"/>
        <v/>
      </c>
      <c r="N40" s="45"/>
    </row>
    <row r="41" spans="1:51" x14ac:dyDescent="0.25">
      <c r="A41" s="38" t="s">
        <v>245</v>
      </c>
      <c r="E41" s="38"/>
      <c r="G41" s="44" t="str">
        <f>IFERROR(IF(OR(E41="",A41=""),"",E41-A41),"")</f>
        <v/>
      </c>
      <c r="I41" s="44" t="str">
        <f>IFERROR(IF(OR(A41="",H41=""),"",H41-A41),"")</f>
        <v/>
      </c>
      <c r="L41" s="45" t="str">
        <f t="shared" si="4"/>
        <v/>
      </c>
      <c r="N41" s="45"/>
    </row>
    <row r="42" spans="1:51" x14ac:dyDescent="0.25">
      <c r="A42" s="36">
        <v>0</v>
      </c>
      <c r="B42" s="38">
        <v>0.3054</v>
      </c>
      <c r="C42" s="42"/>
      <c r="D42" s="42">
        <f>F42*0.2651-0.2092+F42</f>
        <v>1.2077120000000001</v>
      </c>
      <c r="E42" s="38"/>
      <c r="F42" s="36">
        <v>1.1200000000000001</v>
      </c>
      <c r="G42" s="44" t="str">
        <f t="shared" si="2"/>
        <v/>
      </c>
      <c r="H42" s="43">
        <f>1-F42/2.65</f>
        <v>0.57735849056603761</v>
      </c>
      <c r="I42" s="44">
        <f t="shared" si="3"/>
        <v>0.2719584905660376</v>
      </c>
      <c r="J42" s="38">
        <v>0.13189999999999999</v>
      </c>
      <c r="K42" s="38">
        <v>0.13189999999999999</v>
      </c>
      <c r="L42" s="45">
        <f t="shared" si="4"/>
        <v>0.44545849056603759</v>
      </c>
      <c r="N42" s="45">
        <f t="shared" si="5"/>
        <v>0.17349999999999999</v>
      </c>
      <c r="O42" s="36">
        <f t="shared" si="6"/>
        <v>0</v>
      </c>
    </row>
    <row r="43" spans="1:51" x14ac:dyDescent="0.25">
      <c r="A43" s="36">
        <v>7</v>
      </c>
      <c r="B43" s="38">
        <v>0.31370000000000003</v>
      </c>
      <c r="C43" s="42"/>
      <c r="D43" s="42">
        <f>F43*0.2651-0.2092+F43</f>
        <v>1.270967</v>
      </c>
      <c r="E43" s="38"/>
      <c r="F43" s="36">
        <v>1.17</v>
      </c>
      <c r="G43" s="44" t="str">
        <f t="shared" si="2"/>
        <v/>
      </c>
      <c r="H43" s="43">
        <f>1-F43/2.65</f>
        <v>0.55849056603773584</v>
      </c>
      <c r="I43" s="44">
        <f t="shared" si="3"/>
        <v>0.2447905660377358</v>
      </c>
      <c r="J43" s="38">
        <v>0.1386</v>
      </c>
      <c r="K43" s="38">
        <v>0.1386</v>
      </c>
      <c r="L43" s="45">
        <f t="shared" si="4"/>
        <v>0.41989056603773584</v>
      </c>
      <c r="N43" s="45">
        <f t="shared" si="5"/>
        <v>0.17510000000000003</v>
      </c>
      <c r="O43" s="36">
        <f t="shared" si="6"/>
        <v>0</v>
      </c>
    </row>
    <row r="44" spans="1:51" x14ac:dyDescent="0.25">
      <c r="A44" s="36">
        <v>14</v>
      </c>
      <c r="B44" s="38">
        <v>0.3725</v>
      </c>
      <c r="C44" s="36">
        <v>1.63</v>
      </c>
      <c r="D44" s="36">
        <v>1.63</v>
      </c>
      <c r="E44" s="38">
        <v>0.38490000000000002</v>
      </c>
      <c r="F44" s="36">
        <v>1.46</v>
      </c>
      <c r="G44" s="44">
        <f t="shared" si="2"/>
        <v>1.2400000000000022E-2</v>
      </c>
      <c r="H44" s="43">
        <f>1-F44/2.65</f>
        <v>0.44905660377358492</v>
      </c>
      <c r="I44" s="44">
        <f t="shared" si="3"/>
        <v>7.6556603773584919E-2</v>
      </c>
      <c r="J44" s="38">
        <v>0.21899999999999997</v>
      </c>
      <c r="K44" s="38">
        <v>0.21899999999999997</v>
      </c>
      <c r="L44" s="45">
        <f t="shared" si="4"/>
        <v>0.23005660377358494</v>
      </c>
      <c r="M44" s="36">
        <v>0.23</v>
      </c>
      <c r="N44" s="45">
        <f t="shared" si="5"/>
        <v>0.15350000000000003</v>
      </c>
      <c r="O44" s="36">
        <f t="shared" si="6"/>
        <v>1.6227777777777781</v>
      </c>
      <c r="U44" s="36" t="s">
        <v>246</v>
      </c>
    </row>
    <row r="45" spans="1:51" x14ac:dyDescent="0.25">
      <c r="A45" s="36">
        <v>24</v>
      </c>
      <c r="B45" s="38">
        <v>0.37060000000000004</v>
      </c>
      <c r="C45" s="36">
        <v>1.61</v>
      </c>
      <c r="D45" s="36">
        <v>1.61</v>
      </c>
      <c r="E45" s="38">
        <v>0.39250000000000002</v>
      </c>
      <c r="F45" s="36">
        <v>1.43</v>
      </c>
      <c r="G45" s="44">
        <f t="shared" si="2"/>
        <v>2.1899999999999975E-2</v>
      </c>
      <c r="H45" s="43">
        <f>1-F45/2.65</f>
        <v>0.46037735849056605</v>
      </c>
      <c r="I45" s="44">
        <f t="shared" si="3"/>
        <v>8.9777358490566006E-2</v>
      </c>
      <c r="J45" s="38">
        <v>0.2213</v>
      </c>
      <c r="K45" s="38">
        <v>0.2213</v>
      </c>
      <c r="L45" s="45">
        <f t="shared" si="4"/>
        <v>0.23907735849056605</v>
      </c>
      <c r="M45" s="36">
        <v>0.12</v>
      </c>
      <c r="N45" s="45">
        <f t="shared" si="5"/>
        <v>0.14930000000000004</v>
      </c>
      <c r="O45" s="36">
        <f t="shared" si="6"/>
        <v>0.84666666666666668</v>
      </c>
    </row>
    <row r="46" spans="1:51" x14ac:dyDescent="0.25">
      <c r="A46" s="36">
        <v>40</v>
      </c>
      <c r="B46" s="38">
        <v>0.34189999999999998</v>
      </c>
      <c r="C46" s="36">
        <v>1.51</v>
      </c>
      <c r="D46" s="36">
        <v>1.51</v>
      </c>
      <c r="E46" s="38">
        <v>0.43020000000000003</v>
      </c>
      <c r="F46" s="36">
        <v>1.34</v>
      </c>
      <c r="G46" s="44">
        <f t="shared" si="2"/>
        <v>8.8300000000000045E-2</v>
      </c>
      <c r="H46" s="43">
        <f>1-F46/2.65</f>
        <v>0.49433962264150944</v>
      </c>
      <c r="I46" s="44">
        <f t="shared" si="3"/>
        <v>0.15243962264150945</v>
      </c>
      <c r="J46" s="38">
        <v>0.18230000000000002</v>
      </c>
      <c r="K46" s="38">
        <v>0.18230000000000002</v>
      </c>
      <c r="L46" s="45">
        <f t="shared" si="4"/>
        <v>0.31203962264150942</v>
      </c>
      <c r="M46" s="36">
        <v>0.23</v>
      </c>
      <c r="N46" s="45">
        <f t="shared" si="5"/>
        <v>0.15959999999999996</v>
      </c>
      <c r="O46" s="36">
        <f t="shared" si="6"/>
        <v>1.6227777777777781</v>
      </c>
      <c r="AX46" s="42"/>
    </row>
    <row r="47" spans="1:51" x14ac:dyDescent="0.25">
      <c r="B47" s="38" t="s">
        <v>218</v>
      </c>
      <c r="E47" s="38"/>
      <c r="G47" s="44" t="str">
        <f t="shared" si="2"/>
        <v/>
      </c>
      <c r="I47" s="44" t="str">
        <f t="shared" si="3"/>
        <v/>
      </c>
      <c r="L47" s="45" t="str">
        <f t="shared" si="4"/>
        <v/>
      </c>
      <c r="N47" s="45"/>
    </row>
    <row r="48" spans="1:51" x14ac:dyDescent="0.25">
      <c r="A48" s="38" t="s">
        <v>247</v>
      </c>
      <c r="E48" s="38"/>
      <c r="G48" s="44" t="str">
        <f>IFERROR(IF(OR(E48="",A48=""),"",E48-A48),"")</f>
        <v/>
      </c>
      <c r="I48" s="44" t="str">
        <f>IFERROR(IF(OR(A48="",H48=""),"",H48-A48),"")</f>
        <v/>
      </c>
      <c r="L48" s="45" t="str">
        <f t="shared" si="4"/>
        <v/>
      </c>
      <c r="N48" s="45"/>
    </row>
    <row r="49" spans="1:50" x14ac:dyDescent="0.25">
      <c r="A49" s="36">
        <v>0</v>
      </c>
      <c r="B49" s="38">
        <v>0.31170000000000003</v>
      </c>
      <c r="C49" s="36">
        <v>1.4</v>
      </c>
      <c r="D49" s="36">
        <v>1.4</v>
      </c>
      <c r="E49" s="38">
        <v>0.47170000000000001</v>
      </c>
      <c r="F49" s="36">
        <v>1.27</v>
      </c>
      <c r="G49" s="44">
        <f t="shared" si="2"/>
        <v>0.15999999999999998</v>
      </c>
      <c r="H49" s="43">
        <f>1-F49/2.65</f>
        <v>0.52075471698113207</v>
      </c>
      <c r="I49" s="44">
        <f t="shared" si="3"/>
        <v>0.20905471698113204</v>
      </c>
      <c r="J49" s="38">
        <v>0.13200000000000001</v>
      </c>
      <c r="K49" s="38">
        <v>0.13200000000000001</v>
      </c>
      <c r="L49" s="45">
        <f t="shared" si="4"/>
        <v>0.38875471698113206</v>
      </c>
      <c r="M49" s="36">
        <v>0.51</v>
      </c>
      <c r="N49" s="45">
        <f t="shared" si="5"/>
        <v>0.17970000000000003</v>
      </c>
      <c r="O49" s="36">
        <f t="shared" si="6"/>
        <v>3.598333333333334</v>
      </c>
      <c r="AX49" s="42"/>
    </row>
    <row r="50" spans="1:50" x14ac:dyDescent="0.25">
      <c r="A50" s="36">
        <v>9</v>
      </c>
      <c r="B50" s="38">
        <v>0.2848</v>
      </c>
      <c r="C50" s="36">
        <v>1.43</v>
      </c>
      <c r="D50" s="36">
        <v>1.43</v>
      </c>
      <c r="E50" s="38">
        <v>0.46039999999999998</v>
      </c>
      <c r="F50" s="36">
        <v>1.27</v>
      </c>
      <c r="G50" s="44">
        <f t="shared" si="2"/>
        <v>0.17559999999999998</v>
      </c>
      <c r="H50" s="43">
        <f>1-F50/2.65</f>
        <v>0.52075471698113207</v>
      </c>
      <c r="I50" s="44">
        <f t="shared" si="3"/>
        <v>0.23595471698113207</v>
      </c>
      <c r="J50" s="38">
        <v>0.1736</v>
      </c>
      <c r="K50" s="38">
        <v>0.1736</v>
      </c>
      <c r="L50" s="45">
        <f t="shared" si="4"/>
        <v>0.34715471698113209</v>
      </c>
      <c r="M50" s="36">
        <v>0.5</v>
      </c>
      <c r="N50" s="45">
        <f t="shared" si="5"/>
        <v>0.11120000000000002</v>
      </c>
      <c r="O50" s="36">
        <f t="shared" si="6"/>
        <v>3.5277777777777777</v>
      </c>
    </row>
    <row r="51" spans="1:50" x14ac:dyDescent="0.25">
      <c r="A51" s="36">
        <v>18</v>
      </c>
      <c r="B51" s="38">
        <v>0.35220000000000001</v>
      </c>
      <c r="C51" s="36">
        <v>1.77</v>
      </c>
      <c r="D51" s="36">
        <v>1.77</v>
      </c>
      <c r="E51" s="38">
        <v>0.33210000000000001</v>
      </c>
      <c r="F51" s="36">
        <v>1.51</v>
      </c>
      <c r="G51" s="44">
        <f t="shared" si="2"/>
        <v>-2.0100000000000007E-2</v>
      </c>
      <c r="H51" s="43">
        <f>1-F51/2.65</f>
        <v>0.43018867924528303</v>
      </c>
      <c r="I51" s="44">
        <f t="shared" si="3"/>
        <v>7.7988679245283021E-2</v>
      </c>
      <c r="J51" s="38">
        <v>0.23760000000000001</v>
      </c>
      <c r="K51" s="38">
        <v>0.23760000000000001</v>
      </c>
      <c r="L51" s="45">
        <f t="shared" si="4"/>
        <v>0.19258867924528303</v>
      </c>
      <c r="M51" s="36">
        <v>7.0000000000000007E-2</v>
      </c>
      <c r="N51" s="45">
        <f t="shared" si="5"/>
        <v>0.11460000000000001</v>
      </c>
      <c r="O51" s="36">
        <f t="shared" si="6"/>
        <v>0.49388888888888893</v>
      </c>
    </row>
    <row r="52" spans="1:50" x14ac:dyDescent="0.25">
      <c r="A52" s="36">
        <v>33</v>
      </c>
      <c r="B52" s="38">
        <v>0.37390000000000001</v>
      </c>
      <c r="C52" s="36">
        <v>1.79</v>
      </c>
      <c r="D52" s="36">
        <v>1.79</v>
      </c>
      <c r="E52" s="38">
        <v>0.32450000000000001</v>
      </c>
      <c r="F52" s="36">
        <v>1.59</v>
      </c>
      <c r="G52" s="44">
        <f t="shared" si="2"/>
        <v>-4.9399999999999999E-2</v>
      </c>
      <c r="H52" s="43">
        <f>1-F52/2.65</f>
        <v>0.39999999999999991</v>
      </c>
      <c r="I52" s="44">
        <f t="shared" si="3"/>
        <v>2.6099999999999901E-2</v>
      </c>
      <c r="J52" s="38">
        <v>0.22949999999999998</v>
      </c>
      <c r="K52" s="38">
        <v>0.22949999999999998</v>
      </c>
      <c r="L52" s="45">
        <f t="shared" si="4"/>
        <v>0.17049999999999993</v>
      </c>
      <c r="M52" s="36">
        <v>0.04</v>
      </c>
      <c r="N52" s="45">
        <f t="shared" si="5"/>
        <v>0.14440000000000003</v>
      </c>
      <c r="O52" s="36">
        <f t="shared" si="6"/>
        <v>0.28222222222222226</v>
      </c>
      <c r="AX52" s="42"/>
    </row>
    <row r="53" spans="1:50" x14ac:dyDescent="0.25">
      <c r="A53" s="36">
        <v>47</v>
      </c>
      <c r="B53" s="38">
        <v>0.26679999999999998</v>
      </c>
      <c r="C53" s="42"/>
      <c r="D53" s="42">
        <f>F53*0.2651-0.2092+F53</f>
        <v>1.4607320000000001</v>
      </c>
      <c r="E53" s="38"/>
      <c r="F53" s="36">
        <v>1.32</v>
      </c>
      <c r="G53" s="44" t="str">
        <f t="shared" si="2"/>
        <v/>
      </c>
      <c r="H53" s="43">
        <f>1-F53/2.65</f>
        <v>0.50188679245283008</v>
      </c>
      <c r="I53" s="44">
        <f t="shared" si="3"/>
        <v>0.2350867924528301</v>
      </c>
      <c r="J53" s="38">
        <v>0.17309999999999998</v>
      </c>
      <c r="K53" s="38">
        <v>0.17309999999999998</v>
      </c>
      <c r="L53" s="45">
        <f t="shared" si="4"/>
        <v>0.3287867924528301</v>
      </c>
      <c r="N53" s="45">
        <f t="shared" si="5"/>
        <v>9.3700000000000006E-2</v>
      </c>
      <c r="O53" s="36">
        <f t="shared" si="6"/>
        <v>0</v>
      </c>
      <c r="AX53" s="42"/>
    </row>
    <row r="54" spans="1:50" x14ac:dyDescent="0.25">
      <c r="B54" s="38" t="s">
        <v>218</v>
      </c>
      <c r="E54" s="38"/>
      <c r="G54" s="44" t="str">
        <f t="shared" si="2"/>
        <v/>
      </c>
      <c r="I54" s="44" t="str">
        <f t="shared" si="3"/>
        <v/>
      </c>
      <c r="L54" s="45"/>
      <c r="N54" s="45"/>
    </row>
    <row r="55" spans="1:50" x14ac:dyDescent="0.25">
      <c r="A55" s="38" t="s">
        <v>247</v>
      </c>
      <c r="E55" s="38"/>
      <c r="G55" s="44" t="str">
        <f>IFERROR(IF(OR(E55="",A55=""),"",E55-A55),"")</f>
        <v/>
      </c>
      <c r="I55" s="44" t="str">
        <f>IFERROR(IF(OR(A55="",H55=""),"",H55-A55),"")</f>
        <v/>
      </c>
      <c r="L55" s="45"/>
      <c r="N55" s="45"/>
    </row>
    <row r="56" spans="1:50" x14ac:dyDescent="0.25">
      <c r="A56" s="36">
        <v>0</v>
      </c>
      <c r="B56" s="38">
        <v>0.2427</v>
      </c>
      <c r="C56" s="42"/>
      <c r="D56" s="42">
        <f>F56*0.2651-0.2092+F56</f>
        <v>1.1950610000000002</v>
      </c>
      <c r="E56" s="38"/>
      <c r="F56" s="36">
        <v>1.1100000000000001</v>
      </c>
      <c r="G56" s="44" t="str">
        <f t="shared" si="2"/>
        <v/>
      </c>
      <c r="H56" s="43">
        <f>1-F56/2.65</f>
        <v>0.58113207547169798</v>
      </c>
      <c r="I56" s="44">
        <f t="shared" si="3"/>
        <v>0.33843207547169796</v>
      </c>
      <c r="J56" s="38">
        <v>0.1124</v>
      </c>
      <c r="K56" s="38">
        <v>0.1124</v>
      </c>
      <c r="L56" s="45">
        <f>H56-J56</f>
        <v>0.46873207547169798</v>
      </c>
      <c r="N56" s="45">
        <f t="shared" si="5"/>
        <v>0.13030000000000003</v>
      </c>
      <c r="O56" s="36">
        <f t="shared" si="6"/>
        <v>0</v>
      </c>
      <c r="AX56" s="42"/>
    </row>
    <row r="57" spans="1:50" x14ac:dyDescent="0.25">
      <c r="A57" s="36">
        <v>6</v>
      </c>
      <c r="B57" s="38">
        <v>0.29160000000000003</v>
      </c>
      <c r="C57" s="36">
        <v>1.43</v>
      </c>
      <c r="D57" s="36">
        <v>1.43</v>
      </c>
      <c r="E57" s="38">
        <v>0.46039999999999998</v>
      </c>
      <c r="F57" s="36">
        <v>1.29</v>
      </c>
      <c r="G57" s="44">
        <f t="shared" si="2"/>
        <v>0.16879999999999995</v>
      </c>
      <c r="H57" s="43">
        <f>1-F57/2.65</f>
        <v>0.51320754716981132</v>
      </c>
      <c r="I57" s="44">
        <f t="shared" si="3"/>
        <v>0.22160754716981129</v>
      </c>
      <c r="J57" s="38">
        <v>0.17460000000000001</v>
      </c>
      <c r="K57" s="38">
        <v>0.17460000000000001</v>
      </c>
      <c r="L57" s="45">
        <f>H57-J57</f>
        <v>0.33860754716981134</v>
      </c>
      <c r="M57" s="36">
        <v>0.86</v>
      </c>
      <c r="N57" s="45">
        <f t="shared" si="5"/>
        <v>0.11700000000000005</v>
      </c>
      <c r="O57" s="36">
        <f t="shared" si="6"/>
        <v>6.0677777777777777</v>
      </c>
    </row>
    <row r="58" spans="1:50" x14ac:dyDescent="0.25">
      <c r="A58" s="36">
        <v>18</v>
      </c>
      <c r="B58" s="38">
        <v>0.38380000000000003</v>
      </c>
      <c r="C58" s="36">
        <v>1.8</v>
      </c>
      <c r="D58" s="36">
        <v>1.8</v>
      </c>
      <c r="E58" s="38">
        <v>0.32079999999999997</v>
      </c>
      <c r="F58" s="36">
        <v>1.51</v>
      </c>
      <c r="G58" s="44">
        <f t="shared" si="2"/>
        <v>-6.3000000000000056E-2</v>
      </c>
      <c r="H58" s="43">
        <f>1-F58/2.65</f>
        <v>0.43018867924528303</v>
      </c>
      <c r="I58" s="44">
        <f t="shared" si="3"/>
        <v>4.6388679245283004E-2</v>
      </c>
      <c r="J58" s="38">
        <v>0.2515</v>
      </c>
      <c r="K58" s="38">
        <v>0.2515</v>
      </c>
      <c r="L58" s="45">
        <f>H58-J58</f>
        <v>0.17868867924528303</v>
      </c>
      <c r="M58" s="36">
        <v>0.17</v>
      </c>
      <c r="N58" s="45">
        <f t="shared" si="5"/>
        <v>0.13230000000000003</v>
      </c>
      <c r="O58" s="36">
        <f t="shared" si="6"/>
        <v>1.1994444444444445</v>
      </c>
    </row>
    <row r="59" spans="1:50" x14ac:dyDescent="0.25">
      <c r="A59" s="36">
        <v>48</v>
      </c>
      <c r="B59" s="38">
        <v>0.40429999999999999</v>
      </c>
      <c r="C59" s="36">
        <v>1.69</v>
      </c>
      <c r="D59" s="36">
        <v>1.69</v>
      </c>
      <c r="E59" s="38">
        <v>0.36229999999999996</v>
      </c>
      <c r="F59" s="36">
        <v>1.48</v>
      </c>
      <c r="G59" s="44">
        <f t="shared" si="2"/>
        <v>-4.2000000000000037E-2</v>
      </c>
      <c r="H59" s="43">
        <f>1-F59/2.65</f>
        <v>0.44150943396226416</v>
      </c>
      <c r="I59" s="44">
        <f t="shared" si="3"/>
        <v>3.7209433962264171E-2</v>
      </c>
      <c r="J59" s="38">
        <v>0.25819999999999999</v>
      </c>
      <c r="K59" s="38">
        <v>0.25819999999999999</v>
      </c>
      <c r="L59" s="45">
        <f>H59-J59</f>
        <v>0.18330943396226418</v>
      </c>
      <c r="M59" s="36">
        <v>0.17</v>
      </c>
      <c r="N59" s="45">
        <f t="shared" si="5"/>
        <v>0.14610000000000001</v>
      </c>
      <c r="O59" s="36">
        <f t="shared" si="6"/>
        <v>1.1994444444444445</v>
      </c>
      <c r="AX59" s="4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C2:T51"/>
  <sheetViews>
    <sheetView topLeftCell="B10" workbookViewId="0">
      <selection activeCell="L37" sqref="L37"/>
    </sheetView>
  </sheetViews>
  <sheetFormatPr defaultRowHeight="15" x14ac:dyDescent="0.25"/>
  <cols>
    <col min="5" max="5" width="18.28515625" customWidth="1"/>
  </cols>
  <sheetData>
    <row r="2" spans="5:17" x14ac:dyDescent="0.25">
      <c r="E2" t="s">
        <v>60</v>
      </c>
    </row>
    <row r="3" spans="5:17" x14ac:dyDescent="0.25"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2</v>
      </c>
      <c r="L3" t="s">
        <v>3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</row>
    <row r="4" spans="5:17" x14ac:dyDescent="0.25">
      <c r="E4">
        <v>1</v>
      </c>
      <c r="F4" s="5">
        <v>27.852349498792332</v>
      </c>
      <c r="G4" s="5">
        <v>30.192486556755739</v>
      </c>
      <c r="H4" s="5">
        <v>28.931090787251197</v>
      </c>
      <c r="I4" s="5">
        <v>25.330096022947469</v>
      </c>
      <c r="J4" s="5">
        <v>28.838530676665204</v>
      </c>
      <c r="K4" s="5">
        <v>24.477506376163333</v>
      </c>
      <c r="L4" s="5">
        <v>30.0985602876458</v>
      </c>
      <c r="M4" s="5">
        <v>29.587734238597928</v>
      </c>
      <c r="N4" s="5">
        <v>28.29624968842883</v>
      </c>
      <c r="O4" s="5">
        <v>27.303843699199064</v>
      </c>
      <c r="P4" s="5">
        <v>34.174037547475905</v>
      </c>
      <c r="Q4" s="5">
        <v>22.354690042562499</v>
      </c>
    </row>
    <row r="5" spans="5:17" x14ac:dyDescent="0.25">
      <c r="E5">
        <v>2</v>
      </c>
      <c r="F5" s="5">
        <v>23.982030236428201</v>
      </c>
      <c r="G5" s="5">
        <v>32.287710335019199</v>
      </c>
      <c r="H5" s="5">
        <v>35.926153268193801</v>
      </c>
      <c r="I5" s="5">
        <v>27.179494113310305</v>
      </c>
      <c r="J5" s="5">
        <v>30.444344140176501</v>
      </c>
      <c r="K5" s="5">
        <v>25.448690004291596</v>
      </c>
      <c r="L5" s="5">
        <v>37.020358085756797</v>
      </c>
      <c r="M5" s="5">
        <v>26.0632700013606</v>
      </c>
      <c r="N5" s="5">
        <v>30.927656569839602</v>
      </c>
      <c r="O5" s="5">
        <v>25.789390190803395</v>
      </c>
      <c r="P5" s="5">
        <v>29.677673346103301</v>
      </c>
      <c r="Q5" s="5">
        <v>24.709536051346898</v>
      </c>
    </row>
    <row r="6" spans="5:17" x14ac:dyDescent="0.25">
      <c r="E6">
        <v>3</v>
      </c>
      <c r="F6" s="5">
        <v>28.176806516423504</v>
      </c>
      <c r="G6" s="5">
        <v>29.983083493845104</v>
      </c>
      <c r="H6" s="5">
        <v>28.194706898130502</v>
      </c>
      <c r="I6" s="5">
        <v>35.639532337872801</v>
      </c>
      <c r="J6" s="5">
        <v>39.778818692265098</v>
      </c>
      <c r="K6" s="5">
        <v>24.618812063074401</v>
      </c>
      <c r="L6" s="5">
        <v>40.707380701831497</v>
      </c>
      <c r="M6" s="5">
        <v>33.014602606119503</v>
      </c>
      <c r="N6" s="5">
        <v>38.336228860711302</v>
      </c>
      <c r="O6" s="5">
        <v>27.202165279911899</v>
      </c>
      <c r="P6" s="5">
        <v>34.409485278956801</v>
      </c>
      <c r="Q6" s="5">
        <v>43.450870149962299</v>
      </c>
    </row>
    <row r="7" spans="5:17" x14ac:dyDescent="0.25">
      <c r="E7">
        <v>4</v>
      </c>
      <c r="F7" s="5">
        <v>32.043138223429203</v>
      </c>
      <c r="G7" s="5">
        <v>39.3569218883612</v>
      </c>
      <c r="H7" s="5">
        <v>35.4924546303901</v>
      </c>
      <c r="I7" s="5">
        <v>34.2125787889835</v>
      </c>
      <c r="J7" s="5">
        <v>34.744873818339002</v>
      </c>
      <c r="K7" s="5">
        <v>31.484087012610001</v>
      </c>
      <c r="L7" s="5">
        <v>38.697491540555298</v>
      </c>
      <c r="M7" s="5">
        <v>32.520488762099298</v>
      </c>
      <c r="N7" s="5">
        <v>37.040718957073302</v>
      </c>
      <c r="O7" s="5">
        <v>28.4743768593382</v>
      </c>
      <c r="P7" s="5">
        <v>40.143431525395599</v>
      </c>
      <c r="Q7" s="5">
        <v>34.794542109766802</v>
      </c>
    </row>
    <row r="8" spans="5:17" x14ac:dyDescent="0.25">
      <c r="E8">
        <v>5</v>
      </c>
      <c r="F8" s="5">
        <v>30.786965622708902</v>
      </c>
      <c r="G8" s="5">
        <v>36.913145733482999</v>
      </c>
      <c r="H8" s="5">
        <v>35.7659181029791</v>
      </c>
      <c r="I8" s="5">
        <v>30.827017394881302</v>
      </c>
      <c r="J8" s="5">
        <v>30.690877624875203</v>
      </c>
      <c r="K8" s="5">
        <v>38.846803694165501</v>
      </c>
      <c r="L8" s="5">
        <v>40.152529900675098</v>
      </c>
      <c r="M8" s="5">
        <v>32.271977366346903</v>
      </c>
      <c r="N8" s="5">
        <v>35.733067367848399</v>
      </c>
      <c r="O8" s="5">
        <v>31.622757090652804</v>
      </c>
      <c r="P8" s="5">
        <v>36.706929350939603</v>
      </c>
      <c r="Q8" s="5">
        <v>33.253144659269601</v>
      </c>
    </row>
    <row r="9" spans="5:17" x14ac:dyDescent="0.25">
      <c r="F9">
        <f>AVERAGE(F4:F8)</f>
        <v>28.568258019556424</v>
      </c>
      <c r="G9">
        <f t="shared" ref="G9:Q9" si="0">AVERAGE(G4:G8)</f>
        <v>33.746669601492847</v>
      </c>
      <c r="H9">
        <f t="shared" si="0"/>
        <v>32.862064737388941</v>
      </c>
      <c r="I9">
        <f t="shared" si="0"/>
        <v>30.637743731599073</v>
      </c>
      <c r="J9">
        <f t="shared" si="0"/>
        <v>32.899488990464206</v>
      </c>
      <c r="K9">
        <f t="shared" si="0"/>
        <v>28.975179830060966</v>
      </c>
      <c r="L9">
        <f t="shared" si="0"/>
        <v>37.335264103292893</v>
      </c>
      <c r="M9">
        <f t="shared" si="0"/>
        <v>30.691614594904841</v>
      </c>
      <c r="N9">
        <f t="shared" si="0"/>
        <v>34.066784288780283</v>
      </c>
      <c r="O9">
        <f t="shared" si="0"/>
        <v>28.078506623981077</v>
      </c>
      <c r="P9">
        <f t="shared" si="0"/>
        <v>35.022311409774247</v>
      </c>
      <c r="Q9">
        <f t="shared" si="0"/>
        <v>31.712556602581618</v>
      </c>
    </row>
    <row r="10" spans="5:17" x14ac:dyDescent="0.25">
      <c r="E10" t="s">
        <v>58</v>
      </c>
    </row>
    <row r="11" spans="5:17" x14ac:dyDescent="0.25"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2</v>
      </c>
      <c r="L11" t="s">
        <v>3</v>
      </c>
      <c r="M11" t="s">
        <v>11</v>
      </c>
      <c r="N11" t="s">
        <v>12</v>
      </c>
      <c r="O11" t="s">
        <v>13</v>
      </c>
      <c r="P11" t="s">
        <v>14</v>
      </c>
      <c r="Q11" t="s">
        <v>15</v>
      </c>
    </row>
    <row r="12" spans="5:17" x14ac:dyDescent="0.25">
      <c r="E12">
        <v>1</v>
      </c>
      <c r="F12" s="5">
        <v>1.3758515614629172</v>
      </c>
      <c r="G12" s="5">
        <v>1.4949014186193199</v>
      </c>
      <c r="H12" s="5">
        <v>1.215145898471234</v>
      </c>
      <c r="I12" s="5">
        <v>1.4502921258813342</v>
      </c>
      <c r="J12" s="5">
        <v>1.4704533285251284</v>
      </c>
      <c r="K12" s="5">
        <v>1.428628420256133</v>
      </c>
      <c r="L12" s="5">
        <v>1.5546200566856456</v>
      </c>
      <c r="M12" s="5">
        <v>1.3900404489598561</v>
      </c>
      <c r="N12" s="5">
        <v>1.4840727259911379</v>
      </c>
      <c r="O12" s="5">
        <v>1.1610560502114722</v>
      </c>
      <c r="P12" s="5">
        <v>1.4880824951154701</v>
      </c>
      <c r="Q12" s="5">
        <v>1.3511258537214357</v>
      </c>
    </row>
    <row r="13" spans="5:17" x14ac:dyDescent="0.25">
      <c r="E13">
        <v>2</v>
      </c>
      <c r="F13" s="5">
        <v>1.4476484884095171</v>
      </c>
      <c r="G13" s="5">
        <v>1.5046411592413584</v>
      </c>
      <c r="H13" s="5">
        <v>1.3990557617115598</v>
      </c>
      <c r="I13" s="5">
        <v>1.6693507336836697</v>
      </c>
      <c r="J13" s="5">
        <v>1.5680167295396312</v>
      </c>
      <c r="K13" s="5">
        <v>1.3724818280997935</v>
      </c>
      <c r="L13" s="5">
        <v>1.7878307861776574</v>
      </c>
      <c r="M13" s="5">
        <v>1.408430849803374</v>
      </c>
      <c r="N13" s="5">
        <v>1.5261779066266612</v>
      </c>
      <c r="O13" s="5">
        <v>1.0553045256080493</v>
      </c>
      <c r="P13" s="5">
        <v>1.3957665341813295</v>
      </c>
      <c r="Q13" s="5">
        <v>1.3451479371554795</v>
      </c>
    </row>
    <row r="14" spans="5:17" x14ac:dyDescent="0.25">
      <c r="E14">
        <v>3</v>
      </c>
      <c r="F14" s="5">
        <v>1.6669182181244679</v>
      </c>
      <c r="G14" s="5">
        <v>1.6616014580978955</v>
      </c>
      <c r="H14" s="5">
        <v>1.4287654044110631</v>
      </c>
      <c r="I14" s="5">
        <v>1.6581202074580823</v>
      </c>
      <c r="J14" s="5">
        <v>1.704938361176624</v>
      </c>
      <c r="K14" s="5">
        <v>1.4349089631279963</v>
      </c>
      <c r="L14" s="5">
        <v>1.5888514078017506</v>
      </c>
      <c r="M14" s="5">
        <v>1.5990282528349367</v>
      </c>
      <c r="N14" s="5">
        <v>1.6052459275394275</v>
      </c>
      <c r="O14" s="5">
        <v>1.5776809774069704</v>
      </c>
      <c r="P14" s="5">
        <v>1.5229619770806453</v>
      </c>
      <c r="Q14" s="5">
        <v>1.4913655013401093</v>
      </c>
    </row>
    <row r="15" spans="5:17" x14ac:dyDescent="0.25">
      <c r="E15">
        <v>4</v>
      </c>
      <c r="F15" s="5">
        <v>1.6857010144345743</v>
      </c>
      <c r="G15" s="5">
        <v>1.7242589106364221</v>
      </c>
      <c r="H15" s="5">
        <v>1.7072606654591924</v>
      </c>
      <c r="I15" s="5">
        <v>1.7192165185581281</v>
      </c>
      <c r="J15" s="5">
        <v>1.7149228704544419</v>
      </c>
      <c r="K15" s="5">
        <v>1.6197056167748796</v>
      </c>
      <c r="L15" s="5">
        <v>1.6487296183091258</v>
      </c>
      <c r="M15" s="5">
        <v>1.690433438119016</v>
      </c>
      <c r="N15" s="5">
        <v>1.6199240686018264</v>
      </c>
      <c r="O15" s="5">
        <v>1.6850278701633281</v>
      </c>
      <c r="P15" s="5">
        <v>1.5735293726825132</v>
      </c>
      <c r="Q15" s="5">
        <v>1.6588427690531831</v>
      </c>
    </row>
    <row r="16" spans="5:17" x14ac:dyDescent="0.25">
      <c r="E16">
        <v>5</v>
      </c>
      <c r="F16" s="5">
        <v>1.6803740352793837</v>
      </c>
      <c r="G16" s="5">
        <v>1.7069378630388641</v>
      </c>
      <c r="H16" s="5">
        <v>1.6517011736910341</v>
      </c>
      <c r="I16" s="5">
        <v>1.6841632616062441</v>
      </c>
      <c r="J16" s="5">
        <v>1.709005342281696</v>
      </c>
      <c r="K16" s="5">
        <v>1.6507018550061883</v>
      </c>
      <c r="L16" s="5">
        <v>1.7178326318327042</v>
      </c>
      <c r="M16" s="5">
        <v>1.6709491416648803</v>
      </c>
      <c r="N16" s="5">
        <v>1.6559909341530819</v>
      </c>
      <c r="O16" s="5">
        <v>1.7021699627019469</v>
      </c>
      <c r="P16" s="5">
        <v>1.6707985010030511</v>
      </c>
      <c r="Q16" s="5">
        <v>1.6932588463239686</v>
      </c>
    </row>
    <row r="17" spans="3:19" x14ac:dyDescent="0.25">
      <c r="F17">
        <f>AVERAGE(F12:F16)</f>
        <v>1.571298663542172</v>
      </c>
      <c r="G17">
        <f t="shared" ref="G17:Q17" si="1">AVERAGE(G12:G16)</f>
        <v>1.618468161926772</v>
      </c>
      <c r="H17">
        <f t="shared" si="1"/>
        <v>1.4803857807488165</v>
      </c>
      <c r="I17">
        <f t="shared" si="1"/>
        <v>1.6362285694374918</v>
      </c>
      <c r="J17">
        <f t="shared" si="1"/>
        <v>1.6334673263955044</v>
      </c>
      <c r="K17">
        <f t="shared" si="1"/>
        <v>1.5012853366529981</v>
      </c>
      <c r="L17">
        <f t="shared" si="1"/>
        <v>1.6595729001613768</v>
      </c>
      <c r="M17">
        <f t="shared" si="1"/>
        <v>1.5517764262764127</v>
      </c>
      <c r="N17">
        <f t="shared" si="1"/>
        <v>1.578282312582427</v>
      </c>
      <c r="O17">
        <f t="shared" si="1"/>
        <v>1.4362478772183533</v>
      </c>
      <c r="P17">
        <f t="shared" si="1"/>
        <v>1.5302277760126017</v>
      </c>
      <c r="Q17">
        <f t="shared" si="1"/>
        <v>1.5079481815188351</v>
      </c>
    </row>
    <row r="18" spans="3:19" x14ac:dyDescent="0.25">
      <c r="L18">
        <v>30</v>
      </c>
      <c r="M18">
        <v>1.66</v>
      </c>
    </row>
    <row r="19" spans="3:19" x14ac:dyDescent="0.25">
      <c r="F19" t="s">
        <v>6</v>
      </c>
      <c r="G19" t="s">
        <v>7</v>
      </c>
      <c r="H19" t="s">
        <v>8</v>
      </c>
      <c r="I19" t="s">
        <v>9</v>
      </c>
      <c r="J19" t="s">
        <v>10</v>
      </c>
      <c r="K19" t="s">
        <v>2</v>
      </c>
      <c r="L19" t="s">
        <v>3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</row>
    <row r="20" spans="3:19" x14ac:dyDescent="0.25">
      <c r="E20" t="s">
        <v>61</v>
      </c>
      <c r="F20">
        <f>IF(AND(F4&gt;$L$18,F12&gt;$M$18),1,IF(AND(F5&gt;$L$18,F13&gt;$M$18),2,IF(AND(F6&gt;$L$18,F14&gt;$M$18),3,IF(AND(F7&gt;$L$18,F15&gt;$M$18),4,5))))</f>
        <v>4</v>
      </c>
      <c r="G20">
        <f t="shared" ref="G20:Q20" si="2">IF(AND(G4&gt;$L$18,G12&gt;$M$18),1,IF(AND(G5&gt;$L$18,G13&gt;$M$18),2,IF(AND(G6&gt;$L$18,G14&gt;$M$18),3,IF(AND(G7&gt;$L$18,G15&gt;$M$18),4,5))))</f>
        <v>4</v>
      </c>
      <c r="H20">
        <f t="shared" si="2"/>
        <v>4</v>
      </c>
      <c r="I20">
        <f t="shared" si="2"/>
        <v>4</v>
      </c>
      <c r="J20">
        <f t="shared" si="2"/>
        <v>3</v>
      </c>
      <c r="K20">
        <f t="shared" si="2"/>
        <v>5</v>
      </c>
      <c r="L20">
        <f t="shared" si="2"/>
        <v>2</v>
      </c>
      <c r="M20">
        <f t="shared" si="2"/>
        <v>4</v>
      </c>
      <c r="N20">
        <f t="shared" si="2"/>
        <v>5</v>
      </c>
      <c r="O20">
        <f t="shared" si="2"/>
        <v>5</v>
      </c>
      <c r="P20">
        <f t="shared" si="2"/>
        <v>5</v>
      </c>
      <c r="Q20">
        <f t="shared" si="2"/>
        <v>5</v>
      </c>
    </row>
    <row r="21" spans="3:19" x14ac:dyDescent="0.25">
      <c r="E21" t="s">
        <v>62</v>
      </c>
      <c r="F21">
        <f>IF(F12&gt;$M$18,1,IF(F13&gt;$M$18,2,IF(F14&gt;$M$18,3,IF(F15&gt;$M$18,4,5))))</f>
        <v>3</v>
      </c>
      <c r="G21">
        <f t="shared" ref="G21:L21" si="3">IF(G12&gt;$M$18,1,IF(G13&gt;$M$18,2,IF(G14&gt;$M$18,3,IF(G15&gt;$M$18,4,5))))</f>
        <v>3</v>
      </c>
      <c r="H21">
        <f t="shared" si="3"/>
        <v>4</v>
      </c>
      <c r="I21">
        <f t="shared" si="3"/>
        <v>2</v>
      </c>
      <c r="J21">
        <f t="shared" si="3"/>
        <v>3</v>
      </c>
      <c r="K21">
        <v>4</v>
      </c>
      <c r="L21">
        <f t="shared" si="3"/>
        <v>2</v>
      </c>
      <c r="M21">
        <v>3</v>
      </c>
      <c r="N21">
        <v>3</v>
      </c>
      <c r="O21">
        <v>3</v>
      </c>
      <c r="P21">
        <v>3</v>
      </c>
      <c r="Q21">
        <v>3</v>
      </c>
    </row>
    <row r="22" spans="3:19" x14ac:dyDescent="0.25">
      <c r="E22" t="s">
        <v>84</v>
      </c>
      <c r="F22">
        <v>3</v>
      </c>
      <c r="G22">
        <v>3</v>
      </c>
      <c r="H22">
        <v>4</v>
      </c>
      <c r="I22">
        <v>4</v>
      </c>
      <c r="J22">
        <v>2</v>
      </c>
      <c r="K22">
        <v>5</v>
      </c>
      <c r="L22">
        <v>2</v>
      </c>
      <c r="M22">
        <v>3</v>
      </c>
      <c r="N22">
        <v>3</v>
      </c>
      <c r="O22">
        <v>5</v>
      </c>
      <c r="Q22">
        <v>4</v>
      </c>
    </row>
    <row r="23" spans="3:19" x14ac:dyDescent="0.25">
      <c r="E23" t="s">
        <v>85</v>
      </c>
      <c r="F23">
        <v>3</v>
      </c>
      <c r="G23">
        <v>4</v>
      </c>
      <c r="H23">
        <v>4</v>
      </c>
      <c r="I23">
        <v>3</v>
      </c>
      <c r="J23">
        <v>3</v>
      </c>
      <c r="K23">
        <v>4</v>
      </c>
      <c r="L23">
        <v>2</v>
      </c>
      <c r="M23">
        <v>3</v>
      </c>
      <c r="N23">
        <v>3</v>
      </c>
      <c r="O23">
        <v>5</v>
      </c>
      <c r="P23">
        <v>4</v>
      </c>
      <c r="Q23">
        <v>3</v>
      </c>
    </row>
    <row r="24" spans="3:19" x14ac:dyDescent="0.25">
      <c r="S24" t="s">
        <v>74</v>
      </c>
    </row>
    <row r="25" spans="3:19" x14ac:dyDescent="0.25">
      <c r="F25">
        <f>ROUND(AVERAGE(F21:F23),0)</f>
        <v>3</v>
      </c>
      <c r="G25">
        <f t="shared" ref="G25:Q25" si="4">ROUND(AVERAGE(G21:G23),0)</f>
        <v>3</v>
      </c>
      <c r="H25">
        <f t="shared" si="4"/>
        <v>4</v>
      </c>
      <c r="I25">
        <f t="shared" si="4"/>
        <v>3</v>
      </c>
      <c r="J25">
        <f t="shared" si="4"/>
        <v>3</v>
      </c>
      <c r="K25">
        <f t="shared" si="4"/>
        <v>4</v>
      </c>
      <c r="L25">
        <f t="shared" si="4"/>
        <v>2</v>
      </c>
      <c r="M25">
        <f t="shared" si="4"/>
        <v>3</v>
      </c>
      <c r="N25">
        <f t="shared" si="4"/>
        <v>3</v>
      </c>
      <c r="O25">
        <f t="shared" si="4"/>
        <v>4</v>
      </c>
      <c r="P25">
        <f t="shared" si="4"/>
        <v>4</v>
      </c>
      <c r="Q25">
        <f t="shared" si="4"/>
        <v>3</v>
      </c>
      <c r="S25" t="s">
        <v>75</v>
      </c>
    </row>
    <row r="26" spans="3:19" x14ac:dyDescent="0.25">
      <c r="S26" t="s">
        <v>76</v>
      </c>
    </row>
    <row r="27" spans="3:19" x14ac:dyDescent="0.25">
      <c r="F27" t="s">
        <v>6</v>
      </c>
      <c r="G27" t="s">
        <v>7</v>
      </c>
      <c r="H27" t="s">
        <v>8</v>
      </c>
      <c r="I27" t="s">
        <v>9</v>
      </c>
      <c r="J27" t="s">
        <v>10</v>
      </c>
      <c r="K27" t="s">
        <v>2</v>
      </c>
      <c r="L27" t="s">
        <v>3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</row>
    <row r="28" spans="3:19" x14ac:dyDescent="0.25">
      <c r="C28" t="s">
        <v>87</v>
      </c>
      <c r="E28" t="s">
        <v>86</v>
      </c>
      <c r="F28">
        <v>23</v>
      </c>
      <c r="G28">
        <v>32</v>
      </c>
      <c r="H28">
        <v>35</v>
      </c>
      <c r="J28">
        <v>32</v>
      </c>
      <c r="K28">
        <v>36</v>
      </c>
      <c r="L28">
        <v>46</v>
      </c>
      <c r="M28">
        <v>29</v>
      </c>
      <c r="N28">
        <v>40</v>
      </c>
      <c r="O28">
        <v>32</v>
      </c>
      <c r="P28">
        <v>34</v>
      </c>
      <c r="Q28">
        <v>30</v>
      </c>
      <c r="S28" t="s">
        <v>77</v>
      </c>
    </row>
    <row r="29" spans="3:19" x14ac:dyDescent="0.25">
      <c r="F29">
        <f>ROUND(CONVERT(F28,"in","cm"),0)</f>
        <v>58</v>
      </c>
      <c r="G29">
        <f t="shared" ref="G29:Q29" si="5">ROUND(CONVERT(G28,"in","cm"),0)</f>
        <v>81</v>
      </c>
      <c r="H29">
        <f t="shared" si="5"/>
        <v>89</v>
      </c>
      <c r="J29">
        <f t="shared" si="5"/>
        <v>81</v>
      </c>
      <c r="K29">
        <f t="shared" si="5"/>
        <v>91</v>
      </c>
      <c r="L29">
        <f t="shared" si="5"/>
        <v>117</v>
      </c>
      <c r="M29">
        <f t="shared" si="5"/>
        <v>74</v>
      </c>
      <c r="N29">
        <f t="shared" si="5"/>
        <v>102</v>
      </c>
      <c r="O29">
        <f t="shared" si="5"/>
        <v>81</v>
      </c>
      <c r="P29">
        <f t="shared" si="5"/>
        <v>86</v>
      </c>
      <c r="Q29">
        <f t="shared" si="5"/>
        <v>76</v>
      </c>
      <c r="S29" t="s">
        <v>78</v>
      </c>
    </row>
    <row r="31" spans="3:19" x14ac:dyDescent="0.25">
      <c r="C31" t="s">
        <v>88</v>
      </c>
      <c r="H31">
        <v>100</v>
      </c>
      <c r="S31" t="s">
        <v>79</v>
      </c>
    </row>
    <row r="32" spans="3:19" x14ac:dyDescent="0.25">
      <c r="H32" t="s">
        <v>5</v>
      </c>
      <c r="J32" s="7"/>
      <c r="S32" t="s">
        <v>80</v>
      </c>
    </row>
    <row r="33" spans="6:19" x14ac:dyDescent="0.25">
      <c r="G33" t="s">
        <v>6</v>
      </c>
      <c r="H33">
        <v>88</v>
      </c>
      <c r="I33">
        <v>88</v>
      </c>
      <c r="J33" s="7"/>
    </row>
    <row r="34" spans="6:19" x14ac:dyDescent="0.25">
      <c r="G34" t="s">
        <v>7</v>
      </c>
      <c r="H34" t="s">
        <v>18</v>
      </c>
      <c r="I34" t="s">
        <v>19</v>
      </c>
      <c r="J34" s="7"/>
      <c r="S34" t="s">
        <v>81</v>
      </c>
    </row>
    <row r="35" spans="6:19" x14ac:dyDescent="0.25">
      <c r="G35" t="s">
        <v>8</v>
      </c>
      <c r="H35" t="s">
        <v>17</v>
      </c>
      <c r="I35" s="6" t="s">
        <v>17</v>
      </c>
      <c r="J35" s="7"/>
      <c r="S35" t="s">
        <v>82</v>
      </c>
    </row>
    <row r="36" spans="6:19" x14ac:dyDescent="0.25">
      <c r="G36" t="s">
        <v>9</v>
      </c>
      <c r="H36" t="s">
        <v>18</v>
      </c>
      <c r="I36" t="s">
        <v>19</v>
      </c>
      <c r="J36" s="7"/>
      <c r="S36" t="s">
        <v>83</v>
      </c>
    </row>
    <row r="37" spans="6:19" x14ac:dyDescent="0.25">
      <c r="G37" t="s">
        <v>10</v>
      </c>
      <c r="H37" t="s">
        <v>18</v>
      </c>
      <c r="I37" t="s">
        <v>19</v>
      </c>
      <c r="J37" s="7"/>
    </row>
    <row r="38" spans="6:19" x14ac:dyDescent="0.25">
      <c r="G38" t="s">
        <v>2</v>
      </c>
      <c r="H38">
        <v>110</v>
      </c>
      <c r="I38">
        <v>110</v>
      </c>
      <c r="J38" s="7"/>
    </row>
    <row r="39" spans="6:19" x14ac:dyDescent="0.25">
      <c r="G39" t="s">
        <v>3</v>
      </c>
      <c r="H39" t="s">
        <v>4</v>
      </c>
      <c r="I39" t="s">
        <v>19</v>
      </c>
      <c r="J39" s="7"/>
    </row>
    <row r="40" spans="6:19" x14ac:dyDescent="0.25">
      <c r="G40" t="s">
        <v>11</v>
      </c>
      <c r="H40">
        <v>82</v>
      </c>
      <c r="I40">
        <v>82</v>
      </c>
      <c r="J40" s="7"/>
    </row>
    <row r="41" spans="6:19" x14ac:dyDescent="0.25">
      <c r="G41" t="s">
        <v>12</v>
      </c>
      <c r="H41" t="s">
        <v>18</v>
      </c>
      <c r="I41" t="s">
        <v>19</v>
      </c>
      <c r="J41" s="7"/>
    </row>
    <row r="42" spans="6:19" x14ac:dyDescent="0.25">
      <c r="G42" t="s">
        <v>13</v>
      </c>
      <c r="H42" t="s">
        <v>18</v>
      </c>
      <c r="I42" t="s">
        <v>19</v>
      </c>
      <c r="J42" s="7"/>
    </row>
    <row r="43" spans="6:19" x14ac:dyDescent="0.25">
      <c r="G43" t="s">
        <v>14</v>
      </c>
      <c r="H43" t="s">
        <v>18</v>
      </c>
      <c r="I43" t="s">
        <v>19</v>
      </c>
      <c r="J43" s="7"/>
    </row>
    <row r="44" spans="6:19" x14ac:dyDescent="0.25">
      <c r="G44" t="s">
        <v>15</v>
      </c>
      <c r="H44" t="s">
        <v>16</v>
      </c>
      <c r="I44" s="6" t="s">
        <v>16</v>
      </c>
      <c r="J44" s="7"/>
    </row>
    <row r="47" spans="6:19" x14ac:dyDescent="0.25"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6:19" x14ac:dyDescent="0.25"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6:20" x14ac:dyDescent="0.25">
      <c r="F49" s="7"/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2</v>
      </c>
      <c r="M49" t="s">
        <v>3</v>
      </c>
      <c r="N49" t="s">
        <v>11</v>
      </c>
      <c r="Q49" t="s">
        <v>12</v>
      </c>
      <c r="R49" t="s">
        <v>13</v>
      </c>
      <c r="S49" t="s">
        <v>14</v>
      </c>
      <c r="T49" t="s">
        <v>15</v>
      </c>
    </row>
    <row r="50" spans="6:20" x14ac:dyDescent="0.25">
      <c r="F50" s="7"/>
      <c r="G50">
        <v>23</v>
      </c>
      <c r="H50">
        <v>32</v>
      </c>
      <c r="I50">
        <v>35</v>
      </c>
      <c r="J50">
        <v>22</v>
      </c>
      <c r="K50">
        <v>32</v>
      </c>
      <c r="L50" t="s">
        <v>24</v>
      </c>
      <c r="M50" t="s">
        <v>25</v>
      </c>
      <c r="N50" t="s">
        <v>29</v>
      </c>
      <c r="R50" t="s">
        <v>26</v>
      </c>
      <c r="S50" t="s">
        <v>27</v>
      </c>
      <c r="T50" t="s">
        <v>28</v>
      </c>
    </row>
    <row r="51" spans="6:20" x14ac:dyDescent="0.25">
      <c r="F51" s="7"/>
      <c r="G51">
        <f>G50*2.54</f>
        <v>58.42</v>
      </c>
      <c r="H51">
        <f>H50*2.54</f>
        <v>81.28</v>
      </c>
      <c r="I51">
        <f>I50*2.54</f>
        <v>88.9</v>
      </c>
      <c r="J51">
        <f>J50*2.54</f>
        <v>55.88</v>
      </c>
      <c r="K51">
        <f>K50*2.54</f>
        <v>81.28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H18" sqref="H18"/>
    </sheetView>
  </sheetViews>
  <sheetFormatPr defaultRowHeight="15" x14ac:dyDescent="0.25"/>
  <sheetData>
    <row r="1" spans="1:27" x14ac:dyDescent="0.25"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7" x14ac:dyDescent="0.25">
      <c r="A2" t="s">
        <v>219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5">
      <c r="A3" t="s">
        <v>215</v>
      </c>
      <c r="B3" t="s">
        <v>216</v>
      </c>
      <c r="C3" t="s">
        <v>217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7" x14ac:dyDescent="0.25">
      <c r="A4" s="5">
        <v>7331.6535000000003</v>
      </c>
      <c r="B4" s="5">
        <v>12.6</v>
      </c>
      <c r="C4">
        <v>5.3110999999999997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7" x14ac:dyDescent="0.25">
      <c r="A5" s="5">
        <v>5027.5470000000005</v>
      </c>
      <c r="B5" s="5">
        <v>10.9</v>
      </c>
      <c r="C5">
        <v>5.5823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7" x14ac:dyDescent="0.25">
      <c r="A6" s="5">
        <v>6095.9565000000002</v>
      </c>
      <c r="B6" s="5">
        <v>10.9</v>
      </c>
      <c r="C6">
        <v>7.7037000000000004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7" x14ac:dyDescent="0.25">
      <c r="A7" s="5">
        <v>5449.1115</v>
      </c>
      <c r="B7" s="5">
        <v>13.7</v>
      </c>
      <c r="C7">
        <v>6.1559999999999997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7" x14ac:dyDescent="0.25">
      <c r="A8" s="5">
        <v>5118.9975000000004</v>
      </c>
      <c r="B8" s="5">
        <v>12.5</v>
      </c>
      <c r="C8">
        <v>5.0515999999999996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7" x14ac:dyDescent="0.25">
      <c r="A9" s="5">
        <v>5783.6865000000007</v>
      </c>
      <c r="B9" s="5">
        <v>11.8</v>
      </c>
      <c r="C9">
        <v>11.9801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7" x14ac:dyDescent="0.25">
      <c r="A10" s="5">
        <v>5136.8415000000005</v>
      </c>
      <c r="B10" s="5">
        <v>13.7</v>
      </c>
      <c r="C10">
        <v>7.1169000000000002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7" x14ac:dyDescent="0.25">
      <c r="A11" s="5">
        <v>6470.6805000000004</v>
      </c>
      <c r="B11" s="5">
        <v>11.8</v>
      </c>
      <c r="C11">
        <v>6.2055999999999996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7" x14ac:dyDescent="0.25">
      <c r="A12" s="5">
        <v>5734.6155000000008</v>
      </c>
      <c r="B12" s="5">
        <v>12.5</v>
      </c>
      <c r="C12">
        <v>6.9245999999999999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7" x14ac:dyDescent="0.25">
      <c r="A13" s="5">
        <v>7463.2529999999997</v>
      </c>
      <c r="B13" s="5">
        <v>12.1</v>
      </c>
      <c r="C13">
        <v>6.2111999999999998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7" x14ac:dyDescent="0.25">
      <c r="A14" s="5">
        <v>6927.9330000000018</v>
      </c>
      <c r="B14" s="5">
        <v>12.8</v>
      </c>
      <c r="C14">
        <v>7.7164000000000001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7" x14ac:dyDescent="0.25">
      <c r="A15" s="5">
        <v>5821.6050000000005</v>
      </c>
      <c r="B15" s="5">
        <v>9.8000000000000007</v>
      </c>
      <c r="C15">
        <v>5.6443000000000003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7"/>
  <sheetViews>
    <sheetView workbookViewId="0">
      <selection activeCell="K8" sqref="K8"/>
    </sheetView>
  </sheetViews>
  <sheetFormatPr defaultRowHeight="15" x14ac:dyDescent="0.25"/>
  <cols>
    <col min="10" max="10" width="13.140625" customWidth="1"/>
    <col min="11" max="11" width="16.28515625" customWidth="1"/>
    <col min="12" max="12" width="6" customWidth="1"/>
    <col min="13" max="13" width="10" customWidth="1"/>
    <col min="14" max="14" width="11.28515625" bestFit="1" customWidth="1"/>
  </cols>
  <sheetData>
    <row r="1" spans="1:14" x14ac:dyDescent="0.25">
      <c r="A1" t="s">
        <v>203</v>
      </c>
      <c r="B1" t="s">
        <v>204</v>
      </c>
      <c r="C1" t="s">
        <v>21</v>
      </c>
      <c r="D1" t="s">
        <v>205</v>
      </c>
      <c r="E1" t="s">
        <v>86</v>
      </c>
      <c r="F1" t="s">
        <v>206</v>
      </c>
    </row>
    <row r="2" spans="1:14" x14ac:dyDescent="0.25">
      <c r="A2" t="s">
        <v>207</v>
      </c>
      <c r="B2" t="s">
        <v>208</v>
      </c>
      <c r="C2">
        <v>1</v>
      </c>
      <c r="D2">
        <v>39.1</v>
      </c>
      <c r="E2">
        <v>466413.66</v>
      </c>
      <c r="F2">
        <v>5182371.3600000003</v>
      </c>
      <c r="J2" s="2" t="s">
        <v>203</v>
      </c>
      <c r="K2" t="s">
        <v>209</v>
      </c>
    </row>
    <row r="3" spans="1:14" x14ac:dyDescent="0.25">
      <c r="A3" t="s">
        <v>207</v>
      </c>
      <c r="B3" t="s">
        <v>208</v>
      </c>
      <c r="C3">
        <v>2</v>
      </c>
      <c r="D3">
        <v>41.246499999999997</v>
      </c>
      <c r="E3">
        <v>466493.66</v>
      </c>
      <c r="F3">
        <v>5182421.3600000003</v>
      </c>
    </row>
    <row r="4" spans="1:14" x14ac:dyDescent="0.25">
      <c r="A4" t="s">
        <v>207</v>
      </c>
      <c r="B4" t="s">
        <v>208</v>
      </c>
      <c r="C4">
        <v>3</v>
      </c>
      <c r="D4">
        <v>17.642600000000002</v>
      </c>
      <c r="E4">
        <v>466373.66</v>
      </c>
      <c r="F4">
        <v>5182241.3600000003</v>
      </c>
      <c r="J4" s="2" t="s">
        <v>210</v>
      </c>
      <c r="K4" s="2" t="s">
        <v>0</v>
      </c>
    </row>
    <row r="5" spans="1:14" x14ac:dyDescent="0.25">
      <c r="A5" t="s">
        <v>207</v>
      </c>
      <c r="B5" t="s">
        <v>208</v>
      </c>
      <c r="C5">
        <v>4</v>
      </c>
      <c r="D5">
        <v>30.5152</v>
      </c>
      <c r="E5">
        <v>466233.66</v>
      </c>
      <c r="F5">
        <v>5182211.3600000003</v>
      </c>
      <c r="J5" s="2" t="s">
        <v>1</v>
      </c>
      <c r="K5" t="s">
        <v>211</v>
      </c>
      <c r="L5" t="s">
        <v>212</v>
      </c>
      <c r="M5" t="s">
        <v>208</v>
      </c>
      <c r="N5" t="s">
        <v>59</v>
      </c>
    </row>
    <row r="6" spans="1:14" x14ac:dyDescent="0.25">
      <c r="A6" t="s">
        <v>207</v>
      </c>
      <c r="B6" t="s">
        <v>208</v>
      </c>
      <c r="C6">
        <v>5</v>
      </c>
      <c r="D6">
        <v>17.4221</v>
      </c>
      <c r="E6">
        <v>466273.66</v>
      </c>
      <c r="F6">
        <v>5182151.3600000003</v>
      </c>
      <c r="J6" s="4">
        <v>1</v>
      </c>
      <c r="K6" s="5">
        <v>29.2089</v>
      </c>
      <c r="L6" s="5">
        <v>6.6</v>
      </c>
      <c r="M6" s="5">
        <v>35.808900000000001</v>
      </c>
      <c r="N6" s="5">
        <v>71.617800000000003</v>
      </c>
    </row>
    <row r="7" spans="1:14" x14ac:dyDescent="0.25">
      <c r="A7" t="s">
        <v>207</v>
      </c>
      <c r="B7" t="s">
        <v>208</v>
      </c>
      <c r="C7">
        <v>6</v>
      </c>
      <c r="D7">
        <v>20.7699</v>
      </c>
      <c r="E7">
        <v>466363.66</v>
      </c>
      <c r="F7">
        <v>5182131.3600000003</v>
      </c>
      <c r="J7" s="4">
        <v>2</v>
      </c>
      <c r="K7" s="5">
        <v>37.608800000000002</v>
      </c>
      <c r="L7" s="5">
        <v>10.4</v>
      </c>
      <c r="M7" s="5">
        <v>48.008800000000001</v>
      </c>
      <c r="N7" s="5">
        <v>96.017600000000002</v>
      </c>
    </row>
    <row r="8" spans="1:14" x14ac:dyDescent="0.25">
      <c r="A8" t="s">
        <v>207</v>
      </c>
      <c r="B8" t="s">
        <v>208</v>
      </c>
      <c r="C8">
        <v>7</v>
      </c>
      <c r="D8">
        <v>26.6892</v>
      </c>
      <c r="E8">
        <v>466393.66</v>
      </c>
      <c r="F8">
        <v>5182061.3600000003</v>
      </c>
      <c r="J8" s="4">
        <v>3</v>
      </c>
      <c r="K8" s="5">
        <v>33.840699999999998</v>
      </c>
      <c r="L8" s="5">
        <v>6.4</v>
      </c>
      <c r="M8" s="5">
        <v>40.240699999999997</v>
      </c>
      <c r="N8" s="5">
        <v>80.481399999999994</v>
      </c>
    </row>
    <row r="9" spans="1:14" x14ac:dyDescent="0.25">
      <c r="A9" t="s">
        <v>207</v>
      </c>
      <c r="B9" t="s">
        <v>208</v>
      </c>
      <c r="C9">
        <v>8</v>
      </c>
      <c r="D9">
        <v>32.1006</v>
      </c>
      <c r="E9">
        <v>466423.66</v>
      </c>
      <c r="F9">
        <v>5182161.3600000003</v>
      </c>
      <c r="J9" s="4">
        <v>4</v>
      </c>
      <c r="K9" s="5">
        <v>19.638300000000001</v>
      </c>
      <c r="L9" s="5">
        <v>9.6999999999999993</v>
      </c>
      <c r="M9" s="5">
        <v>29.3383</v>
      </c>
      <c r="N9" s="5">
        <v>58.676600000000001</v>
      </c>
    </row>
    <row r="10" spans="1:14" x14ac:dyDescent="0.25">
      <c r="A10" t="s">
        <v>207</v>
      </c>
      <c r="B10" t="s">
        <v>208</v>
      </c>
      <c r="C10">
        <v>9</v>
      </c>
      <c r="D10">
        <v>29.983699999999999</v>
      </c>
      <c r="E10">
        <v>466463.66</v>
      </c>
      <c r="F10">
        <v>5182181.3600000003</v>
      </c>
      <c r="J10" s="4">
        <v>5</v>
      </c>
      <c r="K10" s="5">
        <v>27.069099999999999</v>
      </c>
      <c r="L10" s="5">
        <v>14</v>
      </c>
      <c r="M10" s="5">
        <v>41.069099999999999</v>
      </c>
      <c r="N10" s="5">
        <v>82.138199999999998</v>
      </c>
    </row>
    <row r="11" spans="1:14" x14ac:dyDescent="0.25">
      <c r="A11" t="s">
        <v>207</v>
      </c>
      <c r="B11" t="s">
        <v>208</v>
      </c>
      <c r="C11">
        <v>10</v>
      </c>
      <c r="D11">
        <v>23.362400000000001</v>
      </c>
      <c r="E11">
        <v>466493.66</v>
      </c>
      <c r="F11">
        <v>5182251.3600000003</v>
      </c>
      <c r="J11" s="4">
        <v>6</v>
      </c>
      <c r="K11" s="5">
        <v>20.154800000000002</v>
      </c>
      <c r="L11" s="5">
        <v>11.3</v>
      </c>
      <c r="M11" s="5">
        <v>31.454799999999999</v>
      </c>
      <c r="N11" s="5">
        <v>62.909599999999998</v>
      </c>
    </row>
    <row r="12" spans="1:14" x14ac:dyDescent="0.25">
      <c r="A12" t="s">
        <v>207</v>
      </c>
      <c r="B12" t="s">
        <v>208</v>
      </c>
      <c r="C12">
        <v>11</v>
      </c>
      <c r="D12">
        <v>23.506699999999999</v>
      </c>
      <c r="E12">
        <v>466493.66</v>
      </c>
      <c r="F12">
        <v>5182281.3600000003</v>
      </c>
      <c r="J12" s="4">
        <v>7</v>
      </c>
      <c r="K12" s="5">
        <v>38.566200000000002</v>
      </c>
      <c r="L12" s="5">
        <v>13</v>
      </c>
      <c r="M12" s="5">
        <v>51.566200000000002</v>
      </c>
      <c r="N12" s="5">
        <v>103.1324</v>
      </c>
    </row>
    <row r="13" spans="1:14" x14ac:dyDescent="0.25">
      <c r="A13" t="s">
        <v>207</v>
      </c>
      <c r="B13" t="s">
        <v>208</v>
      </c>
      <c r="C13">
        <v>12</v>
      </c>
      <c r="D13">
        <v>17.7301</v>
      </c>
      <c r="E13">
        <v>466553.66</v>
      </c>
      <c r="F13">
        <v>5182171.3600000003</v>
      </c>
      <c r="J13" s="4">
        <v>8</v>
      </c>
      <c r="K13" s="5">
        <v>26.117599999999999</v>
      </c>
      <c r="L13" s="5">
        <v>6.4</v>
      </c>
      <c r="M13" s="5">
        <v>32.517600000000002</v>
      </c>
      <c r="N13" s="5">
        <v>65.035200000000003</v>
      </c>
    </row>
    <row r="14" spans="1:14" x14ac:dyDescent="0.25">
      <c r="A14" t="s">
        <v>207</v>
      </c>
      <c r="B14" t="s">
        <v>208</v>
      </c>
      <c r="C14">
        <v>13</v>
      </c>
      <c r="D14">
        <v>18.890499999999999</v>
      </c>
      <c r="E14">
        <v>466323.66</v>
      </c>
      <c r="F14">
        <v>5182201.3600000003</v>
      </c>
      <c r="J14" s="4">
        <v>9</v>
      </c>
      <c r="K14" s="5">
        <v>33.596400000000003</v>
      </c>
      <c r="L14" s="5">
        <v>15.2</v>
      </c>
      <c r="M14" s="5">
        <v>48.796399999999998</v>
      </c>
      <c r="N14" s="5">
        <v>97.592800000000011</v>
      </c>
    </row>
    <row r="15" spans="1:14" x14ac:dyDescent="0.25">
      <c r="A15" t="s">
        <v>207</v>
      </c>
      <c r="B15" t="s">
        <v>208</v>
      </c>
      <c r="C15">
        <v>14</v>
      </c>
      <c r="D15">
        <v>23.834599999999998</v>
      </c>
      <c r="E15">
        <v>466603.66</v>
      </c>
      <c r="F15">
        <v>5182231.3600000003</v>
      </c>
      <c r="J15" s="4">
        <v>10</v>
      </c>
      <c r="K15" s="5">
        <v>21.261099999999999</v>
      </c>
      <c r="L15" s="5">
        <v>4.8</v>
      </c>
      <c r="M15" s="5">
        <v>26.0611</v>
      </c>
      <c r="N15" s="5">
        <v>52.122199999999999</v>
      </c>
    </row>
    <row r="16" spans="1:14" x14ac:dyDescent="0.25">
      <c r="A16" t="s">
        <v>207</v>
      </c>
      <c r="B16" t="s">
        <v>208</v>
      </c>
      <c r="C16">
        <v>15</v>
      </c>
      <c r="D16">
        <v>18.323</v>
      </c>
      <c r="E16">
        <v>466483.66</v>
      </c>
      <c r="F16">
        <v>5182081.3600000003</v>
      </c>
      <c r="J16" s="4">
        <v>11</v>
      </c>
      <c r="K16" s="5">
        <v>34.178600000000003</v>
      </c>
      <c r="L16" s="5">
        <v>18.600000000000001</v>
      </c>
      <c r="M16" s="5">
        <v>52.778599999999997</v>
      </c>
      <c r="N16" s="5">
        <v>105.55719999999999</v>
      </c>
    </row>
    <row r="17" spans="1:14" x14ac:dyDescent="0.25">
      <c r="A17" t="s">
        <v>207</v>
      </c>
      <c r="B17" t="s">
        <v>208</v>
      </c>
      <c r="C17">
        <v>16</v>
      </c>
      <c r="D17">
        <v>24.743400000000001</v>
      </c>
      <c r="E17">
        <v>466153.66</v>
      </c>
      <c r="F17">
        <v>5182151.3600000003</v>
      </c>
      <c r="J17" s="4">
        <v>12</v>
      </c>
      <c r="K17" s="5">
        <v>31.819500000000001</v>
      </c>
      <c r="L17" s="5">
        <v>11.2</v>
      </c>
      <c r="M17" s="5">
        <v>43.019500000000001</v>
      </c>
      <c r="N17" s="5">
        <v>86.039000000000001</v>
      </c>
    </row>
    <row r="18" spans="1:14" x14ac:dyDescent="0.25">
      <c r="A18" t="s">
        <v>207</v>
      </c>
      <c r="B18" t="s">
        <v>208</v>
      </c>
      <c r="C18">
        <v>17</v>
      </c>
      <c r="D18">
        <v>0</v>
      </c>
      <c r="E18">
        <v>466193.66</v>
      </c>
      <c r="F18">
        <v>5182091.3600000003</v>
      </c>
      <c r="J18" s="4">
        <v>13</v>
      </c>
      <c r="K18" s="5">
        <v>28.2195</v>
      </c>
      <c r="L18" s="5">
        <v>5.8</v>
      </c>
      <c r="M18" s="5">
        <v>34.019500000000001</v>
      </c>
      <c r="N18" s="5">
        <v>68.039000000000001</v>
      </c>
    </row>
    <row r="19" spans="1:14" x14ac:dyDescent="0.25">
      <c r="A19" t="s">
        <v>207</v>
      </c>
      <c r="B19" t="s">
        <v>208</v>
      </c>
      <c r="C19">
        <v>18</v>
      </c>
      <c r="D19">
        <v>32.672199999999997</v>
      </c>
      <c r="E19">
        <v>466533.66</v>
      </c>
      <c r="F19">
        <v>5182351.3600000003</v>
      </c>
      <c r="J19" s="4">
        <v>14</v>
      </c>
      <c r="K19" s="5">
        <v>18.783899999999999</v>
      </c>
      <c r="L19" s="5">
        <v>8</v>
      </c>
      <c r="M19" s="5">
        <v>26.783899999999999</v>
      </c>
      <c r="N19" s="5">
        <v>53.567799999999998</v>
      </c>
    </row>
    <row r="20" spans="1:14" x14ac:dyDescent="0.25">
      <c r="A20" t="s">
        <v>207</v>
      </c>
      <c r="B20" t="s">
        <v>208</v>
      </c>
      <c r="C20">
        <v>19</v>
      </c>
      <c r="D20">
        <v>34.330199999999998</v>
      </c>
      <c r="E20">
        <v>466303.66</v>
      </c>
      <c r="F20">
        <v>5182261.3600000003</v>
      </c>
      <c r="J20" s="4">
        <v>15</v>
      </c>
      <c r="K20" s="5">
        <v>24.7804</v>
      </c>
      <c r="L20" s="5">
        <v>6.7</v>
      </c>
      <c r="M20" s="5">
        <v>31.480399999999999</v>
      </c>
      <c r="N20" s="5">
        <v>62.960799999999999</v>
      </c>
    </row>
    <row r="21" spans="1:14" x14ac:dyDescent="0.25">
      <c r="A21" t="s">
        <v>207</v>
      </c>
      <c r="B21" t="s">
        <v>208</v>
      </c>
      <c r="C21">
        <v>20</v>
      </c>
      <c r="D21">
        <v>25.3886</v>
      </c>
      <c r="E21">
        <v>466313.66</v>
      </c>
      <c r="F21">
        <v>5182341.3600000003</v>
      </c>
      <c r="J21" s="4">
        <v>16</v>
      </c>
      <c r="K21" s="5">
        <v>18.636199999999999</v>
      </c>
      <c r="L21" s="5">
        <v>3</v>
      </c>
      <c r="M21" s="5">
        <v>21.636199999999999</v>
      </c>
      <c r="N21" s="5">
        <v>43.272399999999998</v>
      </c>
    </row>
    <row r="22" spans="1:14" x14ac:dyDescent="0.25">
      <c r="A22" t="s">
        <v>207</v>
      </c>
      <c r="B22" t="s">
        <v>208</v>
      </c>
      <c r="C22">
        <v>21</v>
      </c>
      <c r="D22">
        <v>26.181699999999999</v>
      </c>
      <c r="E22">
        <v>466213.66</v>
      </c>
      <c r="F22">
        <v>5182281.3600000003</v>
      </c>
      <c r="J22" s="4">
        <v>17</v>
      </c>
      <c r="K22" s="5">
        <v>27.139500000000002</v>
      </c>
      <c r="L22" s="5">
        <v>11.8</v>
      </c>
      <c r="M22" s="5">
        <v>38.939500000000002</v>
      </c>
      <c r="N22" s="5">
        <v>77.879000000000005</v>
      </c>
    </row>
    <row r="23" spans="1:14" x14ac:dyDescent="0.25">
      <c r="A23" t="s">
        <v>207</v>
      </c>
      <c r="B23" t="s">
        <v>208</v>
      </c>
      <c r="C23">
        <v>22</v>
      </c>
      <c r="D23">
        <v>20.462199999999999</v>
      </c>
      <c r="E23">
        <v>466153.66</v>
      </c>
      <c r="F23">
        <v>5182231.3600000003</v>
      </c>
      <c r="J23" s="4">
        <v>18</v>
      </c>
      <c r="K23" s="5">
        <v>0</v>
      </c>
      <c r="L23" s="5">
        <v>0</v>
      </c>
      <c r="M23" s="5">
        <v>0</v>
      </c>
      <c r="N23" s="5">
        <v>0</v>
      </c>
    </row>
    <row r="24" spans="1:14" x14ac:dyDescent="0.25">
      <c r="A24" t="s">
        <v>207</v>
      </c>
      <c r="B24" t="s">
        <v>208</v>
      </c>
      <c r="C24">
        <v>23</v>
      </c>
      <c r="D24">
        <v>0</v>
      </c>
      <c r="E24">
        <v>466593.66</v>
      </c>
      <c r="F24">
        <v>5182311.3600000003</v>
      </c>
      <c r="J24" s="4">
        <v>19</v>
      </c>
      <c r="K24" s="5">
        <v>22.843800000000002</v>
      </c>
      <c r="L24" s="5">
        <v>3.8</v>
      </c>
      <c r="M24" s="5">
        <v>26.643799999999999</v>
      </c>
      <c r="N24" s="5">
        <v>53.287599999999998</v>
      </c>
    </row>
    <row r="25" spans="1:14" x14ac:dyDescent="0.25">
      <c r="A25" t="s">
        <v>207</v>
      </c>
      <c r="B25" t="s">
        <v>208</v>
      </c>
      <c r="C25">
        <v>24</v>
      </c>
      <c r="D25">
        <v>27.546600000000002</v>
      </c>
      <c r="E25">
        <v>466283.66</v>
      </c>
      <c r="F25">
        <v>5182051.3600000003</v>
      </c>
      <c r="J25" s="4">
        <v>20</v>
      </c>
      <c r="K25" s="5">
        <v>26.830300000000001</v>
      </c>
      <c r="L25" s="5">
        <v>5.6</v>
      </c>
      <c r="M25" s="5">
        <v>32.430300000000003</v>
      </c>
      <c r="N25" s="5">
        <v>64.860600000000005</v>
      </c>
    </row>
    <row r="26" spans="1:14" x14ac:dyDescent="0.25">
      <c r="A26" t="s">
        <v>207</v>
      </c>
      <c r="B26" t="s">
        <v>208</v>
      </c>
      <c r="C26">
        <v>25</v>
      </c>
      <c r="D26">
        <v>21.829899999999999</v>
      </c>
      <c r="E26">
        <v>466413.66</v>
      </c>
      <c r="F26">
        <v>5182441.3600000003</v>
      </c>
      <c r="J26" s="4">
        <v>21</v>
      </c>
      <c r="K26" s="5">
        <v>31.631699999999999</v>
      </c>
      <c r="L26" s="5">
        <v>6.9</v>
      </c>
      <c r="M26" s="5">
        <v>38.531700000000001</v>
      </c>
      <c r="N26" s="5">
        <v>77.063400000000001</v>
      </c>
    </row>
    <row r="27" spans="1:14" x14ac:dyDescent="0.25">
      <c r="A27" t="s">
        <v>207</v>
      </c>
      <c r="B27" t="s">
        <v>208</v>
      </c>
      <c r="C27">
        <v>26</v>
      </c>
      <c r="D27">
        <v>21.5472</v>
      </c>
      <c r="E27">
        <v>466493.66</v>
      </c>
      <c r="F27">
        <v>5182501.3600000003</v>
      </c>
      <c r="J27" s="4">
        <v>22</v>
      </c>
      <c r="K27" s="5">
        <v>22.848099999999999</v>
      </c>
      <c r="L27" s="5">
        <v>9.3000000000000007</v>
      </c>
      <c r="M27" s="5">
        <v>32.148099999999999</v>
      </c>
      <c r="N27" s="5">
        <v>64.296199999999999</v>
      </c>
    </row>
    <row r="28" spans="1:14" x14ac:dyDescent="0.25">
      <c r="A28" t="s">
        <v>207</v>
      </c>
      <c r="B28" t="s">
        <v>208</v>
      </c>
      <c r="C28">
        <v>27</v>
      </c>
      <c r="D28">
        <v>27.835100000000001</v>
      </c>
      <c r="E28">
        <v>466423.66</v>
      </c>
      <c r="F28">
        <v>5182291.3600000003</v>
      </c>
      <c r="J28" s="4">
        <v>23</v>
      </c>
      <c r="K28" s="5">
        <v>25.660499999999999</v>
      </c>
      <c r="L28" s="5">
        <v>7.3</v>
      </c>
      <c r="M28" s="5">
        <v>32.960500000000003</v>
      </c>
      <c r="N28" s="5">
        <v>65.920999999999992</v>
      </c>
    </row>
    <row r="29" spans="1:14" x14ac:dyDescent="0.25">
      <c r="A29" t="s">
        <v>207</v>
      </c>
      <c r="B29" t="s">
        <v>208</v>
      </c>
      <c r="C29">
        <v>28</v>
      </c>
      <c r="D29">
        <v>19.1861</v>
      </c>
      <c r="E29">
        <v>466613.66</v>
      </c>
      <c r="F29">
        <v>5182171.3600000003</v>
      </c>
      <c r="J29" s="4">
        <v>24</v>
      </c>
      <c r="K29" s="5">
        <v>29.813400000000001</v>
      </c>
      <c r="L29" s="5">
        <v>13.2</v>
      </c>
      <c r="M29" s="5">
        <v>43.013399999999997</v>
      </c>
      <c r="N29" s="5">
        <v>86.026800000000009</v>
      </c>
    </row>
    <row r="30" spans="1:14" x14ac:dyDescent="0.25">
      <c r="A30" t="s">
        <v>207</v>
      </c>
      <c r="B30" t="s">
        <v>208</v>
      </c>
      <c r="C30">
        <v>29</v>
      </c>
      <c r="D30">
        <v>17.707100000000001</v>
      </c>
      <c r="E30">
        <v>466643.66</v>
      </c>
      <c r="F30">
        <v>5182271.3600000003</v>
      </c>
      <c r="J30" s="4">
        <v>25</v>
      </c>
      <c r="K30" s="5">
        <v>22.745899999999999</v>
      </c>
      <c r="L30" s="5">
        <v>12.1</v>
      </c>
      <c r="M30" s="5">
        <v>34.8459</v>
      </c>
      <c r="N30" s="5">
        <v>69.691800000000001</v>
      </c>
    </row>
    <row r="31" spans="1:14" x14ac:dyDescent="0.25">
      <c r="A31" t="s">
        <v>207</v>
      </c>
      <c r="B31" t="s">
        <v>208</v>
      </c>
      <c r="C31">
        <v>30</v>
      </c>
      <c r="D31">
        <v>26.211600000000001</v>
      </c>
      <c r="E31">
        <v>466333.66</v>
      </c>
      <c r="F31">
        <v>5182021.3600000003</v>
      </c>
      <c r="J31" s="4">
        <v>26</v>
      </c>
      <c r="K31" s="5">
        <v>30.0015</v>
      </c>
      <c r="L31" s="5">
        <v>21.7</v>
      </c>
      <c r="M31" s="5">
        <v>51.701500000000003</v>
      </c>
      <c r="N31" s="5">
        <v>103.40299999999999</v>
      </c>
    </row>
    <row r="32" spans="1:14" x14ac:dyDescent="0.25">
      <c r="A32" t="s">
        <v>207</v>
      </c>
      <c r="B32" t="s">
        <v>208</v>
      </c>
      <c r="C32">
        <v>31</v>
      </c>
      <c r="D32">
        <v>19.756799999999998</v>
      </c>
      <c r="E32">
        <v>466463.66</v>
      </c>
      <c r="F32">
        <v>5182341.3600000003</v>
      </c>
      <c r="J32" s="4">
        <v>27</v>
      </c>
      <c r="K32" s="5">
        <v>19.018599999999999</v>
      </c>
      <c r="L32" s="5">
        <v>9.8000000000000007</v>
      </c>
      <c r="M32" s="5">
        <v>28.8186</v>
      </c>
      <c r="N32" s="5">
        <v>57.6372</v>
      </c>
    </row>
    <row r="33" spans="1:14" x14ac:dyDescent="0.25">
      <c r="A33" t="s">
        <v>207</v>
      </c>
      <c r="B33" t="s">
        <v>208</v>
      </c>
      <c r="C33">
        <v>32</v>
      </c>
      <c r="D33">
        <v>24.7454</v>
      </c>
      <c r="E33">
        <v>466123.66</v>
      </c>
      <c r="F33">
        <v>5182111.3600000003</v>
      </c>
      <c r="J33" s="4">
        <v>28</v>
      </c>
      <c r="K33" s="5">
        <v>44.349899999999998</v>
      </c>
      <c r="L33" s="5">
        <v>7.1</v>
      </c>
      <c r="M33" s="5">
        <v>51.4499</v>
      </c>
      <c r="N33" s="5">
        <v>102.8998</v>
      </c>
    </row>
    <row r="34" spans="1:14" x14ac:dyDescent="0.25">
      <c r="A34" t="s">
        <v>207</v>
      </c>
      <c r="B34" t="s">
        <v>208</v>
      </c>
      <c r="C34">
        <v>33</v>
      </c>
      <c r="D34">
        <v>35.6096</v>
      </c>
      <c r="E34">
        <v>466333.66</v>
      </c>
      <c r="F34">
        <v>5182081.3600000003</v>
      </c>
      <c r="J34" s="4">
        <v>29</v>
      </c>
      <c r="K34" s="5">
        <v>0</v>
      </c>
      <c r="L34" s="5">
        <v>0</v>
      </c>
      <c r="M34" s="5">
        <v>0</v>
      </c>
      <c r="N34" s="5">
        <v>0</v>
      </c>
    </row>
    <row r="35" spans="1:14" x14ac:dyDescent="0.25">
      <c r="A35" t="s">
        <v>207</v>
      </c>
      <c r="B35" t="s">
        <v>208</v>
      </c>
      <c r="C35">
        <v>34</v>
      </c>
      <c r="D35">
        <v>24.832100000000001</v>
      </c>
      <c r="E35">
        <v>466543.66</v>
      </c>
      <c r="F35">
        <v>5182241.3600000003</v>
      </c>
      <c r="J35" s="4">
        <v>30</v>
      </c>
      <c r="K35" s="5">
        <v>27.938300000000002</v>
      </c>
      <c r="L35" s="5">
        <v>13.5</v>
      </c>
      <c r="M35" s="5">
        <v>41.438299999999998</v>
      </c>
      <c r="N35" s="5">
        <v>82.876599999999996</v>
      </c>
    </row>
    <row r="36" spans="1:14" x14ac:dyDescent="0.25">
      <c r="A36" t="s">
        <v>207</v>
      </c>
      <c r="B36" t="s">
        <v>208</v>
      </c>
      <c r="C36">
        <v>35</v>
      </c>
      <c r="D36">
        <v>38.491100000000003</v>
      </c>
      <c r="E36">
        <v>466363.66</v>
      </c>
      <c r="F36">
        <v>5182331.3600000003</v>
      </c>
      <c r="J36" s="4">
        <v>31</v>
      </c>
      <c r="K36" s="5">
        <v>21.116700000000002</v>
      </c>
      <c r="L36" s="5">
        <v>8.8000000000000007</v>
      </c>
      <c r="M36" s="5">
        <v>29.916699999999999</v>
      </c>
      <c r="N36" s="5">
        <v>59.833399999999997</v>
      </c>
    </row>
    <row r="37" spans="1:14" x14ac:dyDescent="0.25">
      <c r="A37" t="s">
        <v>207</v>
      </c>
      <c r="B37" t="s">
        <v>208</v>
      </c>
      <c r="C37">
        <v>36</v>
      </c>
      <c r="D37">
        <v>23.8154</v>
      </c>
      <c r="E37">
        <v>466353.66</v>
      </c>
      <c r="F37">
        <v>5182391.3600000003</v>
      </c>
      <c r="J37" s="4">
        <v>32</v>
      </c>
      <c r="K37" s="5">
        <v>27.7514</v>
      </c>
      <c r="L37" s="5">
        <v>14.1</v>
      </c>
      <c r="M37" s="5">
        <v>41.851399999999998</v>
      </c>
      <c r="N37" s="5">
        <v>83.702799999999996</v>
      </c>
    </row>
    <row r="38" spans="1:14" x14ac:dyDescent="0.25">
      <c r="A38" t="s">
        <v>207</v>
      </c>
      <c r="B38" t="s">
        <v>212</v>
      </c>
      <c r="C38">
        <v>1</v>
      </c>
      <c r="D38">
        <v>6.7</v>
      </c>
      <c r="E38">
        <v>466413.66</v>
      </c>
      <c r="F38">
        <v>5182371.3600000003</v>
      </c>
      <c r="J38" s="4">
        <v>33</v>
      </c>
      <c r="K38" s="5">
        <v>36.423900000000003</v>
      </c>
      <c r="L38" s="5">
        <v>16.399999999999999</v>
      </c>
      <c r="M38" s="5">
        <v>52.823900000000002</v>
      </c>
      <c r="N38" s="5">
        <v>105.6478</v>
      </c>
    </row>
    <row r="39" spans="1:14" x14ac:dyDescent="0.25">
      <c r="A39" t="s">
        <v>207</v>
      </c>
      <c r="B39" t="s">
        <v>212</v>
      </c>
      <c r="C39">
        <v>2</v>
      </c>
      <c r="D39">
        <v>5.4</v>
      </c>
      <c r="E39">
        <v>466493.66</v>
      </c>
      <c r="F39">
        <v>5182421.3600000003</v>
      </c>
      <c r="J39" s="4">
        <v>34</v>
      </c>
      <c r="K39" s="5">
        <v>31.671299999999999</v>
      </c>
      <c r="L39" s="5">
        <v>9.6999999999999993</v>
      </c>
      <c r="M39" s="5">
        <v>41.371299999999998</v>
      </c>
      <c r="N39" s="5">
        <v>82.742599999999996</v>
      </c>
    </row>
    <row r="40" spans="1:14" x14ac:dyDescent="0.25">
      <c r="A40" t="s">
        <v>207</v>
      </c>
      <c r="B40" t="s">
        <v>212</v>
      </c>
      <c r="C40">
        <v>3</v>
      </c>
      <c r="D40">
        <v>4.4000000000000004</v>
      </c>
      <c r="E40">
        <v>466373.66</v>
      </c>
      <c r="F40">
        <v>5182241.3600000003</v>
      </c>
      <c r="J40" s="4">
        <v>35</v>
      </c>
      <c r="K40" s="5">
        <v>26.3474</v>
      </c>
      <c r="L40" s="5">
        <v>5.4</v>
      </c>
      <c r="M40" s="5">
        <v>31.747399999999999</v>
      </c>
      <c r="N40" s="5">
        <v>63.494799999999998</v>
      </c>
    </row>
    <row r="41" spans="1:14" x14ac:dyDescent="0.25">
      <c r="A41" t="s">
        <v>207</v>
      </c>
      <c r="B41" t="s">
        <v>212</v>
      </c>
      <c r="C41">
        <v>4</v>
      </c>
      <c r="D41">
        <v>8.4</v>
      </c>
      <c r="E41">
        <v>466233.66</v>
      </c>
      <c r="F41">
        <v>5182211.3600000003</v>
      </c>
      <c r="J41" s="4">
        <v>36</v>
      </c>
      <c r="K41" s="5">
        <v>27.949000000000002</v>
      </c>
      <c r="L41" s="5">
        <v>5.0999999999999996</v>
      </c>
      <c r="M41" s="5">
        <v>33.048999999999999</v>
      </c>
      <c r="N41" s="5">
        <v>66.097999999999999</v>
      </c>
    </row>
    <row r="42" spans="1:14" x14ac:dyDescent="0.25">
      <c r="A42" t="s">
        <v>207</v>
      </c>
      <c r="B42" t="s">
        <v>212</v>
      </c>
      <c r="C42">
        <v>5</v>
      </c>
      <c r="D42">
        <v>4.0999999999999996</v>
      </c>
      <c r="E42">
        <v>466273.66</v>
      </c>
      <c r="F42">
        <v>5182151.3600000003</v>
      </c>
      <c r="J42" s="4" t="s">
        <v>59</v>
      </c>
      <c r="K42" s="5">
        <v>945.56119999999999</v>
      </c>
      <c r="L42" s="5">
        <v>332.70000000000005</v>
      </c>
      <c r="M42" s="5">
        <v>1278.2612000000001</v>
      </c>
      <c r="N42" s="5">
        <v>2556.5224000000003</v>
      </c>
    </row>
    <row r="43" spans="1:14" x14ac:dyDescent="0.25">
      <c r="A43" t="s">
        <v>207</v>
      </c>
      <c r="B43" t="s">
        <v>212</v>
      </c>
      <c r="C43">
        <v>6</v>
      </c>
      <c r="D43">
        <v>3.2</v>
      </c>
      <c r="E43">
        <v>466363.66</v>
      </c>
      <c r="F43">
        <v>5182131.3600000003</v>
      </c>
    </row>
    <row r="44" spans="1:14" x14ac:dyDescent="0.25">
      <c r="A44" t="s">
        <v>207</v>
      </c>
      <c r="B44" t="s">
        <v>212</v>
      </c>
      <c r="C44">
        <v>7</v>
      </c>
      <c r="D44">
        <v>9</v>
      </c>
      <c r="E44">
        <v>466393.66</v>
      </c>
      <c r="F44">
        <v>5182061.3600000003</v>
      </c>
    </row>
    <row r="45" spans="1:14" x14ac:dyDescent="0.25">
      <c r="A45" t="s">
        <v>207</v>
      </c>
      <c r="B45" t="s">
        <v>212</v>
      </c>
      <c r="C45">
        <v>8</v>
      </c>
      <c r="D45">
        <v>25</v>
      </c>
      <c r="E45">
        <v>466423.66</v>
      </c>
      <c r="F45">
        <v>5182161.3600000003</v>
      </c>
    </row>
    <row r="46" spans="1:14" x14ac:dyDescent="0.25">
      <c r="A46" t="s">
        <v>207</v>
      </c>
      <c r="B46" t="s">
        <v>212</v>
      </c>
      <c r="C46">
        <v>9</v>
      </c>
      <c r="D46">
        <v>11.4</v>
      </c>
      <c r="E46">
        <v>466463.66</v>
      </c>
      <c r="F46">
        <v>5182181.3600000003</v>
      </c>
    </row>
    <row r="47" spans="1:14" x14ac:dyDescent="0.25">
      <c r="A47" t="s">
        <v>207</v>
      </c>
      <c r="B47" t="s">
        <v>212</v>
      </c>
      <c r="C47">
        <v>10</v>
      </c>
      <c r="D47">
        <v>2.1</v>
      </c>
      <c r="E47">
        <v>466493.66</v>
      </c>
      <c r="F47">
        <v>5182251.3600000003</v>
      </c>
    </row>
    <row r="48" spans="1:14" x14ac:dyDescent="0.25">
      <c r="A48" t="s">
        <v>207</v>
      </c>
      <c r="B48" t="s">
        <v>212</v>
      </c>
      <c r="C48">
        <v>11</v>
      </c>
      <c r="D48">
        <v>6.3</v>
      </c>
      <c r="E48">
        <v>466493.66</v>
      </c>
      <c r="F48">
        <v>5182281.3600000003</v>
      </c>
    </row>
    <row r="49" spans="1:6" x14ac:dyDescent="0.25">
      <c r="A49" t="s">
        <v>207</v>
      </c>
      <c r="B49" t="s">
        <v>212</v>
      </c>
      <c r="C49">
        <v>12</v>
      </c>
      <c r="D49">
        <v>1</v>
      </c>
      <c r="E49">
        <v>466553.66</v>
      </c>
      <c r="F49">
        <v>5182171.3600000003</v>
      </c>
    </row>
    <row r="50" spans="1:6" x14ac:dyDescent="0.25">
      <c r="A50" t="s">
        <v>207</v>
      </c>
      <c r="B50" t="s">
        <v>212</v>
      </c>
      <c r="C50">
        <v>13</v>
      </c>
      <c r="D50">
        <v>3.3</v>
      </c>
      <c r="E50">
        <v>466323.66</v>
      </c>
      <c r="F50">
        <v>5182201.3600000003</v>
      </c>
    </row>
    <row r="51" spans="1:6" x14ac:dyDescent="0.25">
      <c r="A51" t="s">
        <v>207</v>
      </c>
      <c r="B51" t="s">
        <v>212</v>
      </c>
      <c r="C51">
        <v>14</v>
      </c>
      <c r="D51">
        <v>3.9</v>
      </c>
      <c r="E51">
        <v>466603.66</v>
      </c>
      <c r="F51">
        <v>5182231.3600000003</v>
      </c>
    </row>
    <row r="52" spans="1:6" x14ac:dyDescent="0.25">
      <c r="A52" t="s">
        <v>207</v>
      </c>
      <c r="B52" t="s">
        <v>212</v>
      </c>
      <c r="C52">
        <v>15</v>
      </c>
      <c r="D52">
        <v>2.4</v>
      </c>
      <c r="E52">
        <v>466483.66</v>
      </c>
      <c r="F52">
        <v>5182081.3600000003</v>
      </c>
    </row>
    <row r="53" spans="1:6" x14ac:dyDescent="0.25">
      <c r="A53" t="s">
        <v>207</v>
      </c>
      <c r="B53" t="s">
        <v>212</v>
      </c>
      <c r="C53">
        <v>16</v>
      </c>
      <c r="D53">
        <v>6</v>
      </c>
      <c r="E53">
        <v>466153.66</v>
      </c>
      <c r="F53">
        <v>5182151.3600000003</v>
      </c>
    </row>
    <row r="54" spans="1:6" x14ac:dyDescent="0.25">
      <c r="A54" t="s">
        <v>207</v>
      </c>
      <c r="B54" t="s">
        <v>212</v>
      </c>
      <c r="C54">
        <v>17</v>
      </c>
      <c r="D54">
        <v>0</v>
      </c>
      <c r="E54">
        <v>466193.66</v>
      </c>
      <c r="F54">
        <v>5182091.3600000003</v>
      </c>
    </row>
    <row r="55" spans="1:6" x14ac:dyDescent="0.25">
      <c r="A55" t="s">
        <v>207</v>
      </c>
      <c r="B55" t="s">
        <v>212</v>
      </c>
      <c r="C55">
        <v>18</v>
      </c>
      <c r="D55">
        <v>11.4</v>
      </c>
      <c r="E55">
        <v>466533.66</v>
      </c>
      <c r="F55">
        <v>5182351.3600000003</v>
      </c>
    </row>
    <row r="56" spans="1:6" x14ac:dyDescent="0.25">
      <c r="A56" t="s">
        <v>207</v>
      </c>
      <c r="B56" t="s">
        <v>212</v>
      </c>
      <c r="C56">
        <v>19</v>
      </c>
      <c r="D56">
        <v>8</v>
      </c>
      <c r="E56">
        <v>466303.66</v>
      </c>
      <c r="F56">
        <v>5182261.3600000003</v>
      </c>
    </row>
    <row r="57" spans="1:6" x14ac:dyDescent="0.25">
      <c r="A57" t="s">
        <v>207</v>
      </c>
      <c r="B57" t="s">
        <v>212</v>
      </c>
      <c r="C57">
        <v>20</v>
      </c>
      <c r="D57">
        <v>6.3</v>
      </c>
      <c r="E57">
        <v>466313.66</v>
      </c>
      <c r="F57">
        <v>5182341.3600000003</v>
      </c>
    </row>
    <row r="58" spans="1:6" x14ac:dyDescent="0.25">
      <c r="A58" t="s">
        <v>207</v>
      </c>
      <c r="B58" t="s">
        <v>212</v>
      </c>
      <c r="C58">
        <v>21</v>
      </c>
      <c r="D58">
        <v>6.3</v>
      </c>
      <c r="E58">
        <v>466213.66</v>
      </c>
      <c r="F58">
        <v>5182281.3600000003</v>
      </c>
    </row>
    <row r="59" spans="1:6" x14ac:dyDescent="0.25">
      <c r="A59" t="s">
        <v>207</v>
      </c>
      <c r="B59" t="s">
        <v>212</v>
      </c>
      <c r="C59">
        <v>22</v>
      </c>
      <c r="D59">
        <v>6.2</v>
      </c>
      <c r="E59">
        <v>466153.66</v>
      </c>
      <c r="F59">
        <v>5182231.3600000003</v>
      </c>
    </row>
    <row r="60" spans="1:6" x14ac:dyDescent="0.25">
      <c r="A60" t="s">
        <v>207</v>
      </c>
      <c r="B60" t="s">
        <v>212</v>
      </c>
      <c r="C60">
        <v>23</v>
      </c>
      <c r="D60">
        <v>0</v>
      </c>
      <c r="E60">
        <v>466593.66</v>
      </c>
      <c r="F60">
        <v>5182311.3600000003</v>
      </c>
    </row>
    <row r="61" spans="1:6" x14ac:dyDescent="0.25">
      <c r="A61" t="s">
        <v>207</v>
      </c>
      <c r="B61" t="s">
        <v>212</v>
      </c>
      <c r="C61">
        <v>24</v>
      </c>
      <c r="D61">
        <v>8.5</v>
      </c>
      <c r="E61">
        <v>466283.66</v>
      </c>
      <c r="F61">
        <v>5182051.3600000003</v>
      </c>
    </row>
    <row r="62" spans="1:6" x14ac:dyDescent="0.25">
      <c r="A62" t="s">
        <v>207</v>
      </c>
      <c r="B62" t="s">
        <v>212</v>
      </c>
      <c r="C62">
        <v>25</v>
      </c>
      <c r="D62">
        <v>3.5</v>
      </c>
      <c r="E62">
        <v>466413.66</v>
      </c>
      <c r="F62">
        <v>5182441.3600000003</v>
      </c>
    </row>
    <row r="63" spans="1:6" x14ac:dyDescent="0.25">
      <c r="A63" t="s">
        <v>207</v>
      </c>
      <c r="B63" t="s">
        <v>212</v>
      </c>
      <c r="C63">
        <v>26</v>
      </c>
      <c r="D63">
        <v>4.4000000000000004</v>
      </c>
      <c r="E63">
        <v>466493.66</v>
      </c>
      <c r="F63">
        <v>5182501.3600000003</v>
      </c>
    </row>
    <row r="64" spans="1:6" x14ac:dyDescent="0.25">
      <c r="A64" t="s">
        <v>207</v>
      </c>
      <c r="B64" t="s">
        <v>212</v>
      </c>
      <c r="C64">
        <v>27</v>
      </c>
      <c r="D64">
        <v>7.6</v>
      </c>
      <c r="E64">
        <v>466423.66</v>
      </c>
      <c r="F64">
        <v>5182291.3600000003</v>
      </c>
    </row>
    <row r="65" spans="1:6" x14ac:dyDescent="0.25">
      <c r="A65" t="s">
        <v>207</v>
      </c>
      <c r="B65" t="s">
        <v>212</v>
      </c>
      <c r="C65">
        <v>28</v>
      </c>
      <c r="D65">
        <v>5.0999999999999996</v>
      </c>
      <c r="E65">
        <v>466613.66</v>
      </c>
      <c r="F65">
        <v>5182171.3600000003</v>
      </c>
    </row>
    <row r="66" spans="1:6" x14ac:dyDescent="0.25">
      <c r="A66" t="s">
        <v>207</v>
      </c>
      <c r="B66" t="s">
        <v>212</v>
      </c>
      <c r="C66">
        <v>29</v>
      </c>
      <c r="D66">
        <v>5.6</v>
      </c>
      <c r="E66">
        <v>466643.66</v>
      </c>
      <c r="F66">
        <v>5182271.3600000003</v>
      </c>
    </row>
    <row r="67" spans="1:6" x14ac:dyDescent="0.25">
      <c r="A67" t="s">
        <v>207</v>
      </c>
      <c r="B67" t="s">
        <v>212</v>
      </c>
      <c r="C67">
        <v>30</v>
      </c>
      <c r="D67">
        <v>6.7</v>
      </c>
      <c r="E67">
        <v>466333.66</v>
      </c>
      <c r="F67">
        <v>5182021.3600000003</v>
      </c>
    </row>
    <row r="68" spans="1:6" x14ac:dyDescent="0.25">
      <c r="A68" t="s">
        <v>207</v>
      </c>
      <c r="B68" t="s">
        <v>212</v>
      </c>
      <c r="C68">
        <v>31</v>
      </c>
      <c r="D68">
        <v>3.1</v>
      </c>
      <c r="E68">
        <v>466463.66</v>
      </c>
      <c r="F68">
        <v>5182341.3600000003</v>
      </c>
    </row>
    <row r="69" spans="1:6" x14ac:dyDescent="0.25">
      <c r="A69" t="s">
        <v>207</v>
      </c>
      <c r="B69" t="s">
        <v>212</v>
      </c>
      <c r="C69">
        <v>32</v>
      </c>
      <c r="D69">
        <v>5.3</v>
      </c>
      <c r="E69">
        <v>466123.66</v>
      </c>
      <c r="F69">
        <v>5182111.3600000003</v>
      </c>
    </row>
    <row r="70" spans="1:6" x14ac:dyDescent="0.25">
      <c r="A70" t="s">
        <v>207</v>
      </c>
      <c r="B70" t="s">
        <v>212</v>
      </c>
      <c r="C70">
        <v>33</v>
      </c>
      <c r="D70">
        <v>10.7</v>
      </c>
      <c r="E70">
        <v>466333.66</v>
      </c>
      <c r="F70">
        <v>5182081.3600000003</v>
      </c>
    </row>
    <row r="71" spans="1:6" x14ac:dyDescent="0.25">
      <c r="A71" t="s">
        <v>207</v>
      </c>
      <c r="B71" t="s">
        <v>212</v>
      </c>
      <c r="C71">
        <v>34</v>
      </c>
      <c r="D71">
        <v>3.5</v>
      </c>
      <c r="E71">
        <v>466543.66</v>
      </c>
      <c r="F71">
        <v>5182241.3600000003</v>
      </c>
    </row>
    <row r="72" spans="1:6" x14ac:dyDescent="0.25">
      <c r="A72" t="s">
        <v>207</v>
      </c>
      <c r="B72" t="s">
        <v>212</v>
      </c>
      <c r="C72">
        <v>35</v>
      </c>
      <c r="D72">
        <v>13.7</v>
      </c>
      <c r="E72">
        <v>466363.66</v>
      </c>
      <c r="F72">
        <v>5182331.3600000003</v>
      </c>
    </row>
    <row r="73" spans="1:6" x14ac:dyDescent="0.25">
      <c r="A73" t="s">
        <v>207</v>
      </c>
      <c r="B73" t="s">
        <v>212</v>
      </c>
      <c r="C73">
        <v>36</v>
      </c>
      <c r="D73">
        <v>4.4000000000000004</v>
      </c>
      <c r="E73">
        <v>466353.66</v>
      </c>
      <c r="F73">
        <v>5182391.3600000003</v>
      </c>
    </row>
    <row r="74" spans="1:6" x14ac:dyDescent="0.25">
      <c r="A74" t="s">
        <v>207</v>
      </c>
      <c r="B74" t="s">
        <v>211</v>
      </c>
      <c r="C74">
        <v>1</v>
      </c>
      <c r="D74">
        <v>32.4</v>
      </c>
      <c r="E74">
        <v>466413.66</v>
      </c>
      <c r="F74">
        <v>5182371.3600000003</v>
      </c>
    </row>
    <row r="75" spans="1:6" x14ac:dyDescent="0.25">
      <c r="A75" t="s">
        <v>207</v>
      </c>
      <c r="B75" t="s">
        <v>211</v>
      </c>
      <c r="C75">
        <v>2</v>
      </c>
      <c r="D75">
        <v>35.846499999999999</v>
      </c>
      <c r="E75">
        <v>466493.66</v>
      </c>
      <c r="F75">
        <v>5182421.3600000003</v>
      </c>
    </row>
    <row r="76" spans="1:6" x14ac:dyDescent="0.25">
      <c r="A76" t="s">
        <v>207</v>
      </c>
      <c r="B76" t="s">
        <v>211</v>
      </c>
      <c r="C76">
        <v>3</v>
      </c>
      <c r="D76">
        <v>13.242599999999999</v>
      </c>
      <c r="E76">
        <v>466373.66</v>
      </c>
      <c r="F76">
        <v>5182241.3600000003</v>
      </c>
    </row>
    <row r="77" spans="1:6" x14ac:dyDescent="0.25">
      <c r="A77" t="s">
        <v>207</v>
      </c>
      <c r="B77" t="s">
        <v>211</v>
      </c>
      <c r="C77">
        <v>4</v>
      </c>
      <c r="D77">
        <v>22.115200000000002</v>
      </c>
      <c r="E77">
        <v>466233.66</v>
      </c>
      <c r="F77">
        <v>5182211.3600000003</v>
      </c>
    </row>
    <row r="78" spans="1:6" x14ac:dyDescent="0.25">
      <c r="A78" t="s">
        <v>207</v>
      </c>
      <c r="B78" t="s">
        <v>211</v>
      </c>
      <c r="C78">
        <v>5</v>
      </c>
      <c r="D78">
        <v>13.322100000000001</v>
      </c>
      <c r="E78">
        <v>466273.66</v>
      </c>
      <c r="F78">
        <v>5182151.3600000003</v>
      </c>
    </row>
    <row r="79" spans="1:6" x14ac:dyDescent="0.25">
      <c r="A79" t="s">
        <v>207</v>
      </c>
      <c r="B79" t="s">
        <v>211</v>
      </c>
      <c r="C79">
        <v>6</v>
      </c>
      <c r="D79">
        <v>17.569900000000001</v>
      </c>
      <c r="E79">
        <v>466363.66</v>
      </c>
      <c r="F79">
        <v>5182131.3600000003</v>
      </c>
    </row>
    <row r="80" spans="1:6" x14ac:dyDescent="0.25">
      <c r="A80" t="s">
        <v>207</v>
      </c>
      <c r="B80" t="s">
        <v>211</v>
      </c>
      <c r="C80">
        <v>7</v>
      </c>
      <c r="D80">
        <v>17.6892</v>
      </c>
      <c r="E80">
        <v>466393.66</v>
      </c>
      <c r="F80">
        <v>5182061.3600000003</v>
      </c>
    </row>
    <row r="81" spans="1:6" x14ac:dyDescent="0.25">
      <c r="A81" t="s">
        <v>207</v>
      </c>
      <c r="B81" t="s">
        <v>211</v>
      </c>
      <c r="C81">
        <v>8</v>
      </c>
      <c r="D81">
        <v>7.1006</v>
      </c>
      <c r="E81">
        <v>466423.66</v>
      </c>
      <c r="F81">
        <v>5182161.3600000003</v>
      </c>
    </row>
    <row r="82" spans="1:6" x14ac:dyDescent="0.25">
      <c r="A82" t="s">
        <v>207</v>
      </c>
      <c r="B82" t="s">
        <v>211</v>
      </c>
      <c r="C82">
        <v>9</v>
      </c>
      <c r="D82">
        <v>18.5837</v>
      </c>
      <c r="E82">
        <v>466463.66</v>
      </c>
      <c r="F82">
        <v>5182181.3600000003</v>
      </c>
    </row>
    <row r="83" spans="1:6" x14ac:dyDescent="0.25">
      <c r="A83" t="s">
        <v>207</v>
      </c>
      <c r="B83" t="s">
        <v>211</v>
      </c>
      <c r="C83">
        <v>10</v>
      </c>
      <c r="D83">
        <v>21.2624</v>
      </c>
      <c r="E83">
        <v>466493.66</v>
      </c>
      <c r="F83">
        <v>5182251.3600000003</v>
      </c>
    </row>
    <row r="84" spans="1:6" x14ac:dyDescent="0.25">
      <c r="A84" t="s">
        <v>207</v>
      </c>
      <c r="B84" t="s">
        <v>211</v>
      </c>
      <c r="C84">
        <v>11</v>
      </c>
      <c r="D84">
        <v>17.206700000000001</v>
      </c>
      <c r="E84">
        <v>466493.66</v>
      </c>
      <c r="F84">
        <v>5182281.3600000003</v>
      </c>
    </row>
    <row r="85" spans="1:6" x14ac:dyDescent="0.25">
      <c r="A85" t="s">
        <v>207</v>
      </c>
      <c r="B85" t="s">
        <v>211</v>
      </c>
      <c r="C85">
        <v>12</v>
      </c>
      <c r="D85">
        <v>16.7301</v>
      </c>
      <c r="E85">
        <v>466553.66</v>
      </c>
      <c r="F85">
        <v>5182171.3600000003</v>
      </c>
    </row>
    <row r="86" spans="1:6" x14ac:dyDescent="0.25">
      <c r="A86" t="s">
        <v>207</v>
      </c>
      <c r="B86" t="s">
        <v>211</v>
      </c>
      <c r="C86">
        <v>13</v>
      </c>
      <c r="D86">
        <v>15.5905</v>
      </c>
      <c r="E86">
        <v>466323.66</v>
      </c>
      <c r="F86">
        <v>5182201.3600000003</v>
      </c>
    </row>
    <row r="87" spans="1:6" x14ac:dyDescent="0.25">
      <c r="A87" t="s">
        <v>207</v>
      </c>
      <c r="B87" t="s">
        <v>211</v>
      </c>
      <c r="C87">
        <v>14</v>
      </c>
      <c r="D87">
        <v>19.9346</v>
      </c>
      <c r="E87">
        <v>466603.66</v>
      </c>
      <c r="F87">
        <v>5182231.3600000003</v>
      </c>
    </row>
    <row r="88" spans="1:6" x14ac:dyDescent="0.25">
      <c r="A88" t="s">
        <v>207</v>
      </c>
      <c r="B88" t="s">
        <v>211</v>
      </c>
      <c r="C88">
        <v>15</v>
      </c>
      <c r="D88">
        <v>15.923</v>
      </c>
      <c r="E88">
        <v>466483.66</v>
      </c>
      <c r="F88">
        <v>5182081.3600000003</v>
      </c>
    </row>
    <row r="89" spans="1:6" x14ac:dyDescent="0.25">
      <c r="A89" t="s">
        <v>207</v>
      </c>
      <c r="B89" t="s">
        <v>211</v>
      </c>
      <c r="C89">
        <v>16</v>
      </c>
      <c r="D89">
        <v>18.743400000000001</v>
      </c>
      <c r="E89">
        <v>466153.66</v>
      </c>
      <c r="F89">
        <v>5182151.3600000003</v>
      </c>
    </row>
    <row r="90" spans="1:6" x14ac:dyDescent="0.25">
      <c r="A90" t="s">
        <v>207</v>
      </c>
      <c r="B90" t="s">
        <v>211</v>
      </c>
      <c r="C90">
        <v>17</v>
      </c>
      <c r="D90">
        <v>0</v>
      </c>
      <c r="E90">
        <v>466193.66</v>
      </c>
      <c r="F90">
        <v>5182091.3600000003</v>
      </c>
    </row>
    <row r="91" spans="1:6" x14ac:dyDescent="0.25">
      <c r="A91" t="s">
        <v>207</v>
      </c>
      <c r="B91" t="s">
        <v>211</v>
      </c>
      <c r="C91">
        <v>18</v>
      </c>
      <c r="D91">
        <v>21.272200000000002</v>
      </c>
      <c r="E91">
        <v>466533.66</v>
      </c>
      <c r="F91">
        <v>5182351.3600000003</v>
      </c>
    </row>
    <row r="92" spans="1:6" x14ac:dyDescent="0.25">
      <c r="A92" t="s">
        <v>207</v>
      </c>
      <c r="B92" t="s">
        <v>211</v>
      </c>
      <c r="C92">
        <v>19</v>
      </c>
      <c r="D92">
        <v>26.330200000000001</v>
      </c>
      <c r="E92">
        <v>466303.66</v>
      </c>
      <c r="F92">
        <v>5182261.3600000003</v>
      </c>
    </row>
    <row r="93" spans="1:6" x14ac:dyDescent="0.25">
      <c r="A93" t="s">
        <v>207</v>
      </c>
      <c r="B93" t="s">
        <v>211</v>
      </c>
      <c r="C93">
        <v>20</v>
      </c>
      <c r="D93">
        <v>19.0886</v>
      </c>
      <c r="E93">
        <v>466313.66</v>
      </c>
      <c r="F93">
        <v>5182341.3600000003</v>
      </c>
    </row>
    <row r="94" spans="1:6" x14ac:dyDescent="0.25">
      <c r="A94" t="s">
        <v>207</v>
      </c>
      <c r="B94" t="s">
        <v>211</v>
      </c>
      <c r="C94">
        <v>21</v>
      </c>
      <c r="D94">
        <v>19.881699999999999</v>
      </c>
      <c r="E94">
        <v>466213.66</v>
      </c>
      <c r="F94">
        <v>5182281.3600000003</v>
      </c>
    </row>
    <row r="95" spans="1:6" x14ac:dyDescent="0.25">
      <c r="A95" t="s">
        <v>207</v>
      </c>
      <c r="B95" t="s">
        <v>211</v>
      </c>
      <c r="C95">
        <v>22</v>
      </c>
      <c r="D95">
        <v>14.2622</v>
      </c>
      <c r="E95">
        <v>466153.66</v>
      </c>
      <c r="F95">
        <v>5182231.3600000003</v>
      </c>
    </row>
    <row r="96" spans="1:6" x14ac:dyDescent="0.25">
      <c r="A96" t="s">
        <v>207</v>
      </c>
      <c r="B96" t="s">
        <v>211</v>
      </c>
      <c r="C96">
        <v>23</v>
      </c>
      <c r="D96">
        <v>0</v>
      </c>
      <c r="E96">
        <v>466593.66</v>
      </c>
      <c r="F96">
        <v>5182311.3600000003</v>
      </c>
    </row>
    <row r="97" spans="1:6" x14ac:dyDescent="0.25">
      <c r="A97" t="s">
        <v>207</v>
      </c>
      <c r="B97" t="s">
        <v>211</v>
      </c>
      <c r="C97">
        <v>24</v>
      </c>
      <c r="D97">
        <v>19.046600000000002</v>
      </c>
      <c r="E97">
        <v>466283.66</v>
      </c>
      <c r="F97">
        <v>5182051.3600000003</v>
      </c>
    </row>
    <row r="98" spans="1:6" x14ac:dyDescent="0.25">
      <c r="A98" t="s">
        <v>207</v>
      </c>
      <c r="B98" t="s">
        <v>211</v>
      </c>
      <c r="C98">
        <v>25</v>
      </c>
      <c r="D98">
        <v>18.329899999999999</v>
      </c>
      <c r="E98">
        <v>466413.66</v>
      </c>
      <c r="F98">
        <v>5182441.3600000003</v>
      </c>
    </row>
    <row r="99" spans="1:6" x14ac:dyDescent="0.25">
      <c r="A99" t="s">
        <v>207</v>
      </c>
      <c r="B99" t="s">
        <v>211</v>
      </c>
      <c r="C99">
        <v>26</v>
      </c>
      <c r="D99">
        <v>17.147200000000002</v>
      </c>
      <c r="E99">
        <v>466493.66</v>
      </c>
      <c r="F99">
        <v>5182501.3600000003</v>
      </c>
    </row>
    <row r="100" spans="1:6" x14ac:dyDescent="0.25">
      <c r="A100" t="s">
        <v>207</v>
      </c>
      <c r="B100" t="s">
        <v>211</v>
      </c>
      <c r="C100">
        <v>27</v>
      </c>
      <c r="D100">
        <v>20.235099999999999</v>
      </c>
      <c r="E100">
        <v>466423.66</v>
      </c>
      <c r="F100">
        <v>5182291.3600000003</v>
      </c>
    </row>
    <row r="101" spans="1:6" x14ac:dyDescent="0.25">
      <c r="A101" t="s">
        <v>207</v>
      </c>
      <c r="B101" t="s">
        <v>211</v>
      </c>
      <c r="C101">
        <v>28</v>
      </c>
      <c r="D101">
        <v>14.0861</v>
      </c>
      <c r="E101">
        <v>466613.66</v>
      </c>
      <c r="F101">
        <v>5182171.3600000003</v>
      </c>
    </row>
    <row r="102" spans="1:6" x14ac:dyDescent="0.25">
      <c r="A102" t="s">
        <v>207</v>
      </c>
      <c r="B102" t="s">
        <v>211</v>
      </c>
      <c r="C102">
        <v>29</v>
      </c>
      <c r="D102">
        <v>12.107100000000001</v>
      </c>
      <c r="E102">
        <v>466643.66</v>
      </c>
      <c r="F102">
        <v>5182271.3600000003</v>
      </c>
    </row>
    <row r="103" spans="1:6" x14ac:dyDescent="0.25">
      <c r="A103" t="s">
        <v>207</v>
      </c>
      <c r="B103" t="s">
        <v>211</v>
      </c>
      <c r="C103">
        <v>30</v>
      </c>
      <c r="D103">
        <v>19.511600000000001</v>
      </c>
      <c r="E103">
        <v>466333.66</v>
      </c>
      <c r="F103">
        <v>5182021.3600000003</v>
      </c>
    </row>
    <row r="104" spans="1:6" x14ac:dyDescent="0.25">
      <c r="A104" t="s">
        <v>207</v>
      </c>
      <c r="B104" t="s">
        <v>211</v>
      </c>
      <c r="C104">
        <v>31</v>
      </c>
      <c r="D104">
        <v>16.6568</v>
      </c>
      <c r="E104">
        <v>466463.66</v>
      </c>
      <c r="F104">
        <v>5182341.3600000003</v>
      </c>
    </row>
    <row r="105" spans="1:6" x14ac:dyDescent="0.25">
      <c r="A105" t="s">
        <v>207</v>
      </c>
      <c r="B105" t="s">
        <v>211</v>
      </c>
      <c r="C105">
        <v>32</v>
      </c>
      <c r="D105">
        <v>19.445399999999999</v>
      </c>
      <c r="E105">
        <v>466123.66</v>
      </c>
      <c r="F105">
        <v>5182111.3600000003</v>
      </c>
    </row>
    <row r="106" spans="1:6" x14ac:dyDescent="0.25">
      <c r="A106" t="s">
        <v>207</v>
      </c>
      <c r="B106" t="s">
        <v>211</v>
      </c>
      <c r="C106">
        <v>33</v>
      </c>
      <c r="D106">
        <v>24.909600000000001</v>
      </c>
      <c r="E106">
        <v>466333.66</v>
      </c>
      <c r="F106">
        <v>5182081.3600000003</v>
      </c>
    </row>
    <row r="107" spans="1:6" x14ac:dyDescent="0.25">
      <c r="A107" t="s">
        <v>207</v>
      </c>
      <c r="B107" t="s">
        <v>211</v>
      </c>
      <c r="C107">
        <v>34</v>
      </c>
      <c r="D107">
        <v>21.332100000000001</v>
      </c>
      <c r="E107">
        <v>466543.66</v>
      </c>
      <c r="F107">
        <v>5182241.3600000003</v>
      </c>
    </row>
    <row r="108" spans="1:6" x14ac:dyDescent="0.25">
      <c r="A108" t="s">
        <v>207</v>
      </c>
      <c r="B108" t="s">
        <v>211</v>
      </c>
      <c r="C108">
        <v>35</v>
      </c>
      <c r="D108">
        <v>24.7911</v>
      </c>
      <c r="E108">
        <v>466363.66</v>
      </c>
      <c r="F108">
        <v>5182331.3600000003</v>
      </c>
    </row>
    <row r="109" spans="1:6" x14ac:dyDescent="0.25">
      <c r="A109" t="s">
        <v>207</v>
      </c>
      <c r="B109" t="s">
        <v>211</v>
      </c>
      <c r="C109">
        <v>36</v>
      </c>
      <c r="D109">
        <v>19.415400000000002</v>
      </c>
      <c r="E109">
        <v>466353.66</v>
      </c>
      <c r="F109">
        <v>5182391.3600000003</v>
      </c>
    </row>
    <row r="110" spans="1:6" x14ac:dyDescent="0.25">
      <c r="A110" t="s">
        <v>209</v>
      </c>
      <c r="B110" t="s">
        <v>208</v>
      </c>
      <c r="C110">
        <v>1</v>
      </c>
      <c r="D110">
        <v>35.808900000000001</v>
      </c>
      <c r="E110">
        <v>517227.65</v>
      </c>
      <c r="F110">
        <v>5169180.78</v>
      </c>
    </row>
    <row r="111" spans="1:6" x14ac:dyDescent="0.25">
      <c r="A111" t="s">
        <v>209</v>
      </c>
      <c r="B111" t="s">
        <v>208</v>
      </c>
      <c r="C111">
        <v>2</v>
      </c>
      <c r="D111">
        <v>48.008800000000001</v>
      </c>
      <c r="E111">
        <v>517437.65</v>
      </c>
      <c r="F111">
        <v>5169220.78</v>
      </c>
    </row>
    <row r="112" spans="1:6" x14ac:dyDescent="0.25">
      <c r="A112" t="s">
        <v>209</v>
      </c>
      <c r="B112" t="s">
        <v>208</v>
      </c>
      <c r="C112">
        <v>3</v>
      </c>
      <c r="D112">
        <v>40.240699999999997</v>
      </c>
      <c r="E112">
        <v>517327.65</v>
      </c>
      <c r="F112">
        <v>5169270.78</v>
      </c>
    </row>
    <row r="113" spans="1:6" x14ac:dyDescent="0.25">
      <c r="A113" t="s">
        <v>209</v>
      </c>
      <c r="B113" t="s">
        <v>208</v>
      </c>
      <c r="C113">
        <v>4</v>
      </c>
      <c r="D113">
        <v>29.3383</v>
      </c>
      <c r="E113">
        <v>516947.65</v>
      </c>
      <c r="F113">
        <v>5169210.78</v>
      </c>
    </row>
    <row r="114" spans="1:6" x14ac:dyDescent="0.25">
      <c r="A114" t="s">
        <v>209</v>
      </c>
      <c r="B114" t="s">
        <v>208</v>
      </c>
      <c r="C114">
        <v>5</v>
      </c>
      <c r="D114">
        <v>41.069099999999999</v>
      </c>
      <c r="E114">
        <v>517147.65</v>
      </c>
      <c r="F114">
        <v>5169230.78</v>
      </c>
    </row>
    <row r="115" spans="1:6" x14ac:dyDescent="0.25">
      <c r="A115" t="s">
        <v>209</v>
      </c>
      <c r="B115" t="s">
        <v>208</v>
      </c>
      <c r="C115">
        <v>6</v>
      </c>
      <c r="D115">
        <v>31.454799999999999</v>
      </c>
      <c r="E115">
        <v>517057.65</v>
      </c>
      <c r="F115">
        <v>5169320.78</v>
      </c>
    </row>
    <row r="116" spans="1:6" x14ac:dyDescent="0.25">
      <c r="A116" t="s">
        <v>209</v>
      </c>
      <c r="B116" t="s">
        <v>208</v>
      </c>
      <c r="C116">
        <v>7</v>
      </c>
      <c r="D116">
        <v>51.566200000000002</v>
      </c>
      <c r="E116">
        <v>517097.65</v>
      </c>
      <c r="F116">
        <v>5169400.78</v>
      </c>
    </row>
    <row r="117" spans="1:6" x14ac:dyDescent="0.25">
      <c r="A117" t="s">
        <v>209</v>
      </c>
      <c r="B117" t="s">
        <v>208</v>
      </c>
      <c r="C117">
        <v>8</v>
      </c>
      <c r="D117">
        <v>32.517600000000002</v>
      </c>
      <c r="E117">
        <v>517087.65</v>
      </c>
      <c r="F117">
        <v>5169460.78</v>
      </c>
    </row>
    <row r="118" spans="1:6" x14ac:dyDescent="0.25">
      <c r="A118" t="s">
        <v>209</v>
      </c>
      <c r="B118" t="s">
        <v>208</v>
      </c>
      <c r="C118">
        <v>9</v>
      </c>
      <c r="D118">
        <v>48.796399999999998</v>
      </c>
      <c r="E118">
        <v>517257.65</v>
      </c>
      <c r="F118">
        <v>5169450.78</v>
      </c>
    </row>
    <row r="119" spans="1:6" x14ac:dyDescent="0.25">
      <c r="A119" t="s">
        <v>209</v>
      </c>
      <c r="B119" t="s">
        <v>208</v>
      </c>
      <c r="C119">
        <v>10</v>
      </c>
      <c r="D119">
        <v>26.0611</v>
      </c>
      <c r="E119">
        <v>517237.65</v>
      </c>
      <c r="F119">
        <v>5169520.78</v>
      </c>
    </row>
    <row r="120" spans="1:6" x14ac:dyDescent="0.25">
      <c r="A120" t="s">
        <v>209</v>
      </c>
      <c r="B120" t="s">
        <v>208</v>
      </c>
      <c r="C120">
        <v>11</v>
      </c>
      <c r="D120">
        <v>52.778599999999997</v>
      </c>
      <c r="E120">
        <v>517217.65</v>
      </c>
      <c r="F120">
        <v>5169370.78</v>
      </c>
    </row>
    <row r="121" spans="1:6" x14ac:dyDescent="0.25">
      <c r="A121" t="s">
        <v>209</v>
      </c>
      <c r="B121" t="s">
        <v>208</v>
      </c>
      <c r="C121">
        <v>12</v>
      </c>
      <c r="D121">
        <v>43.019500000000001</v>
      </c>
      <c r="E121">
        <v>517127.65</v>
      </c>
      <c r="F121">
        <v>5169250.78</v>
      </c>
    </row>
    <row r="122" spans="1:6" x14ac:dyDescent="0.25">
      <c r="A122" t="s">
        <v>209</v>
      </c>
      <c r="B122" t="s">
        <v>208</v>
      </c>
      <c r="C122">
        <v>13</v>
      </c>
      <c r="D122">
        <v>34.019500000000001</v>
      </c>
      <c r="E122">
        <v>517457.65</v>
      </c>
      <c r="F122">
        <v>5169080.78</v>
      </c>
    </row>
    <row r="123" spans="1:6" x14ac:dyDescent="0.25">
      <c r="A123" t="s">
        <v>209</v>
      </c>
      <c r="B123" t="s">
        <v>208</v>
      </c>
      <c r="C123">
        <v>14</v>
      </c>
      <c r="D123">
        <v>26.783899999999999</v>
      </c>
      <c r="E123">
        <v>517037.65</v>
      </c>
      <c r="F123">
        <v>5169220.78</v>
      </c>
    </row>
    <row r="124" spans="1:6" x14ac:dyDescent="0.25">
      <c r="A124" t="s">
        <v>209</v>
      </c>
      <c r="B124" t="s">
        <v>208</v>
      </c>
      <c r="C124">
        <v>15</v>
      </c>
      <c r="D124">
        <v>31.480399999999999</v>
      </c>
      <c r="E124">
        <v>516887.65</v>
      </c>
      <c r="F124">
        <v>5169320.78</v>
      </c>
    </row>
    <row r="125" spans="1:6" x14ac:dyDescent="0.25">
      <c r="A125" t="s">
        <v>209</v>
      </c>
      <c r="B125" t="s">
        <v>208</v>
      </c>
      <c r="C125">
        <v>16</v>
      </c>
      <c r="D125">
        <v>21.636199999999999</v>
      </c>
      <c r="E125">
        <v>517327.65</v>
      </c>
      <c r="F125">
        <v>5169530.78</v>
      </c>
    </row>
    <row r="126" spans="1:6" x14ac:dyDescent="0.25">
      <c r="A126" t="s">
        <v>209</v>
      </c>
      <c r="B126" t="s">
        <v>208</v>
      </c>
      <c r="C126">
        <v>17</v>
      </c>
      <c r="D126">
        <v>38.939500000000002</v>
      </c>
      <c r="E126">
        <v>517397.65</v>
      </c>
      <c r="F126">
        <v>5169360.78</v>
      </c>
    </row>
    <row r="127" spans="1:6" x14ac:dyDescent="0.25">
      <c r="A127" t="s">
        <v>209</v>
      </c>
      <c r="B127" t="s">
        <v>208</v>
      </c>
      <c r="C127">
        <v>18</v>
      </c>
      <c r="D127">
        <v>0</v>
      </c>
      <c r="E127">
        <v>516847.65</v>
      </c>
      <c r="F127">
        <v>5169190.78</v>
      </c>
    </row>
    <row r="128" spans="1:6" x14ac:dyDescent="0.25">
      <c r="A128" t="s">
        <v>209</v>
      </c>
      <c r="B128" t="s">
        <v>208</v>
      </c>
      <c r="C128">
        <v>19</v>
      </c>
      <c r="D128">
        <v>26.643799999999999</v>
      </c>
      <c r="E128">
        <v>517147.65</v>
      </c>
      <c r="F128">
        <v>5169560.78</v>
      </c>
    </row>
    <row r="129" spans="1:6" x14ac:dyDescent="0.25">
      <c r="A129" t="s">
        <v>209</v>
      </c>
      <c r="B129" t="s">
        <v>208</v>
      </c>
      <c r="C129">
        <v>20</v>
      </c>
      <c r="D129">
        <v>32.430300000000003</v>
      </c>
      <c r="E129">
        <v>517347.65</v>
      </c>
      <c r="F129">
        <v>5169170.78</v>
      </c>
    </row>
    <row r="130" spans="1:6" x14ac:dyDescent="0.25">
      <c r="A130" t="s">
        <v>209</v>
      </c>
      <c r="B130" t="s">
        <v>208</v>
      </c>
      <c r="C130">
        <v>21</v>
      </c>
      <c r="D130">
        <v>38.531700000000001</v>
      </c>
      <c r="E130">
        <v>516957.65</v>
      </c>
      <c r="F130">
        <v>5169460.78</v>
      </c>
    </row>
    <row r="131" spans="1:6" x14ac:dyDescent="0.25">
      <c r="A131" t="s">
        <v>209</v>
      </c>
      <c r="B131" t="s">
        <v>208</v>
      </c>
      <c r="C131">
        <v>22</v>
      </c>
      <c r="D131">
        <v>32.148099999999999</v>
      </c>
      <c r="E131">
        <v>517237.65</v>
      </c>
      <c r="F131">
        <v>5169280.78</v>
      </c>
    </row>
    <row r="132" spans="1:6" x14ac:dyDescent="0.25">
      <c r="A132" t="s">
        <v>209</v>
      </c>
      <c r="B132" t="s">
        <v>208</v>
      </c>
      <c r="C132">
        <v>23</v>
      </c>
      <c r="D132">
        <v>32.960500000000003</v>
      </c>
      <c r="E132">
        <v>517367.65</v>
      </c>
      <c r="F132">
        <v>5169070.78</v>
      </c>
    </row>
    <row r="133" spans="1:6" x14ac:dyDescent="0.25">
      <c r="A133" t="s">
        <v>209</v>
      </c>
      <c r="B133" t="s">
        <v>208</v>
      </c>
      <c r="C133">
        <v>24</v>
      </c>
      <c r="D133">
        <v>43.013399999999997</v>
      </c>
      <c r="E133">
        <v>516877.65</v>
      </c>
      <c r="F133">
        <v>5169420.78</v>
      </c>
    </row>
    <row r="134" spans="1:6" x14ac:dyDescent="0.25">
      <c r="A134" t="s">
        <v>209</v>
      </c>
      <c r="B134" t="s">
        <v>208</v>
      </c>
      <c r="C134">
        <v>25</v>
      </c>
      <c r="D134">
        <v>34.8459</v>
      </c>
      <c r="E134">
        <v>516977.65</v>
      </c>
      <c r="F134">
        <v>5169290.78</v>
      </c>
    </row>
    <row r="135" spans="1:6" x14ac:dyDescent="0.25">
      <c r="A135" t="s">
        <v>209</v>
      </c>
      <c r="B135" t="s">
        <v>208</v>
      </c>
      <c r="C135">
        <v>26</v>
      </c>
      <c r="D135">
        <v>51.701500000000003</v>
      </c>
      <c r="E135">
        <v>517317.65</v>
      </c>
      <c r="F135">
        <v>5169390.78</v>
      </c>
    </row>
    <row r="136" spans="1:6" x14ac:dyDescent="0.25">
      <c r="A136" t="s">
        <v>209</v>
      </c>
      <c r="B136" t="s">
        <v>208</v>
      </c>
      <c r="C136">
        <v>27</v>
      </c>
      <c r="D136">
        <v>28.8186</v>
      </c>
      <c r="E136">
        <v>517177.65</v>
      </c>
      <c r="F136">
        <v>5169460.78</v>
      </c>
    </row>
    <row r="137" spans="1:6" x14ac:dyDescent="0.25">
      <c r="A137" t="s">
        <v>209</v>
      </c>
      <c r="B137" t="s">
        <v>208</v>
      </c>
      <c r="C137">
        <v>28</v>
      </c>
      <c r="D137">
        <v>51.4499</v>
      </c>
      <c r="E137">
        <v>517457.65</v>
      </c>
      <c r="F137">
        <v>5169310.78</v>
      </c>
    </row>
    <row r="138" spans="1:6" x14ac:dyDescent="0.25">
      <c r="A138" t="s">
        <v>209</v>
      </c>
      <c r="B138" t="s">
        <v>208</v>
      </c>
      <c r="C138">
        <v>29</v>
      </c>
      <c r="D138">
        <v>0</v>
      </c>
      <c r="E138">
        <v>517287.65</v>
      </c>
      <c r="F138">
        <v>5169080.78</v>
      </c>
    </row>
    <row r="139" spans="1:6" x14ac:dyDescent="0.25">
      <c r="A139" t="s">
        <v>209</v>
      </c>
      <c r="B139" t="s">
        <v>208</v>
      </c>
      <c r="C139">
        <v>30</v>
      </c>
      <c r="D139">
        <v>41.438299999999998</v>
      </c>
      <c r="E139">
        <v>516997.65</v>
      </c>
      <c r="F139">
        <v>5169380.78</v>
      </c>
    </row>
    <row r="140" spans="1:6" x14ac:dyDescent="0.25">
      <c r="A140" t="s">
        <v>209</v>
      </c>
      <c r="B140" t="s">
        <v>208</v>
      </c>
      <c r="C140">
        <v>31</v>
      </c>
      <c r="D140">
        <v>29.916699999999999</v>
      </c>
      <c r="E140">
        <v>517287.65</v>
      </c>
      <c r="F140">
        <v>5169590.78</v>
      </c>
    </row>
    <row r="141" spans="1:6" x14ac:dyDescent="0.25">
      <c r="A141" t="s">
        <v>209</v>
      </c>
      <c r="B141" t="s">
        <v>208</v>
      </c>
      <c r="C141">
        <v>32</v>
      </c>
      <c r="D141">
        <v>41.851399999999998</v>
      </c>
      <c r="E141">
        <v>517147.65</v>
      </c>
      <c r="F141">
        <v>5169330.78</v>
      </c>
    </row>
    <row r="142" spans="1:6" x14ac:dyDescent="0.25">
      <c r="A142" t="s">
        <v>209</v>
      </c>
      <c r="B142" t="s">
        <v>208</v>
      </c>
      <c r="C142">
        <v>33</v>
      </c>
      <c r="D142">
        <v>52.823900000000002</v>
      </c>
      <c r="E142">
        <v>517387.65</v>
      </c>
      <c r="F142">
        <v>5169440.78</v>
      </c>
    </row>
    <row r="143" spans="1:6" x14ac:dyDescent="0.25">
      <c r="A143" t="s">
        <v>209</v>
      </c>
      <c r="B143" t="s">
        <v>208</v>
      </c>
      <c r="C143">
        <v>34</v>
      </c>
      <c r="D143">
        <v>41.371299999999998</v>
      </c>
      <c r="E143">
        <v>517467.65</v>
      </c>
      <c r="F143">
        <v>5169160.78</v>
      </c>
    </row>
    <row r="144" spans="1:6" x14ac:dyDescent="0.25">
      <c r="A144" t="s">
        <v>209</v>
      </c>
      <c r="B144" t="s">
        <v>208</v>
      </c>
      <c r="C144">
        <v>35</v>
      </c>
      <c r="D144">
        <v>31.747399999999999</v>
      </c>
      <c r="E144">
        <v>517077.65</v>
      </c>
      <c r="F144">
        <v>5169530.78</v>
      </c>
    </row>
    <row r="145" spans="1:6" x14ac:dyDescent="0.25">
      <c r="A145" t="s">
        <v>209</v>
      </c>
      <c r="B145" t="s">
        <v>208</v>
      </c>
      <c r="C145">
        <v>36</v>
      </c>
      <c r="D145">
        <v>33.048999999999999</v>
      </c>
      <c r="E145">
        <v>517317.65</v>
      </c>
      <c r="F145">
        <v>5169020.78</v>
      </c>
    </row>
    <row r="146" spans="1:6" x14ac:dyDescent="0.25">
      <c r="A146" t="s">
        <v>209</v>
      </c>
      <c r="B146" t="s">
        <v>212</v>
      </c>
      <c r="C146">
        <v>1</v>
      </c>
      <c r="D146">
        <v>6.6</v>
      </c>
      <c r="E146">
        <v>517227.65</v>
      </c>
      <c r="F146">
        <v>5169180.78</v>
      </c>
    </row>
    <row r="147" spans="1:6" x14ac:dyDescent="0.25">
      <c r="A147" t="s">
        <v>209</v>
      </c>
      <c r="B147" t="s">
        <v>212</v>
      </c>
      <c r="C147">
        <v>2</v>
      </c>
      <c r="D147">
        <v>10.4</v>
      </c>
      <c r="E147">
        <v>517437.65</v>
      </c>
      <c r="F147">
        <v>5169220.78</v>
      </c>
    </row>
    <row r="148" spans="1:6" x14ac:dyDescent="0.25">
      <c r="A148" t="s">
        <v>209</v>
      </c>
      <c r="B148" t="s">
        <v>212</v>
      </c>
      <c r="C148">
        <v>3</v>
      </c>
      <c r="D148">
        <v>6.4</v>
      </c>
      <c r="E148">
        <v>517327.65</v>
      </c>
      <c r="F148">
        <v>5169270.78</v>
      </c>
    </row>
    <row r="149" spans="1:6" x14ac:dyDescent="0.25">
      <c r="A149" t="s">
        <v>209</v>
      </c>
      <c r="B149" t="s">
        <v>212</v>
      </c>
      <c r="C149">
        <v>4</v>
      </c>
      <c r="D149">
        <v>9.6999999999999993</v>
      </c>
      <c r="E149">
        <v>516947.65</v>
      </c>
      <c r="F149">
        <v>5169210.78</v>
      </c>
    </row>
    <row r="150" spans="1:6" x14ac:dyDescent="0.25">
      <c r="A150" t="s">
        <v>209</v>
      </c>
      <c r="B150" t="s">
        <v>212</v>
      </c>
      <c r="C150">
        <v>5</v>
      </c>
      <c r="D150">
        <v>14</v>
      </c>
      <c r="E150">
        <v>517147.65</v>
      </c>
      <c r="F150">
        <v>5169230.78</v>
      </c>
    </row>
    <row r="151" spans="1:6" x14ac:dyDescent="0.25">
      <c r="A151" t="s">
        <v>209</v>
      </c>
      <c r="B151" t="s">
        <v>212</v>
      </c>
      <c r="C151">
        <v>6</v>
      </c>
      <c r="D151">
        <v>11.3</v>
      </c>
      <c r="E151">
        <v>517057.65</v>
      </c>
      <c r="F151">
        <v>5169320.78</v>
      </c>
    </row>
    <row r="152" spans="1:6" x14ac:dyDescent="0.25">
      <c r="A152" t="s">
        <v>209</v>
      </c>
      <c r="B152" t="s">
        <v>212</v>
      </c>
      <c r="C152">
        <v>7</v>
      </c>
      <c r="D152">
        <v>13</v>
      </c>
      <c r="E152">
        <v>517097.65</v>
      </c>
      <c r="F152">
        <v>5169400.78</v>
      </c>
    </row>
    <row r="153" spans="1:6" x14ac:dyDescent="0.25">
      <c r="A153" t="s">
        <v>209</v>
      </c>
      <c r="B153" t="s">
        <v>212</v>
      </c>
      <c r="C153">
        <v>8</v>
      </c>
      <c r="D153">
        <v>6.4</v>
      </c>
      <c r="E153">
        <v>517087.65</v>
      </c>
      <c r="F153">
        <v>5169460.78</v>
      </c>
    </row>
    <row r="154" spans="1:6" x14ac:dyDescent="0.25">
      <c r="A154" t="s">
        <v>209</v>
      </c>
      <c r="B154" t="s">
        <v>212</v>
      </c>
      <c r="C154">
        <v>9</v>
      </c>
      <c r="D154">
        <v>15.2</v>
      </c>
      <c r="E154">
        <v>517257.65</v>
      </c>
      <c r="F154">
        <v>5169450.78</v>
      </c>
    </row>
    <row r="155" spans="1:6" x14ac:dyDescent="0.25">
      <c r="A155" t="s">
        <v>209</v>
      </c>
      <c r="B155" t="s">
        <v>212</v>
      </c>
      <c r="C155">
        <v>10</v>
      </c>
      <c r="D155">
        <v>4.8</v>
      </c>
      <c r="E155">
        <v>517237.65</v>
      </c>
      <c r="F155">
        <v>5169520.78</v>
      </c>
    </row>
    <row r="156" spans="1:6" x14ac:dyDescent="0.25">
      <c r="A156" t="s">
        <v>209</v>
      </c>
      <c r="B156" t="s">
        <v>212</v>
      </c>
      <c r="C156">
        <v>11</v>
      </c>
      <c r="D156">
        <v>18.600000000000001</v>
      </c>
      <c r="E156">
        <v>517217.65</v>
      </c>
      <c r="F156">
        <v>5169370.78</v>
      </c>
    </row>
    <row r="157" spans="1:6" x14ac:dyDescent="0.25">
      <c r="A157" t="s">
        <v>209</v>
      </c>
      <c r="B157" t="s">
        <v>212</v>
      </c>
      <c r="C157">
        <v>12</v>
      </c>
      <c r="D157">
        <v>11.2</v>
      </c>
      <c r="E157">
        <v>517127.65</v>
      </c>
      <c r="F157">
        <v>5169250.78</v>
      </c>
    </row>
    <row r="158" spans="1:6" x14ac:dyDescent="0.25">
      <c r="A158" t="s">
        <v>209</v>
      </c>
      <c r="B158" t="s">
        <v>212</v>
      </c>
      <c r="C158">
        <v>13</v>
      </c>
      <c r="D158">
        <v>5.8</v>
      </c>
      <c r="E158">
        <v>517457.65</v>
      </c>
      <c r="F158">
        <v>5169080.78</v>
      </c>
    </row>
    <row r="159" spans="1:6" x14ac:dyDescent="0.25">
      <c r="A159" t="s">
        <v>209</v>
      </c>
      <c r="B159" t="s">
        <v>212</v>
      </c>
      <c r="C159">
        <v>14</v>
      </c>
      <c r="D159">
        <v>8</v>
      </c>
      <c r="E159">
        <v>517037.65</v>
      </c>
      <c r="F159">
        <v>5169220.78</v>
      </c>
    </row>
    <row r="160" spans="1:6" x14ac:dyDescent="0.25">
      <c r="A160" t="s">
        <v>209</v>
      </c>
      <c r="B160" t="s">
        <v>212</v>
      </c>
      <c r="C160">
        <v>15</v>
      </c>
      <c r="D160">
        <v>6.7</v>
      </c>
      <c r="E160">
        <v>516887.65</v>
      </c>
      <c r="F160">
        <v>5169320.78</v>
      </c>
    </row>
    <row r="161" spans="1:6" x14ac:dyDescent="0.25">
      <c r="A161" t="s">
        <v>209</v>
      </c>
      <c r="B161" t="s">
        <v>212</v>
      </c>
      <c r="C161">
        <v>16</v>
      </c>
      <c r="D161">
        <v>3</v>
      </c>
      <c r="E161">
        <v>517327.65</v>
      </c>
      <c r="F161">
        <v>5169530.78</v>
      </c>
    </row>
    <row r="162" spans="1:6" x14ac:dyDescent="0.25">
      <c r="A162" t="s">
        <v>209</v>
      </c>
      <c r="B162" t="s">
        <v>212</v>
      </c>
      <c r="C162">
        <v>17</v>
      </c>
      <c r="D162">
        <v>11.8</v>
      </c>
      <c r="E162">
        <v>517397.65</v>
      </c>
      <c r="F162">
        <v>5169360.78</v>
      </c>
    </row>
    <row r="163" spans="1:6" x14ac:dyDescent="0.25">
      <c r="A163" t="s">
        <v>209</v>
      </c>
      <c r="B163" t="s">
        <v>212</v>
      </c>
      <c r="C163">
        <v>18</v>
      </c>
      <c r="D163">
        <v>0</v>
      </c>
      <c r="E163">
        <v>516847.65</v>
      </c>
      <c r="F163">
        <v>5169190.78</v>
      </c>
    </row>
    <row r="164" spans="1:6" x14ac:dyDescent="0.25">
      <c r="A164" t="s">
        <v>209</v>
      </c>
      <c r="B164" t="s">
        <v>212</v>
      </c>
      <c r="C164">
        <v>19</v>
      </c>
      <c r="D164">
        <v>3.8</v>
      </c>
      <c r="E164">
        <v>517147.65</v>
      </c>
      <c r="F164">
        <v>5169560.78</v>
      </c>
    </row>
    <row r="165" spans="1:6" x14ac:dyDescent="0.25">
      <c r="A165" t="s">
        <v>209</v>
      </c>
      <c r="B165" t="s">
        <v>212</v>
      </c>
      <c r="C165">
        <v>20</v>
      </c>
      <c r="D165">
        <v>5.6</v>
      </c>
      <c r="E165">
        <v>517347.65</v>
      </c>
      <c r="F165">
        <v>5169170.78</v>
      </c>
    </row>
    <row r="166" spans="1:6" x14ac:dyDescent="0.25">
      <c r="A166" t="s">
        <v>209</v>
      </c>
      <c r="B166" t="s">
        <v>212</v>
      </c>
      <c r="C166">
        <v>21</v>
      </c>
      <c r="D166">
        <v>6.9</v>
      </c>
      <c r="E166">
        <v>516957.65</v>
      </c>
      <c r="F166">
        <v>5169460.78</v>
      </c>
    </row>
    <row r="167" spans="1:6" x14ac:dyDescent="0.25">
      <c r="A167" t="s">
        <v>209</v>
      </c>
      <c r="B167" t="s">
        <v>212</v>
      </c>
      <c r="C167">
        <v>22</v>
      </c>
      <c r="D167">
        <v>9.3000000000000007</v>
      </c>
      <c r="E167">
        <v>517237.65</v>
      </c>
      <c r="F167">
        <v>5169280.78</v>
      </c>
    </row>
    <row r="168" spans="1:6" x14ac:dyDescent="0.25">
      <c r="A168" t="s">
        <v>209</v>
      </c>
      <c r="B168" t="s">
        <v>212</v>
      </c>
      <c r="C168">
        <v>23</v>
      </c>
      <c r="D168">
        <v>7.3</v>
      </c>
      <c r="E168">
        <v>517367.65</v>
      </c>
      <c r="F168">
        <v>5169070.78</v>
      </c>
    </row>
    <row r="169" spans="1:6" x14ac:dyDescent="0.25">
      <c r="A169" t="s">
        <v>209</v>
      </c>
      <c r="B169" t="s">
        <v>212</v>
      </c>
      <c r="C169">
        <v>24</v>
      </c>
      <c r="D169">
        <v>13.2</v>
      </c>
      <c r="E169">
        <v>516877.65</v>
      </c>
      <c r="F169">
        <v>5169420.78</v>
      </c>
    </row>
    <row r="170" spans="1:6" x14ac:dyDescent="0.25">
      <c r="A170" t="s">
        <v>209</v>
      </c>
      <c r="B170" t="s">
        <v>212</v>
      </c>
      <c r="C170">
        <v>25</v>
      </c>
      <c r="D170">
        <v>12.1</v>
      </c>
      <c r="E170">
        <v>516977.65</v>
      </c>
      <c r="F170">
        <v>5169290.78</v>
      </c>
    </row>
    <row r="171" spans="1:6" x14ac:dyDescent="0.25">
      <c r="A171" t="s">
        <v>209</v>
      </c>
      <c r="B171" t="s">
        <v>212</v>
      </c>
      <c r="C171">
        <v>26</v>
      </c>
      <c r="D171">
        <v>21.7</v>
      </c>
      <c r="E171">
        <v>517317.65</v>
      </c>
      <c r="F171">
        <v>5169390.78</v>
      </c>
    </row>
    <row r="172" spans="1:6" x14ac:dyDescent="0.25">
      <c r="A172" t="s">
        <v>209</v>
      </c>
      <c r="B172" t="s">
        <v>212</v>
      </c>
      <c r="C172">
        <v>27</v>
      </c>
      <c r="D172">
        <v>9.8000000000000007</v>
      </c>
      <c r="E172">
        <v>517177.65</v>
      </c>
      <c r="F172">
        <v>5169460.78</v>
      </c>
    </row>
    <row r="173" spans="1:6" x14ac:dyDescent="0.25">
      <c r="A173" t="s">
        <v>209</v>
      </c>
      <c r="B173" t="s">
        <v>212</v>
      </c>
      <c r="C173">
        <v>28</v>
      </c>
      <c r="D173">
        <v>7.1</v>
      </c>
      <c r="E173">
        <v>517457.65</v>
      </c>
      <c r="F173">
        <v>5169310.78</v>
      </c>
    </row>
    <row r="174" spans="1:6" x14ac:dyDescent="0.25">
      <c r="A174" t="s">
        <v>209</v>
      </c>
      <c r="B174" t="s">
        <v>212</v>
      </c>
      <c r="C174">
        <v>29</v>
      </c>
      <c r="D174">
        <v>0</v>
      </c>
      <c r="E174">
        <v>517287.65</v>
      </c>
      <c r="F174">
        <v>5169080.78</v>
      </c>
    </row>
    <row r="175" spans="1:6" x14ac:dyDescent="0.25">
      <c r="A175" t="s">
        <v>209</v>
      </c>
      <c r="B175" t="s">
        <v>212</v>
      </c>
      <c r="C175">
        <v>30</v>
      </c>
      <c r="D175">
        <v>13.5</v>
      </c>
      <c r="E175">
        <v>516997.65</v>
      </c>
      <c r="F175">
        <v>5169380.78</v>
      </c>
    </row>
    <row r="176" spans="1:6" x14ac:dyDescent="0.25">
      <c r="A176" t="s">
        <v>209</v>
      </c>
      <c r="B176" t="s">
        <v>212</v>
      </c>
      <c r="C176">
        <v>31</v>
      </c>
      <c r="D176">
        <v>8.8000000000000007</v>
      </c>
      <c r="E176">
        <v>517287.65</v>
      </c>
      <c r="F176">
        <v>5169590.78</v>
      </c>
    </row>
    <row r="177" spans="1:6" x14ac:dyDescent="0.25">
      <c r="A177" t="s">
        <v>209</v>
      </c>
      <c r="B177" t="s">
        <v>212</v>
      </c>
      <c r="C177">
        <v>32</v>
      </c>
      <c r="D177">
        <v>14.1</v>
      </c>
      <c r="E177">
        <v>517147.65</v>
      </c>
      <c r="F177">
        <v>5169330.78</v>
      </c>
    </row>
    <row r="178" spans="1:6" x14ac:dyDescent="0.25">
      <c r="A178" t="s">
        <v>209</v>
      </c>
      <c r="B178" t="s">
        <v>212</v>
      </c>
      <c r="C178">
        <v>33</v>
      </c>
      <c r="D178">
        <v>16.399999999999999</v>
      </c>
      <c r="E178">
        <v>517387.65</v>
      </c>
      <c r="F178">
        <v>5169440.78</v>
      </c>
    </row>
    <row r="179" spans="1:6" x14ac:dyDescent="0.25">
      <c r="A179" t="s">
        <v>209</v>
      </c>
      <c r="B179" t="s">
        <v>212</v>
      </c>
      <c r="C179">
        <v>34</v>
      </c>
      <c r="D179">
        <v>9.6999999999999993</v>
      </c>
      <c r="E179">
        <v>517467.65</v>
      </c>
      <c r="F179">
        <v>5169160.78</v>
      </c>
    </row>
    <row r="180" spans="1:6" x14ac:dyDescent="0.25">
      <c r="A180" t="s">
        <v>209</v>
      </c>
      <c r="B180" t="s">
        <v>212</v>
      </c>
      <c r="C180">
        <v>35</v>
      </c>
      <c r="D180">
        <v>5.4</v>
      </c>
      <c r="E180">
        <v>517077.65</v>
      </c>
      <c r="F180">
        <v>5169530.78</v>
      </c>
    </row>
    <row r="181" spans="1:6" x14ac:dyDescent="0.25">
      <c r="A181" t="s">
        <v>209</v>
      </c>
      <c r="B181" t="s">
        <v>212</v>
      </c>
      <c r="C181">
        <v>36</v>
      </c>
      <c r="D181">
        <v>5.0999999999999996</v>
      </c>
      <c r="E181">
        <v>517317.65</v>
      </c>
      <c r="F181">
        <v>5169020.78</v>
      </c>
    </row>
    <row r="182" spans="1:6" x14ac:dyDescent="0.25">
      <c r="A182" t="s">
        <v>209</v>
      </c>
      <c r="B182" t="s">
        <v>211</v>
      </c>
      <c r="C182">
        <v>1</v>
      </c>
      <c r="D182">
        <v>29.2089</v>
      </c>
      <c r="E182">
        <v>517227.65</v>
      </c>
      <c r="F182">
        <v>5169180.78</v>
      </c>
    </row>
    <row r="183" spans="1:6" x14ac:dyDescent="0.25">
      <c r="A183" t="s">
        <v>209</v>
      </c>
      <c r="B183" t="s">
        <v>211</v>
      </c>
      <c r="C183">
        <v>2</v>
      </c>
      <c r="D183">
        <v>37.608800000000002</v>
      </c>
      <c r="E183">
        <v>517437.65</v>
      </c>
      <c r="F183">
        <v>5169220.78</v>
      </c>
    </row>
    <row r="184" spans="1:6" x14ac:dyDescent="0.25">
      <c r="A184" t="s">
        <v>209</v>
      </c>
      <c r="B184" t="s">
        <v>211</v>
      </c>
      <c r="C184">
        <v>3</v>
      </c>
      <c r="D184">
        <v>33.840699999999998</v>
      </c>
      <c r="E184">
        <v>517327.65</v>
      </c>
      <c r="F184">
        <v>5169270.78</v>
      </c>
    </row>
    <row r="185" spans="1:6" x14ac:dyDescent="0.25">
      <c r="A185" t="s">
        <v>209</v>
      </c>
      <c r="B185" t="s">
        <v>211</v>
      </c>
      <c r="C185">
        <v>4</v>
      </c>
      <c r="D185">
        <v>19.638300000000001</v>
      </c>
      <c r="E185">
        <v>516947.65</v>
      </c>
      <c r="F185">
        <v>5169210.78</v>
      </c>
    </row>
    <row r="186" spans="1:6" x14ac:dyDescent="0.25">
      <c r="A186" t="s">
        <v>209</v>
      </c>
      <c r="B186" t="s">
        <v>211</v>
      </c>
      <c r="C186">
        <v>5</v>
      </c>
      <c r="D186">
        <v>27.069099999999999</v>
      </c>
      <c r="E186">
        <v>517147.65</v>
      </c>
      <c r="F186">
        <v>5169230.78</v>
      </c>
    </row>
    <row r="187" spans="1:6" x14ac:dyDescent="0.25">
      <c r="A187" t="s">
        <v>209</v>
      </c>
      <c r="B187" t="s">
        <v>211</v>
      </c>
      <c r="C187">
        <v>6</v>
      </c>
      <c r="D187">
        <v>20.154800000000002</v>
      </c>
      <c r="E187">
        <v>517057.65</v>
      </c>
      <c r="F187">
        <v>5169320.78</v>
      </c>
    </row>
    <row r="188" spans="1:6" x14ac:dyDescent="0.25">
      <c r="A188" t="s">
        <v>209</v>
      </c>
      <c r="B188" t="s">
        <v>211</v>
      </c>
      <c r="C188">
        <v>7</v>
      </c>
      <c r="D188">
        <v>38.566200000000002</v>
      </c>
      <c r="E188">
        <v>517097.65</v>
      </c>
      <c r="F188">
        <v>5169400.78</v>
      </c>
    </row>
    <row r="189" spans="1:6" x14ac:dyDescent="0.25">
      <c r="A189" t="s">
        <v>209</v>
      </c>
      <c r="B189" t="s">
        <v>211</v>
      </c>
      <c r="C189">
        <v>8</v>
      </c>
      <c r="D189">
        <v>26.117599999999999</v>
      </c>
      <c r="E189">
        <v>517087.65</v>
      </c>
      <c r="F189">
        <v>5169460.78</v>
      </c>
    </row>
    <row r="190" spans="1:6" x14ac:dyDescent="0.25">
      <c r="A190" t="s">
        <v>209</v>
      </c>
      <c r="B190" t="s">
        <v>211</v>
      </c>
      <c r="C190">
        <v>9</v>
      </c>
      <c r="D190">
        <v>33.596400000000003</v>
      </c>
      <c r="E190">
        <v>517257.65</v>
      </c>
      <c r="F190">
        <v>5169450.78</v>
      </c>
    </row>
    <row r="191" spans="1:6" x14ac:dyDescent="0.25">
      <c r="A191" t="s">
        <v>209</v>
      </c>
      <c r="B191" t="s">
        <v>211</v>
      </c>
      <c r="C191">
        <v>10</v>
      </c>
      <c r="D191">
        <v>21.261099999999999</v>
      </c>
      <c r="E191">
        <v>517237.65</v>
      </c>
      <c r="F191">
        <v>5169520.78</v>
      </c>
    </row>
    <row r="192" spans="1:6" x14ac:dyDescent="0.25">
      <c r="A192" t="s">
        <v>209</v>
      </c>
      <c r="B192" t="s">
        <v>211</v>
      </c>
      <c r="C192">
        <v>11</v>
      </c>
      <c r="D192">
        <v>34.178600000000003</v>
      </c>
      <c r="E192">
        <v>517217.65</v>
      </c>
      <c r="F192">
        <v>5169370.78</v>
      </c>
    </row>
    <row r="193" spans="1:6" x14ac:dyDescent="0.25">
      <c r="A193" t="s">
        <v>209</v>
      </c>
      <c r="B193" t="s">
        <v>211</v>
      </c>
      <c r="C193">
        <v>12</v>
      </c>
      <c r="D193">
        <v>31.819500000000001</v>
      </c>
      <c r="E193">
        <v>517127.65</v>
      </c>
      <c r="F193">
        <v>5169250.78</v>
      </c>
    </row>
    <row r="194" spans="1:6" x14ac:dyDescent="0.25">
      <c r="A194" t="s">
        <v>209</v>
      </c>
      <c r="B194" t="s">
        <v>211</v>
      </c>
      <c r="C194">
        <v>13</v>
      </c>
      <c r="D194">
        <v>28.2195</v>
      </c>
      <c r="E194">
        <v>517457.65</v>
      </c>
      <c r="F194">
        <v>5169080.78</v>
      </c>
    </row>
    <row r="195" spans="1:6" x14ac:dyDescent="0.25">
      <c r="A195" t="s">
        <v>209</v>
      </c>
      <c r="B195" t="s">
        <v>211</v>
      </c>
      <c r="C195">
        <v>14</v>
      </c>
      <c r="D195">
        <v>18.783899999999999</v>
      </c>
      <c r="E195">
        <v>517037.65</v>
      </c>
      <c r="F195">
        <v>5169220.78</v>
      </c>
    </row>
    <row r="196" spans="1:6" x14ac:dyDescent="0.25">
      <c r="A196" t="s">
        <v>209</v>
      </c>
      <c r="B196" t="s">
        <v>211</v>
      </c>
      <c r="C196">
        <v>15</v>
      </c>
      <c r="D196">
        <v>24.7804</v>
      </c>
      <c r="E196">
        <v>516887.65</v>
      </c>
      <c r="F196">
        <v>5169320.78</v>
      </c>
    </row>
    <row r="197" spans="1:6" x14ac:dyDescent="0.25">
      <c r="A197" t="s">
        <v>209</v>
      </c>
      <c r="B197" t="s">
        <v>211</v>
      </c>
      <c r="C197">
        <v>16</v>
      </c>
      <c r="D197">
        <v>18.636199999999999</v>
      </c>
      <c r="E197">
        <v>517327.65</v>
      </c>
      <c r="F197">
        <v>5169530.78</v>
      </c>
    </row>
    <row r="198" spans="1:6" x14ac:dyDescent="0.25">
      <c r="A198" t="s">
        <v>209</v>
      </c>
      <c r="B198" t="s">
        <v>211</v>
      </c>
      <c r="C198">
        <v>17</v>
      </c>
      <c r="D198">
        <v>27.139500000000002</v>
      </c>
      <c r="E198">
        <v>517397.65</v>
      </c>
      <c r="F198">
        <v>5169360.78</v>
      </c>
    </row>
    <row r="199" spans="1:6" x14ac:dyDescent="0.25">
      <c r="A199" t="s">
        <v>209</v>
      </c>
      <c r="B199" t="s">
        <v>211</v>
      </c>
      <c r="C199">
        <v>18</v>
      </c>
      <c r="D199">
        <v>0</v>
      </c>
      <c r="E199">
        <v>516847.65</v>
      </c>
      <c r="F199">
        <v>5169190.78</v>
      </c>
    </row>
    <row r="200" spans="1:6" x14ac:dyDescent="0.25">
      <c r="A200" t="s">
        <v>209</v>
      </c>
      <c r="B200" t="s">
        <v>211</v>
      </c>
      <c r="C200">
        <v>19</v>
      </c>
      <c r="D200">
        <v>22.843800000000002</v>
      </c>
      <c r="E200">
        <v>517147.65</v>
      </c>
      <c r="F200">
        <v>5169560.78</v>
      </c>
    </row>
    <row r="201" spans="1:6" x14ac:dyDescent="0.25">
      <c r="A201" t="s">
        <v>209</v>
      </c>
      <c r="B201" t="s">
        <v>211</v>
      </c>
      <c r="C201">
        <v>20</v>
      </c>
      <c r="D201">
        <v>26.830300000000001</v>
      </c>
      <c r="E201">
        <v>517347.65</v>
      </c>
      <c r="F201">
        <v>5169170.78</v>
      </c>
    </row>
    <row r="202" spans="1:6" x14ac:dyDescent="0.25">
      <c r="A202" t="s">
        <v>209</v>
      </c>
      <c r="B202" t="s">
        <v>211</v>
      </c>
      <c r="C202">
        <v>21</v>
      </c>
      <c r="D202">
        <v>31.631699999999999</v>
      </c>
      <c r="E202">
        <v>516957.65</v>
      </c>
      <c r="F202">
        <v>5169460.78</v>
      </c>
    </row>
    <row r="203" spans="1:6" x14ac:dyDescent="0.25">
      <c r="A203" t="s">
        <v>209</v>
      </c>
      <c r="B203" t="s">
        <v>211</v>
      </c>
      <c r="C203">
        <v>22</v>
      </c>
      <c r="D203">
        <v>22.848099999999999</v>
      </c>
      <c r="E203">
        <v>517237.65</v>
      </c>
      <c r="F203">
        <v>5169280.78</v>
      </c>
    </row>
    <row r="204" spans="1:6" x14ac:dyDescent="0.25">
      <c r="A204" t="s">
        <v>209</v>
      </c>
      <c r="B204" t="s">
        <v>211</v>
      </c>
      <c r="C204">
        <v>23</v>
      </c>
      <c r="D204">
        <v>25.660499999999999</v>
      </c>
      <c r="E204">
        <v>517367.65</v>
      </c>
      <c r="F204">
        <v>5169070.78</v>
      </c>
    </row>
    <row r="205" spans="1:6" x14ac:dyDescent="0.25">
      <c r="A205" t="s">
        <v>209</v>
      </c>
      <c r="B205" t="s">
        <v>211</v>
      </c>
      <c r="C205">
        <v>24</v>
      </c>
      <c r="D205">
        <v>29.813400000000001</v>
      </c>
      <c r="E205">
        <v>516877.65</v>
      </c>
      <c r="F205">
        <v>5169420.78</v>
      </c>
    </row>
    <row r="206" spans="1:6" x14ac:dyDescent="0.25">
      <c r="A206" t="s">
        <v>209</v>
      </c>
      <c r="B206" t="s">
        <v>211</v>
      </c>
      <c r="C206">
        <v>25</v>
      </c>
      <c r="D206">
        <v>22.745899999999999</v>
      </c>
      <c r="E206">
        <v>516977.65</v>
      </c>
      <c r="F206">
        <v>5169290.78</v>
      </c>
    </row>
    <row r="207" spans="1:6" x14ac:dyDescent="0.25">
      <c r="A207" t="s">
        <v>209</v>
      </c>
      <c r="B207" t="s">
        <v>211</v>
      </c>
      <c r="C207">
        <v>26</v>
      </c>
      <c r="D207">
        <v>30.0015</v>
      </c>
      <c r="E207">
        <v>517317.65</v>
      </c>
      <c r="F207">
        <v>5169390.78</v>
      </c>
    </row>
    <row r="208" spans="1:6" x14ac:dyDescent="0.25">
      <c r="A208" t="s">
        <v>209</v>
      </c>
      <c r="B208" t="s">
        <v>211</v>
      </c>
      <c r="C208">
        <v>27</v>
      </c>
      <c r="D208">
        <v>19.018599999999999</v>
      </c>
      <c r="E208">
        <v>517177.65</v>
      </c>
      <c r="F208">
        <v>5169460.78</v>
      </c>
    </row>
    <row r="209" spans="1:6" x14ac:dyDescent="0.25">
      <c r="A209" t="s">
        <v>209</v>
      </c>
      <c r="B209" t="s">
        <v>211</v>
      </c>
      <c r="C209">
        <v>28</v>
      </c>
      <c r="D209">
        <v>44.349899999999998</v>
      </c>
      <c r="E209">
        <v>517457.65</v>
      </c>
      <c r="F209">
        <v>5169310.78</v>
      </c>
    </row>
    <row r="210" spans="1:6" x14ac:dyDescent="0.25">
      <c r="A210" t="s">
        <v>209</v>
      </c>
      <c r="B210" t="s">
        <v>211</v>
      </c>
      <c r="C210">
        <v>29</v>
      </c>
      <c r="D210">
        <v>0</v>
      </c>
      <c r="E210">
        <v>517287.65</v>
      </c>
      <c r="F210">
        <v>5169080.78</v>
      </c>
    </row>
    <row r="211" spans="1:6" x14ac:dyDescent="0.25">
      <c r="A211" t="s">
        <v>209</v>
      </c>
      <c r="B211" t="s">
        <v>211</v>
      </c>
      <c r="C211">
        <v>30</v>
      </c>
      <c r="D211">
        <v>27.938300000000002</v>
      </c>
      <c r="E211">
        <v>516997.65</v>
      </c>
      <c r="F211">
        <v>5169380.78</v>
      </c>
    </row>
    <row r="212" spans="1:6" x14ac:dyDescent="0.25">
      <c r="A212" t="s">
        <v>209</v>
      </c>
      <c r="B212" t="s">
        <v>211</v>
      </c>
      <c r="C212">
        <v>31</v>
      </c>
      <c r="D212">
        <v>21.116700000000002</v>
      </c>
      <c r="E212">
        <v>517287.65</v>
      </c>
      <c r="F212">
        <v>5169590.78</v>
      </c>
    </row>
    <row r="213" spans="1:6" x14ac:dyDescent="0.25">
      <c r="A213" t="s">
        <v>209</v>
      </c>
      <c r="B213" t="s">
        <v>211</v>
      </c>
      <c r="C213">
        <v>32</v>
      </c>
      <c r="D213">
        <v>27.7514</v>
      </c>
      <c r="E213">
        <v>517147.65</v>
      </c>
      <c r="F213">
        <v>5169330.78</v>
      </c>
    </row>
    <row r="214" spans="1:6" x14ac:dyDescent="0.25">
      <c r="A214" t="s">
        <v>209</v>
      </c>
      <c r="B214" t="s">
        <v>211</v>
      </c>
      <c r="C214">
        <v>33</v>
      </c>
      <c r="D214">
        <v>36.423900000000003</v>
      </c>
      <c r="E214">
        <v>517387.65</v>
      </c>
      <c r="F214">
        <v>5169440.78</v>
      </c>
    </row>
    <row r="215" spans="1:6" x14ac:dyDescent="0.25">
      <c r="A215" t="s">
        <v>209</v>
      </c>
      <c r="B215" t="s">
        <v>211</v>
      </c>
      <c r="C215">
        <v>34</v>
      </c>
      <c r="D215">
        <v>31.671299999999999</v>
      </c>
      <c r="E215">
        <v>517467.65</v>
      </c>
      <c r="F215">
        <v>5169160.78</v>
      </c>
    </row>
    <row r="216" spans="1:6" x14ac:dyDescent="0.25">
      <c r="A216" t="s">
        <v>209</v>
      </c>
      <c r="B216" t="s">
        <v>211</v>
      </c>
      <c r="C216">
        <v>35</v>
      </c>
      <c r="D216">
        <v>26.3474</v>
      </c>
      <c r="E216">
        <v>517077.65</v>
      </c>
      <c r="F216">
        <v>5169530.78</v>
      </c>
    </row>
    <row r="217" spans="1:6" x14ac:dyDescent="0.25">
      <c r="A217" t="s">
        <v>209</v>
      </c>
      <c r="B217" t="s">
        <v>211</v>
      </c>
      <c r="C217">
        <v>36</v>
      </c>
      <c r="D217">
        <v>27.949000000000002</v>
      </c>
      <c r="E217">
        <v>517317.65</v>
      </c>
      <c r="F217">
        <v>5169020.78</v>
      </c>
    </row>
    <row r="218" spans="1:6" x14ac:dyDescent="0.25">
      <c r="A218" t="s">
        <v>213</v>
      </c>
      <c r="B218" t="s">
        <v>208</v>
      </c>
      <c r="C218">
        <v>1</v>
      </c>
      <c r="D218">
        <v>37.629600000000003</v>
      </c>
      <c r="E218">
        <v>5150951.67</v>
      </c>
      <c r="F218">
        <v>37629485.969999999</v>
      </c>
    </row>
    <row r="219" spans="1:6" x14ac:dyDescent="0.25">
      <c r="A219" t="s">
        <v>213</v>
      </c>
      <c r="B219" t="s">
        <v>208</v>
      </c>
      <c r="C219">
        <v>2</v>
      </c>
      <c r="D219">
        <v>56.821800000000003</v>
      </c>
      <c r="E219">
        <v>5150981.67</v>
      </c>
      <c r="F219">
        <v>56821627.810000002</v>
      </c>
    </row>
    <row r="220" spans="1:6" x14ac:dyDescent="0.25">
      <c r="A220" t="s">
        <v>213</v>
      </c>
      <c r="B220" t="s">
        <v>208</v>
      </c>
      <c r="C220">
        <v>3</v>
      </c>
      <c r="D220">
        <v>37.165500000000002</v>
      </c>
      <c r="E220">
        <v>5151011.67</v>
      </c>
      <c r="F220">
        <v>37165387.380000003</v>
      </c>
    </row>
    <row r="221" spans="1:6" x14ac:dyDescent="0.25">
      <c r="A221" t="s">
        <v>213</v>
      </c>
      <c r="B221" t="s">
        <v>208</v>
      </c>
      <c r="C221">
        <v>4</v>
      </c>
      <c r="D221">
        <v>53.589799999999997</v>
      </c>
      <c r="E221">
        <v>5151081.67</v>
      </c>
      <c r="F221">
        <v>53589637.609999999</v>
      </c>
    </row>
    <row r="222" spans="1:6" x14ac:dyDescent="0.25">
      <c r="A222" t="s">
        <v>213</v>
      </c>
      <c r="B222" t="s">
        <v>208</v>
      </c>
      <c r="C222">
        <v>5</v>
      </c>
      <c r="D222">
        <v>63.144799999999996</v>
      </c>
      <c r="E222">
        <v>5151081.67</v>
      </c>
      <c r="F222">
        <v>63144608.649999999</v>
      </c>
    </row>
    <row r="223" spans="1:6" x14ac:dyDescent="0.25">
      <c r="A223" t="s">
        <v>213</v>
      </c>
      <c r="B223" t="s">
        <v>208</v>
      </c>
      <c r="C223">
        <v>6</v>
      </c>
      <c r="D223">
        <v>47.570300000000003</v>
      </c>
      <c r="E223">
        <v>5151111.67</v>
      </c>
      <c r="F223">
        <v>47570155.850000001</v>
      </c>
    </row>
    <row r="224" spans="1:6" x14ac:dyDescent="0.25">
      <c r="A224" t="s">
        <v>213</v>
      </c>
      <c r="B224" t="s">
        <v>208</v>
      </c>
      <c r="C224">
        <v>7</v>
      </c>
      <c r="D224">
        <v>61.290300000000002</v>
      </c>
      <c r="E224">
        <v>5151051.67</v>
      </c>
      <c r="F224">
        <v>61290114.270000003</v>
      </c>
    </row>
    <row r="225" spans="1:6" x14ac:dyDescent="0.25">
      <c r="A225" t="s">
        <v>213</v>
      </c>
      <c r="B225" t="s">
        <v>208</v>
      </c>
      <c r="C225">
        <v>8</v>
      </c>
      <c r="D225">
        <v>44.165799999999997</v>
      </c>
      <c r="E225">
        <v>5150991.67</v>
      </c>
      <c r="F225">
        <v>44165666.159999996</v>
      </c>
    </row>
    <row r="226" spans="1:6" x14ac:dyDescent="0.25">
      <c r="A226" t="s">
        <v>213</v>
      </c>
      <c r="B226" t="s">
        <v>208</v>
      </c>
      <c r="C226">
        <v>9</v>
      </c>
      <c r="D226">
        <v>51.8369</v>
      </c>
      <c r="E226">
        <v>5151021.67</v>
      </c>
      <c r="F226">
        <v>51836742.920000002</v>
      </c>
    </row>
    <row r="227" spans="1:6" x14ac:dyDescent="0.25">
      <c r="A227" t="s">
        <v>213</v>
      </c>
      <c r="B227" t="s">
        <v>208</v>
      </c>
      <c r="C227">
        <v>10</v>
      </c>
      <c r="D227">
        <v>53.501600000000003</v>
      </c>
      <c r="E227">
        <v>5150951.67</v>
      </c>
      <c r="F227">
        <v>53501437.869999997</v>
      </c>
    </row>
    <row r="228" spans="1:6" x14ac:dyDescent="0.25">
      <c r="A228" t="s">
        <v>213</v>
      </c>
      <c r="B228" t="s">
        <v>208</v>
      </c>
      <c r="C228">
        <v>11</v>
      </c>
      <c r="D228">
        <v>37.805799999999998</v>
      </c>
      <c r="E228">
        <v>5150991.67</v>
      </c>
      <c r="F228">
        <v>37805685.439999998</v>
      </c>
    </row>
    <row r="229" spans="1:6" x14ac:dyDescent="0.25">
      <c r="A229" t="s">
        <v>213</v>
      </c>
      <c r="B229" t="s">
        <v>208</v>
      </c>
      <c r="C229">
        <v>12</v>
      </c>
      <c r="D229">
        <v>53.253999999999998</v>
      </c>
      <c r="E229">
        <v>5150931.67</v>
      </c>
      <c r="F229">
        <v>53253838.619999997</v>
      </c>
    </row>
    <row r="230" spans="1:6" x14ac:dyDescent="0.25">
      <c r="A230" t="s">
        <v>213</v>
      </c>
      <c r="B230" t="s">
        <v>208</v>
      </c>
      <c r="C230">
        <v>13</v>
      </c>
      <c r="D230">
        <v>51.346699999999998</v>
      </c>
      <c r="E230">
        <v>5151051.67</v>
      </c>
      <c r="F230">
        <v>51346544.399999999</v>
      </c>
    </row>
    <row r="231" spans="1:6" x14ac:dyDescent="0.25">
      <c r="A231" t="s">
        <v>213</v>
      </c>
      <c r="B231" t="s">
        <v>208</v>
      </c>
      <c r="C231">
        <v>15</v>
      </c>
      <c r="D231">
        <v>38.655700000000003</v>
      </c>
      <c r="E231">
        <v>5151091.67</v>
      </c>
      <c r="F231">
        <v>38655582.859999999</v>
      </c>
    </row>
    <row r="232" spans="1:6" x14ac:dyDescent="0.25">
      <c r="A232" t="s">
        <v>213</v>
      </c>
      <c r="B232" t="s">
        <v>208</v>
      </c>
      <c r="C232">
        <v>16</v>
      </c>
      <c r="D232">
        <v>39.650599999999997</v>
      </c>
      <c r="E232">
        <v>5150981.67</v>
      </c>
      <c r="F232">
        <v>39650479.850000001</v>
      </c>
    </row>
    <row r="233" spans="1:6" x14ac:dyDescent="0.25">
      <c r="A233" t="s">
        <v>213</v>
      </c>
      <c r="B233" t="s">
        <v>208</v>
      </c>
      <c r="C233">
        <v>17</v>
      </c>
      <c r="D233">
        <v>51.598399999999998</v>
      </c>
      <c r="E233">
        <v>5150991.67</v>
      </c>
      <c r="F233">
        <v>51598243.640000001</v>
      </c>
    </row>
    <row r="234" spans="1:6" x14ac:dyDescent="0.25">
      <c r="A234" t="s">
        <v>213</v>
      </c>
      <c r="B234" t="s">
        <v>208</v>
      </c>
      <c r="C234">
        <v>18</v>
      </c>
      <c r="D234">
        <v>0</v>
      </c>
      <c r="E234">
        <v>5151141.67</v>
      </c>
      <c r="F234">
        <v>0</v>
      </c>
    </row>
    <row r="235" spans="1:6" x14ac:dyDescent="0.25">
      <c r="A235" t="s">
        <v>213</v>
      </c>
      <c r="B235" t="s">
        <v>208</v>
      </c>
      <c r="C235">
        <v>19</v>
      </c>
      <c r="D235">
        <v>38.235300000000002</v>
      </c>
      <c r="E235">
        <v>5151101.67</v>
      </c>
      <c r="F235">
        <v>38235184.140000001</v>
      </c>
    </row>
    <row r="236" spans="1:6" x14ac:dyDescent="0.25">
      <c r="A236" t="s">
        <v>213</v>
      </c>
      <c r="B236" t="s">
        <v>208</v>
      </c>
      <c r="C236">
        <v>20</v>
      </c>
      <c r="D236">
        <v>0</v>
      </c>
      <c r="E236">
        <v>5150891.67</v>
      </c>
      <c r="F236">
        <v>0</v>
      </c>
    </row>
    <row r="237" spans="1:6" x14ac:dyDescent="0.25">
      <c r="A237" t="s">
        <v>213</v>
      </c>
      <c r="B237" t="s">
        <v>208</v>
      </c>
      <c r="C237">
        <v>21</v>
      </c>
      <c r="D237">
        <v>41.3718</v>
      </c>
      <c r="E237">
        <v>5150871.67</v>
      </c>
      <c r="F237">
        <v>41371674.630000003</v>
      </c>
    </row>
    <row r="238" spans="1:6" x14ac:dyDescent="0.25">
      <c r="A238" t="s">
        <v>213</v>
      </c>
      <c r="B238" t="s">
        <v>208</v>
      </c>
      <c r="C238">
        <v>22</v>
      </c>
      <c r="D238">
        <v>0</v>
      </c>
      <c r="E238">
        <v>5150891.67</v>
      </c>
      <c r="F238">
        <v>0</v>
      </c>
    </row>
    <row r="239" spans="1:6" x14ac:dyDescent="0.25">
      <c r="A239" t="s">
        <v>213</v>
      </c>
      <c r="B239" t="s">
        <v>208</v>
      </c>
      <c r="C239">
        <v>23</v>
      </c>
      <c r="D239">
        <v>53.134500000000003</v>
      </c>
      <c r="E239">
        <v>5151021.67</v>
      </c>
      <c r="F239">
        <v>53134338.990000002</v>
      </c>
    </row>
    <row r="240" spans="1:6" x14ac:dyDescent="0.25">
      <c r="A240" t="s">
        <v>213</v>
      </c>
      <c r="B240" t="s">
        <v>208</v>
      </c>
      <c r="C240">
        <v>24</v>
      </c>
      <c r="D240">
        <v>36.808599999999998</v>
      </c>
      <c r="E240">
        <v>5151061.67</v>
      </c>
      <c r="F240">
        <v>36808488.460000001</v>
      </c>
    </row>
    <row r="241" spans="1:6" x14ac:dyDescent="0.25">
      <c r="A241" t="s">
        <v>213</v>
      </c>
      <c r="B241" t="s">
        <v>208</v>
      </c>
      <c r="C241">
        <v>25</v>
      </c>
      <c r="D241">
        <v>41.055100000000003</v>
      </c>
      <c r="E241">
        <v>5150951.67</v>
      </c>
      <c r="F241">
        <v>41054975.590000004</v>
      </c>
    </row>
    <row r="242" spans="1:6" x14ac:dyDescent="0.25">
      <c r="A242" t="s">
        <v>213</v>
      </c>
      <c r="B242" t="s">
        <v>208</v>
      </c>
      <c r="C242">
        <v>26</v>
      </c>
      <c r="D242">
        <v>42.189799999999998</v>
      </c>
      <c r="E242">
        <v>5150911.67</v>
      </c>
      <c r="F242">
        <v>42189672.149999999</v>
      </c>
    </row>
    <row r="243" spans="1:6" x14ac:dyDescent="0.25">
      <c r="A243" t="s">
        <v>213</v>
      </c>
      <c r="B243" t="s">
        <v>208</v>
      </c>
      <c r="C243">
        <v>27</v>
      </c>
      <c r="D243">
        <v>44.407899999999998</v>
      </c>
      <c r="E243">
        <v>5151031.67</v>
      </c>
      <c r="F243">
        <v>44407765.43</v>
      </c>
    </row>
    <row r="244" spans="1:6" x14ac:dyDescent="0.25">
      <c r="A244" t="s">
        <v>213</v>
      </c>
      <c r="B244" t="s">
        <v>208</v>
      </c>
      <c r="C244">
        <v>28</v>
      </c>
      <c r="D244">
        <v>0</v>
      </c>
      <c r="E244">
        <v>5151111.67</v>
      </c>
      <c r="F244">
        <v>0</v>
      </c>
    </row>
    <row r="245" spans="1:6" x14ac:dyDescent="0.25">
      <c r="A245" t="s">
        <v>213</v>
      </c>
      <c r="B245" t="s">
        <v>208</v>
      </c>
      <c r="C245">
        <v>29</v>
      </c>
      <c r="D245">
        <v>51.258699999999997</v>
      </c>
      <c r="E245">
        <v>5150961.67</v>
      </c>
      <c r="F245">
        <v>51258544.670000002</v>
      </c>
    </row>
    <row r="246" spans="1:6" x14ac:dyDescent="0.25">
      <c r="A246" t="s">
        <v>213</v>
      </c>
      <c r="B246" t="s">
        <v>208</v>
      </c>
      <c r="C246">
        <v>30</v>
      </c>
      <c r="D246">
        <v>54.273000000000003</v>
      </c>
      <c r="E246">
        <v>5151041.67</v>
      </c>
      <c r="F246">
        <v>54272835.539999999</v>
      </c>
    </row>
    <row r="247" spans="1:6" x14ac:dyDescent="0.25">
      <c r="A247" t="s">
        <v>213</v>
      </c>
      <c r="B247" t="s">
        <v>208</v>
      </c>
      <c r="C247">
        <v>32</v>
      </c>
      <c r="D247">
        <v>43.438299999999998</v>
      </c>
      <c r="E247">
        <v>5150901.67</v>
      </c>
      <c r="F247">
        <v>43438168.369999997</v>
      </c>
    </row>
    <row r="248" spans="1:6" x14ac:dyDescent="0.25">
      <c r="A248" t="s">
        <v>213</v>
      </c>
      <c r="B248" t="s">
        <v>208</v>
      </c>
      <c r="C248">
        <v>33</v>
      </c>
      <c r="D248">
        <v>41.297499999999999</v>
      </c>
      <c r="E248">
        <v>5150931.67</v>
      </c>
      <c r="F248">
        <v>41297374.859999999</v>
      </c>
    </row>
    <row r="249" spans="1:6" x14ac:dyDescent="0.25">
      <c r="A249" t="s">
        <v>213</v>
      </c>
      <c r="B249" t="s">
        <v>208</v>
      </c>
      <c r="C249">
        <v>34</v>
      </c>
      <c r="D249">
        <v>41.513300000000001</v>
      </c>
      <c r="E249">
        <v>5150971.67</v>
      </c>
      <c r="F249">
        <v>41513174.200000003</v>
      </c>
    </row>
    <row r="250" spans="1:6" x14ac:dyDescent="0.25">
      <c r="A250" t="s">
        <v>213</v>
      </c>
      <c r="B250" t="s">
        <v>208</v>
      </c>
      <c r="C250">
        <v>35</v>
      </c>
      <c r="D250">
        <v>0</v>
      </c>
      <c r="E250">
        <v>5151171.67</v>
      </c>
      <c r="F250">
        <v>0</v>
      </c>
    </row>
    <row r="251" spans="1:6" x14ac:dyDescent="0.25">
      <c r="A251" t="s">
        <v>213</v>
      </c>
      <c r="B251" t="s">
        <v>208</v>
      </c>
      <c r="C251">
        <v>36</v>
      </c>
      <c r="D251">
        <v>48.306399999999996</v>
      </c>
      <c r="E251">
        <v>5150921.67</v>
      </c>
      <c r="F251">
        <v>48306253.619999997</v>
      </c>
    </row>
    <row r="252" spans="1:6" x14ac:dyDescent="0.25">
      <c r="A252" t="s">
        <v>213</v>
      </c>
      <c r="B252" t="s">
        <v>212</v>
      </c>
      <c r="C252">
        <v>1</v>
      </c>
      <c r="D252">
        <v>7.5</v>
      </c>
      <c r="E252">
        <v>5150951.67</v>
      </c>
      <c r="F252">
        <v>37629485.969999999</v>
      </c>
    </row>
    <row r="253" spans="1:6" x14ac:dyDescent="0.25">
      <c r="A253" t="s">
        <v>213</v>
      </c>
      <c r="B253" t="s">
        <v>212</v>
      </c>
      <c r="C253">
        <v>2</v>
      </c>
      <c r="D253">
        <v>16.8</v>
      </c>
      <c r="E253">
        <v>5150981.67</v>
      </c>
      <c r="F253">
        <v>56821627.810000002</v>
      </c>
    </row>
    <row r="254" spans="1:6" x14ac:dyDescent="0.25">
      <c r="A254" t="s">
        <v>213</v>
      </c>
      <c r="B254" t="s">
        <v>212</v>
      </c>
      <c r="C254">
        <v>3</v>
      </c>
      <c r="D254">
        <v>9.9</v>
      </c>
      <c r="E254">
        <v>5151011.67</v>
      </c>
      <c r="F254">
        <v>37165387.380000003</v>
      </c>
    </row>
    <row r="255" spans="1:6" x14ac:dyDescent="0.25">
      <c r="A255" t="s">
        <v>213</v>
      </c>
      <c r="B255" t="s">
        <v>212</v>
      </c>
      <c r="C255">
        <v>4</v>
      </c>
      <c r="D255">
        <v>8</v>
      </c>
      <c r="E255">
        <v>5151081.67</v>
      </c>
      <c r="F255">
        <v>53589637.609999999</v>
      </c>
    </row>
    <row r="256" spans="1:6" x14ac:dyDescent="0.25">
      <c r="A256" t="s">
        <v>213</v>
      </c>
      <c r="B256" t="s">
        <v>212</v>
      </c>
      <c r="C256">
        <v>5</v>
      </c>
      <c r="D256">
        <v>20.6</v>
      </c>
      <c r="E256">
        <v>5151081.67</v>
      </c>
      <c r="F256">
        <v>63144608.649999999</v>
      </c>
    </row>
    <row r="257" spans="1:6" x14ac:dyDescent="0.25">
      <c r="A257" t="s">
        <v>213</v>
      </c>
      <c r="B257" t="s">
        <v>212</v>
      </c>
      <c r="C257">
        <v>6</v>
      </c>
      <c r="D257">
        <v>6.9</v>
      </c>
      <c r="E257">
        <v>5151111.67</v>
      </c>
      <c r="F257">
        <v>47570155.850000001</v>
      </c>
    </row>
    <row r="258" spans="1:6" x14ac:dyDescent="0.25">
      <c r="A258" t="s">
        <v>213</v>
      </c>
      <c r="B258" t="s">
        <v>212</v>
      </c>
      <c r="C258">
        <v>7</v>
      </c>
      <c r="D258">
        <v>6.5</v>
      </c>
      <c r="E258">
        <v>5151051.67</v>
      </c>
      <c r="F258">
        <v>61290114.270000003</v>
      </c>
    </row>
    <row r="259" spans="1:6" x14ac:dyDescent="0.25">
      <c r="A259" t="s">
        <v>213</v>
      </c>
      <c r="B259" t="s">
        <v>212</v>
      </c>
      <c r="C259">
        <v>8</v>
      </c>
      <c r="D259">
        <v>7.6</v>
      </c>
      <c r="E259">
        <v>5150991.67</v>
      </c>
      <c r="F259">
        <v>44165666.159999996</v>
      </c>
    </row>
    <row r="260" spans="1:6" x14ac:dyDescent="0.25">
      <c r="A260" t="s">
        <v>213</v>
      </c>
      <c r="B260" t="s">
        <v>212</v>
      </c>
      <c r="C260">
        <v>9</v>
      </c>
      <c r="D260">
        <v>9.5</v>
      </c>
      <c r="E260">
        <v>5151021.67</v>
      </c>
      <c r="F260">
        <v>51836742.920000002</v>
      </c>
    </row>
    <row r="261" spans="1:6" x14ac:dyDescent="0.25">
      <c r="A261" t="s">
        <v>213</v>
      </c>
      <c r="B261" t="s">
        <v>212</v>
      </c>
      <c r="C261">
        <v>10</v>
      </c>
      <c r="D261">
        <v>15.1</v>
      </c>
      <c r="E261">
        <v>5150951.67</v>
      </c>
      <c r="F261">
        <v>53501437.869999997</v>
      </c>
    </row>
    <row r="262" spans="1:6" x14ac:dyDescent="0.25">
      <c r="A262" t="s">
        <v>213</v>
      </c>
      <c r="B262" t="s">
        <v>212</v>
      </c>
      <c r="C262">
        <v>11</v>
      </c>
      <c r="D262">
        <v>10</v>
      </c>
      <c r="E262">
        <v>5150991.67</v>
      </c>
      <c r="F262">
        <v>37805685.439999998</v>
      </c>
    </row>
    <row r="263" spans="1:6" x14ac:dyDescent="0.25">
      <c r="A263" t="s">
        <v>213</v>
      </c>
      <c r="B263" t="s">
        <v>212</v>
      </c>
      <c r="C263">
        <v>12</v>
      </c>
      <c r="D263">
        <v>13.4</v>
      </c>
      <c r="E263">
        <v>5150931.67</v>
      </c>
      <c r="F263">
        <v>53253838.619999997</v>
      </c>
    </row>
    <row r="264" spans="1:6" x14ac:dyDescent="0.25">
      <c r="A264" t="s">
        <v>213</v>
      </c>
      <c r="B264" t="s">
        <v>212</v>
      </c>
      <c r="C264">
        <v>13</v>
      </c>
      <c r="D264">
        <v>9</v>
      </c>
      <c r="E264">
        <v>5151051.67</v>
      </c>
      <c r="F264">
        <v>51346544.399999999</v>
      </c>
    </row>
    <row r="265" spans="1:6" x14ac:dyDescent="0.25">
      <c r="A265" t="s">
        <v>213</v>
      </c>
      <c r="B265" t="s">
        <v>212</v>
      </c>
      <c r="C265">
        <v>15</v>
      </c>
      <c r="D265">
        <v>4.5999999999999996</v>
      </c>
      <c r="E265">
        <v>5151091.67</v>
      </c>
      <c r="F265">
        <v>38655582.859999999</v>
      </c>
    </row>
    <row r="266" spans="1:6" x14ac:dyDescent="0.25">
      <c r="A266" t="s">
        <v>213</v>
      </c>
      <c r="B266" t="s">
        <v>212</v>
      </c>
      <c r="C266">
        <v>16</v>
      </c>
      <c r="D266">
        <v>24.4</v>
      </c>
      <c r="E266">
        <v>5150981.67</v>
      </c>
      <c r="F266">
        <v>39650479.850000001</v>
      </c>
    </row>
    <row r="267" spans="1:6" x14ac:dyDescent="0.25">
      <c r="A267" t="s">
        <v>213</v>
      </c>
      <c r="B267" t="s">
        <v>212</v>
      </c>
      <c r="C267">
        <v>17</v>
      </c>
      <c r="D267">
        <v>13.2</v>
      </c>
      <c r="E267">
        <v>5150991.67</v>
      </c>
      <c r="F267">
        <v>51598243.640000001</v>
      </c>
    </row>
    <row r="268" spans="1:6" x14ac:dyDescent="0.25">
      <c r="A268" t="s">
        <v>213</v>
      </c>
      <c r="B268" t="s">
        <v>212</v>
      </c>
      <c r="C268">
        <v>18</v>
      </c>
      <c r="D268">
        <v>0</v>
      </c>
      <c r="E268">
        <v>5151141.67</v>
      </c>
      <c r="F268">
        <v>0</v>
      </c>
    </row>
    <row r="269" spans="1:6" x14ac:dyDescent="0.25">
      <c r="A269" t="s">
        <v>213</v>
      </c>
      <c r="B269" t="s">
        <v>212</v>
      </c>
      <c r="C269">
        <v>19</v>
      </c>
      <c r="D269">
        <v>6.6</v>
      </c>
      <c r="E269">
        <v>5151101.67</v>
      </c>
      <c r="F269">
        <v>38235184.140000001</v>
      </c>
    </row>
    <row r="270" spans="1:6" x14ac:dyDescent="0.25">
      <c r="A270" t="s">
        <v>213</v>
      </c>
      <c r="B270" t="s">
        <v>212</v>
      </c>
      <c r="C270">
        <v>20</v>
      </c>
      <c r="D270">
        <v>0</v>
      </c>
      <c r="E270">
        <v>5150891.67</v>
      </c>
      <c r="F270">
        <v>0</v>
      </c>
    </row>
    <row r="271" spans="1:6" x14ac:dyDescent="0.25">
      <c r="A271" t="s">
        <v>213</v>
      </c>
      <c r="B271" t="s">
        <v>212</v>
      </c>
      <c r="C271">
        <v>21</v>
      </c>
      <c r="D271">
        <v>10.4</v>
      </c>
      <c r="E271">
        <v>5150871.67</v>
      </c>
      <c r="F271">
        <v>41371674.630000003</v>
      </c>
    </row>
    <row r="272" spans="1:6" x14ac:dyDescent="0.25">
      <c r="A272" t="s">
        <v>213</v>
      </c>
      <c r="B272" t="s">
        <v>212</v>
      </c>
      <c r="C272">
        <v>22</v>
      </c>
      <c r="D272">
        <v>0</v>
      </c>
      <c r="E272">
        <v>5150891.67</v>
      </c>
      <c r="F272">
        <v>0</v>
      </c>
    </row>
    <row r="273" spans="1:6" x14ac:dyDescent="0.25">
      <c r="A273" t="s">
        <v>213</v>
      </c>
      <c r="B273" t="s">
        <v>212</v>
      </c>
      <c r="C273">
        <v>23</v>
      </c>
      <c r="D273">
        <v>18.899999999999999</v>
      </c>
      <c r="E273">
        <v>5151021.67</v>
      </c>
      <c r="F273">
        <v>53134338.990000002</v>
      </c>
    </row>
    <row r="274" spans="1:6" x14ac:dyDescent="0.25">
      <c r="A274" t="s">
        <v>213</v>
      </c>
      <c r="B274" t="s">
        <v>212</v>
      </c>
      <c r="C274">
        <v>24</v>
      </c>
      <c r="D274">
        <v>8.5</v>
      </c>
      <c r="E274">
        <v>5151061.67</v>
      </c>
      <c r="F274">
        <v>36808488.460000001</v>
      </c>
    </row>
    <row r="275" spans="1:6" x14ac:dyDescent="0.25">
      <c r="A275" t="s">
        <v>213</v>
      </c>
      <c r="B275" t="s">
        <v>212</v>
      </c>
      <c r="C275">
        <v>25</v>
      </c>
      <c r="D275">
        <v>8.5</v>
      </c>
      <c r="E275">
        <v>5150951.67</v>
      </c>
      <c r="F275">
        <v>41054975.590000004</v>
      </c>
    </row>
    <row r="276" spans="1:6" x14ac:dyDescent="0.25">
      <c r="A276" t="s">
        <v>213</v>
      </c>
      <c r="B276" t="s">
        <v>212</v>
      </c>
      <c r="C276">
        <v>26</v>
      </c>
      <c r="D276">
        <v>10.8</v>
      </c>
      <c r="E276">
        <v>5150911.67</v>
      </c>
      <c r="F276">
        <v>42189672.149999999</v>
      </c>
    </row>
    <row r="277" spans="1:6" x14ac:dyDescent="0.25">
      <c r="A277" t="s">
        <v>213</v>
      </c>
      <c r="B277" t="s">
        <v>212</v>
      </c>
      <c r="C277">
        <v>27</v>
      </c>
      <c r="D277">
        <v>12</v>
      </c>
      <c r="E277">
        <v>5151031.67</v>
      </c>
      <c r="F277">
        <v>44407765.43</v>
      </c>
    </row>
    <row r="278" spans="1:6" x14ac:dyDescent="0.25">
      <c r="A278" t="s">
        <v>213</v>
      </c>
      <c r="B278" t="s">
        <v>212</v>
      </c>
      <c r="C278">
        <v>28</v>
      </c>
      <c r="D278">
        <v>0</v>
      </c>
      <c r="E278">
        <v>5151111.67</v>
      </c>
      <c r="F278">
        <v>0</v>
      </c>
    </row>
    <row r="279" spans="1:6" x14ac:dyDescent="0.25">
      <c r="A279" t="s">
        <v>213</v>
      </c>
      <c r="B279" t="s">
        <v>212</v>
      </c>
      <c r="C279">
        <v>29</v>
      </c>
      <c r="D279">
        <v>13</v>
      </c>
      <c r="E279">
        <v>5150961.67</v>
      </c>
      <c r="F279">
        <v>51258544.670000002</v>
      </c>
    </row>
    <row r="280" spans="1:6" x14ac:dyDescent="0.25">
      <c r="A280" t="s">
        <v>213</v>
      </c>
      <c r="B280" t="s">
        <v>212</v>
      </c>
      <c r="C280">
        <v>30</v>
      </c>
      <c r="D280">
        <v>18.5</v>
      </c>
      <c r="E280">
        <v>5151041.67</v>
      </c>
      <c r="F280">
        <v>54272835.539999999</v>
      </c>
    </row>
    <row r="281" spans="1:6" x14ac:dyDescent="0.25">
      <c r="A281" t="s">
        <v>213</v>
      </c>
      <c r="B281" t="s">
        <v>212</v>
      </c>
      <c r="C281">
        <v>32</v>
      </c>
      <c r="D281">
        <v>10</v>
      </c>
      <c r="E281">
        <v>5150901.67</v>
      </c>
      <c r="F281">
        <v>43438168.369999997</v>
      </c>
    </row>
    <row r="282" spans="1:6" x14ac:dyDescent="0.25">
      <c r="A282" t="s">
        <v>213</v>
      </c>
      <c r="B282" t="s">
        <v>212</v>
      </c>
      <c r="C282">
        <v>33</v>
      </c>
      <c r="D282">
        <v>19.899999999999999</v>
      </c>
      <c r="E282">
        <v>5150931.67</v>
      </c>
      <c r="F282">
        <v>41297374.859999999</v>
      </c>
    </row>
    <row r="283" spans="1:6" x14ac:dyDescent="0.25">
      <c r="A283" t="s">
        <v>213</v>
      </c>
      <c r="B283" t="s">
        <v>212</v>
      </c>
      <c r="C283">
        <v>34</v>
      </c>
      <c r="D283">
        <v>18.8</v>
      </c>
      <c r="E283">
        <v>5150971.67</v>
      </c>
      <c r="F283">
        <v>41513174.200000003</v>
      </c>
    </row>
    <row r="284" spans="1:6" x14ac:dyDescent="0.25">
      <c r="A284" t="s">
        <v>213</v>
      </c>
      <c r="B284" t="s">
        <v>212</v>
      </c>
      <c r="C284">
        <v>35</v>
      </c>
      <c r="D284">
        <v>0</v>
      </c>
      <c r="E284">
        <v>5151171.67</v>
      </c>
      <c r="F284">
        <v>0</v>
      </c>
    </row>
    <row r="285" spans="1:6" x14ac:dyDescent="0.25">
      <c r="A285" t="s">
        <v>213</v>
      </c>
      <c r="B285" t="s">
        <v>212</v>
      </c>
      <c r="C285">
        <v>36</v>
      </c>
      <c r="D285">
        <v>7.6</v>
      </c>
      <c r="E285">
        <v>5150921.67</v>
      </c>
      <c r="F285">
        <v>48306253.619999997</v>
      </c>
    </row>
    <row r="286" spans="1:6" x14ac:dyDescent="0.25">
      <c r="A286" t="s">
        <v>213</v>
      </c>
      <c r="B286" t="s">
        <v>211</v>
      </c>
      <c r="C286">
        <v>1</v>
      </c>
      <c r="D286">
        <v>30.1296</v>
      </c>
      <c r="E286">
        <v>5150951.67</v>
      </c>
      <c r="F286">
        <v>37629485.969999999</v>
      </c>
    </row>
    <row r="287" spans="1:6" x14ac:dyDescent="0.25">
      <c r="A287" t="s">
        <v>213</v>
      </c>
      <c r="B287" t="s">
        <v>211</v>
      </c>
      <c r="C287">
        <v>2</v>
      </c>
      <c r="D287">
        <v>40.021799999999999</v>
      </c>
      <c r="E287">
        <v>5150981.67</v>
      </c>
      <c r="F287">
        <v>56821627.810000002</v>
      </c>
    </row>
    <row r="288" spans="1:6" x14ac:dyDescent="0.25">
      <c r="A288" t="s">
        <v>213</v>
      </c>
      <c r="B288" t="s">
        <v>211</v>
      </c>
      <c r="C288">
        <v>3</v>
      </c>
      <c r="D288">
        <v>27.265499999999999</v>
      </c>
      <c r="E288">
        <v>5151011.67</v>
      </c>
      <c r="F288">
        <v>37165387.380000003</v>
      </c>
    </row>
    <row r="289" spans="1:6" x14ac:dyDescent="0.25">
      <c r="A289" t="s">
        <v>213</v>
      </c>
      <c r="B289" t="s">
        <v>211</v>
      </c>
      <c r="C289">
        <v>4</v>
      </c>
      <c r="D289">
        <v>45.589799999999997</v>
      </c>
      <c r="E289">
        <v>5151081.67</v>
      </c>
      <c r="F289">
        <v>53589637.609999999</v>
      </c>
    </row>
    <row r="290" spans="1:6" x14ac:dyDescent="0.25">
      <c r="A290" t="s">
        <v>213</v>
      </c>
      <c r="B290" t="s">
        <v>211</v>
      </c>
      <c r="C290">
        <v>5</v>
      </c>
      <c r="D290">
        <v>42.544800000000002</v>
      </c>
      <c r="E290">
        <v>5151081.67</v>
      </c>
      <c r="F290">
        <v>63144608.649999999</v>
      </c>
    </row>
    <row r="291" spans="1:6" x14ac:dyDescent="0.25">
      <c r="A291" t="s">
        <v>213</v>
      </c>
      <c r="B291" t="s">
        <v>211</v>
      </c>
      <c r="C291">
        <v>6</v>
      </c>
      <c r="D291">
        <v>40.670299999999997</v>
      </c>
      <c r="E291">
        <v>5151111.67</v>
      </c>
      <c r="F291">
        <v>47570155.850000001</v>
      </c>
    </row>
    <row r="292" spans="1:6" x14ac:dyDescent="0.25">
      <c r="A292" t="s">
        <v>213</v>
      </c>
      <c r="B292" t="s">
        <v>211</v>
      </c>
      <c r="C292">
        <v>7</v>
      </c>
      <c r="D292">
        <v>54.790300000000002</v>
      </c>
      <c r="E292">
        <v>5151051.67</v>
      </c>
      <c r="F292">
        <v>61290114.270000003</v>
      </c>
    </row>
    <row r="293" spans="1:6" x14ac:dyDescent="0.25">
      <c r="A293" t="s">
        <v>213</v>
      </c>
      <c r="B293" t="s">
        <v>211</v>
      </c>
      <c r="C293">
        <v>8</v>
      </c>
      <c r="D293">
        <v>36.565800000000003</v>
      </c>
      <c r="E293">
        <v>5150991.67</v>
      </c>
      <c r="F293">
        <v>44165666.159999996</v>
      </c>
    </row>
    <row r="294" spans="1:6" x14ac:dyDescent="0.25">
      <c r="A294" t="s">
        <v>213</v>
      </c>
      <c r="B294" t="s">
        <v>211</v>
      </c>
      <c r="C294">
        <v>9</v>
      </c>
      <c r="D294">
        <v>42.3369</v>
      </c>
      <c r="E294">
        <v>5151021.67</v>
      </c>
      <c r="F294">
        <v>51836742.920000002</v>
      </c>
    </row>
    <row r="295" spans="1:6" x14ac:dyDescent="0.25">
      <c r="A295" t="s">
        <v>213</v>
      </c>
      <c r="B295" t="s">
        <v>211</v>
      </c>
      <c r="C295">
        <v>10</v>
      </c>
      <c r="D295">
        <v>38.401600000000002</v>
      </c>
      <c r="E295">
        <v>5150951.67</v>
      </c>
      <c r="F295">
        <v>53501437.869999997</v>
      </c>
    </row>
    <row r="296" spans="1:6" x14ac:dyDescent="0.25">
      <c r="A296" t="s">
        <v>213</v>
      </c>
      <c r="B296" t="s">
        <v>211</v>
      </c>
      <c r="C296">
        <v>11</v>
      </c>
      <c r="D296">
        <v>27.805800000000001</v>
      </c>
      <c r="E296">
        <v>5150991.67</v>
      </c>
      <c r="F296">
        <v>37805685.439999998</v>
      </c>
    </row>
    <row r="297" spans="1:6" x14ac:dyDescent="0.25">
      <c r="A297" t="s">
        <v>213</v>
      </c>
      <c r="B297" t="s">
        <v>211</v>
      </c>
      <c r="C297">
        <v>12</v>
      </c>
      <c r="D297">
        <v>39.853999999999999</v>
      </c>
      <c r="E297">
        <v>5150931.67</v>
      </c>
      <c r="F297">
        <v>53253838.619999997</v>
      </c>
    </row>
    <row r="298" spans="1:6" x14ac:dyDescent="0.25">
      <c r="A298" t="s">
        <v>213</v>
      </c>
      <c r="B298" t="s">
        <v>211</v>
      </c>
      <c r="C298">
        <v>13</v>
      </c>
      <c r="D298">
        <v>42.346699999999998</v>
      </c>
      <c r="E298">
        <v>5151051.67</v>
      </c>
      <c r="F298">
        <v>51346544.399999999</v>
      </c>
    </row>
    <row r="299" spans="1:6" x14ac:dyDescent="0.25">
      <c r="A299" t="s">
        <v>213</v>
      </c>
      <c r="B299" t="s">
        <v>211</v>
      </c>
      <c r="C299">
        <v>15</v>
      </c>
      <c r="D299">
        <v>34.055700000000002</v>
      </c>
      <c r="E299">
        <v>5151091.67</v>
      </c>
      <c r="F299">
        <v>38655582.859999999</v>
      </c>
    </row>
    <row r="300" spans="1:6" x14ac:dyDescent="0.25">
      <c r="A300" t="s">
        <v>213</v>
      </c>
      <c r="B300" t="s">
        <v>211</v>
      </c>
      <c r="C300">
        <v>16</v>
      </c>
      <c r="D300">
        <v>15.2506</v>
      </c>
      <c r="E300">
        <v>5150981.67</v>
      </c>
      <c r="F300">
        <v>39650479.850000001</v>
      </c>
    </row>
    <row r="301" spans="1:6" x14ac:dyDescent="0.25">
      <c r="A301" t="s">
        <v>213</v>
      </c>
      <c r="B301" t="s">
        <v>211</v>
      </c>
      <c r="C301">
        <v>17</v>
      </c>
      <c r="D301">
        <v>38.398400000000002</v>
      </c>
      <c r="E301">
        <v>5150991.67</v>
      </c>
      <c r="F301">
        <v>51598243.640000001</v>
      </c>
    </row>
    <row r="302" spans="1:6" x14ac:dyDescent="0.25">
      <c r="A302" t="s">
        <v>213</v>
      </c>
      <c r="B302" t="s">
        <v>211</v>
      </c>
      <c r="C302">
        <v>18</v>
      </c>
      <c r="D302">
        <v>0</v>
      </c>
      <c r="E302">
        <v>5151141.67</v>
      </c>
      <c r="F302">
        <v>0</v>
      </c>
    </row>
    <row r="303" spans="1:6" x14ac:dyDescent="0.25">
      <c r="A303" t="s">
        <v>213</v>
      </c>
      <c r="B303" t="s">
        <v>211</v>
      </c>
      <c r="C303">
        <v>19</v>
      </c>
      <c r="D303">
        <v>31.635200000000001</v>
      </c>
      <c r="E303">
        <v>5151101.67</v>
      </c>
      <c r="F303">
        <v>38235184.140000001</v>
      </c>
    </row>
    <row r="304" spans="1:6" x14ac:dyDescent="0.25">
      <c r="A304" t="s">
        <v>213</v>
      </c>
      <c r="B304" t="s">
        <v>211</v>
      </c>
      <c r="C304">
        <v>20</v>
      </c>
      <c r="D304">
        <v>0</v>
      </c>
      <c r="E304">
        <v>5150891.67</v>
      </c>
      <c r="F304">
        <v>0</v>
      </c>
    </row>
    <row r="305" spans="1:6" x14ac:dyDescent="0.25">
      <c r="A305" t="s">
        <v>213</v>
      </c>
      <c r="B305" t="s">
        <v>211</v>
      </c>
      <c r="C305">
        <v>21</v>
      </c>
      <c r="D305">
        <v>30.971800000000002</v>
      </c>
      <c r="E305">
        <v>5150871.67</v>
      </c>
      <c r="F305">
        <v>41371674.630000003</v>
      </c>
    </row>
    <row r="306" spans="1:6" x14ac:dyDescent="0.25">
      <c r="A306" t="s">
        <v>213</v>
      </c>
      <c r="B306" t="s">
        <v>211</v>
      </c>
      <c r="C306">
        <v>22</v>
      </c>
      <c r="D306">
        <v>0</v>
      </c>
      <c r="E306">
        <v>5150891.67</v>
      </c>
      <c r="F306">
        <v>0</v>
      </c>
    </row>
    <row r="307" spans="1:6" x14ac:dyDescent="0.25">
      <c r="A307" t="s">
        <v>213</v>
      </c>
      <c r="B307" t="s">
        <v>211</v>
      </c>
      <c r="C307">
        <v>23</v>
      </c>
      <c r="D307">
        <v>34.234499999999997</v>
      </c>
      <c r="E307">
        <v>5151021.67</v>
      </c>
      <c r="F307">
        <v>53134338.990000002</v>
      </c>
    </row>
    <row r="308" spans="1:6" x14ac:dyDescent="0.25">
      <c r="A308" t="s">
        <v>213</v>
      </c>
      <c r="B308" t="s">
        <v>211</v>
      </c>
      <c r="C308">
        <v>24</v>
      </c>
      <c r="D308">
        <v>28.308599999999998</v>
      </c>
      <c r="E308">
        <v>5151061.67</v>
      </c>
      <c r="F308">
        <v>36808488.460000001</v>
      </c>
    </row>
    <row r="309" spans="1:6" x14ac:dyDescent="0.25">
      <c r="A309" t="s">
        <v>213</v>
      </c>
      <c r="B309" t="s">
        <v>211</v>
      </c>
      <c r="C309">
        <v>25</v>
      </c>
      <c r="D309">
        <v>32.555100000000003</v>
      </c>
      <c r="E309">
        <v>5150951.67</v>
      </c>
      <c r="F309">
        <v>41054975.590000004</v>
      </c>
    </row>
    <row r="310" spans="1:6" x14ac:dyDescent="0.25">
      <c r="A310" t="s">
        <v>213</v>
      </c>
      <c r="B310" t="s">
        <v>211</v>
      </c>
      <c r="C310">
        <v>26</v>
      </c>
      <c r="D310">
        <v>31.389800000000001</v>
      </c>
      <c r="E310">
        <v>5150911.67</v>
      </c>
      <c r="F310">
        <v>42189672.149999999</v>
      </c>
    </row>
    <row r="311" spans="1:6" x14ac:dyDescent="0.25">
      <c r="A311" t="s">
        <v>213</v>
      </c>
      <c r="B311" t="s">
        <v>211</v>
      </c>
      <c r="C311">
        <v>27</v>
      </c>
      <c r="D311">
        <v>32.407899999999998</v>
      </c>
      <c r="E311">
        <v>5151031.67</v>
      </c>
      <c r="F311">
        <v>44407765.43</v>
      </c>
    </row>
    <row r="312" spans="1:6" x14ac:dyDescent="0.25">
      <c r="A312" t="s">
        <v>213</v>
      </c>
      <c r="B312" t="s">
        <v>211</v>
      </c>
      <c r="C312">
        <v>28</v>
      </c>
      <c r="D312">
        <v>0</v>
      </c>
      <c r="E312">
        <v>5151111.67</v>
      </c>
      <c r="F312">
        <v>0</v>
      </c>
    </row>
    <row r="313" spans="1:6" x14ac:dyDescent="0.25">
      <c r="A313" t="s">
        <v>213</v>
      </c>
      <c r="B313" t="s">
        <v>211</v>
      </c>
      <c r="C313">
        <v>29</v>
      </c>
      <c r="D313">
        <v>38.258699999999997</v>
      </c>
      <c r="E313">
        <v>5150961.67</v>
      </c>
      <c r="F313">
        <v>51258544.670000002</v>
      </c>
    </row>
    <row r="314" spans="1:6" x14ac:dyDescent="0.25">
      <c r="A314" t="s">
        <v>213</v>
      </c>
      <c r="B314" t="s">
        <v>211</v>
      </c>
      <c r="C314">
        <v>30</v>
      </c>
      <c r="D314">
        <v>35.773000000000003</v>
      </c>
      <c r="E314">
        <v>5151041.67</v>
      </c>
      <c r="F314">
        <v>54272835.539999999</v>
      </c>
    </row>
    <row r="315" spans="1:6" x14ac:dyDescent="0.25">
      <c r="A315" t="s">
        <v>213</v>
      </c>
      <c r="B315" t="s">
        <v>211</v>
      </c>
      <c r="C315">
        <v>32</v>
      </c>
      <c r="D315">
        <v>33.438299999999998</v>
      </c>
      <c r="E315">
        <v>5150901.67</v>
      </c>
      <c r="F315">
        <v>43438168.369999997</v>
      </c>
    </row>
    <row r="316" spans="1:6" x14ac:dyDescent="0.25">
      <c r="A316" t="s">
        <v>213</v>
      </c>
      <c r="B316" t="s">
        <v>211</v>
      </c>
      <c r="C316">
        <v>33</v>
      </c>
      <c r="D316">
        <v>21.397500000000001</v>
      </c>
      <c r="E316">
        <v>5150931.67</v>
      </c>
      <c r="F316">
        <v>41297374.859999999</v>
      </c>
    </row>
    <row r="317" spans="1:6" x14ac:dyDescent="0.25">
      <c r="A317" t="s">
        <v>213</v>
      </c>
      <c r="B317" t="s">
        <v>211</v>
      </c>
      <c r="C317">
        <v>34</v>
      </c>
      <c r="D317">
        <v>22.7133</v>
      </c>
      <c r="E317">
        <v>5150971.67</v>
      </c>
      <c r="F317">
        <v>41513174.200000003</v>
      </c>
    </row>
    <row r="318" spans="1:6" x14ac:dyDescent="0.25">
      <c r="A318" t="s">
        <v>213</v>
      </c>
      <c r="B318" t="s">
        <v>211</v>
      </c>
      <c r="C318">
        <v>35</v>
      </c>
      <c r="D318">
        <v>0</v>
      </c>
      <c r="E318">
        <v>5151171.67</v>
      </c>
      <c r="F318">
        <v>0</v>
      </c>
    </row>
    <row r="319" spans="1:6" x14ac:dyDescent="0.25">
      <c r="A319" t="s">
        <v>213</v>
      </c>
      <c r="B319" t="s">
        <v>211</v>
      </c>
      <c r="C319">
        <v>36</v>
      </c>
      <c r="D319">
        <v>40.706400000000002</v>
      </c>
      <c r="E319">
        <v>5150921.67</v>
      </c>
      <c r="F319">
        <v>48306253.619999997</v>
      </c>
    </row>
    <row r="320" spans="1:6" x14ac:dyDescent="0.25">
      <c r="A320" t="s">
        <v>214</v>
      </c>
      <c r="B320" t="s">
        <v>208</v>
      </c>
      <c r="C320">
        <v>1</v>
      </c>
      <c r="D320">
        <v>45.839199999999998</v>
      </c>
      <c r="E320">
        <v>530675</v>
      </c>
      <c r="F320">
        <v>5158485</v>
      </c>
    </row>
    <row r="321" spans="1:6" x14ac:dyDescent="0.25">
      <c r="A321" t="s">
        <v>214</v>
      </c>
      <c r="B321" t="s">
        <v>208</v>
      </c>
      <c r="C321">
        <v>2</v>
      </c>
      <c r="D321">
        <v>35.614199999999997</v>
      </c>
      <c r="E321">
        <v>530725</v>
      </c>
      <c r="F321">
        <v>5158425</v>
      </c>
    </row>
    <row r="322" spans="1:6" x14ac:dyDescent="0.25">
      <c r="A322" t="s">
        <v>214</v>
      </c>
      <c r="B322" t="s">
        <v>208</v>
      </c>
      <c r="C322">
        <v>3</v>
      </c>
      <c r="D322">
        <v>45.413400000000003</v>
      </c>
      <c r="E322">
        <v>530885</v>
      </c>
      <c r="F322">
        <v>5158365</v>
      </c>
    </row>
    <row r="323" spans="1:6" x14ac:dyDescent="0.25">
      <c r="A323" t="s">
        <v>214</v>
      </c>
      <c r="B323" t="s">
        <v>208</v>
      </c>
      <c r="C323">
        <v>4</v>
      </c>
      <c r="D323">
        <v>39.043500000000002</v>
      </c>
      <c r="E323">
        <v>530945</v>
      </c>
      <c r="F323">
        <v>5158325</v>
      </c>
    </row>
    <row r="324" spans="1:6" x14ac:dyDescent="0.25">
      <c r="A324" t="s">
        <v>214</v>
      </c>
      <c r="B324" t="s">
        <v>208</v>
      </c>
      <c r="C324">
        <v>5</v>
      </c>
      <c r="D324">
        <v>41.862000000000002</v>
      </c>
      <c r="E324">
        <v>531065</v>
      </c>
      <c r="F324">
        <v>5158285</v>
      </c>
    </row>
    <row r="325" spans="1:6" x14ac:dyDescent="0.25">
      <c r="A325" t="s">
        <v>214</v>
      </c>
      <c r="B325" t="s">
        <v>208</v>
      </c>
      <c r="C325">
        <v>6</v>
      </c>
      <c r="D325">
        <v>36.033799999999999</v>
      </c>
      <c r="E325">
        <v>531175</v>
      </c>
      <c r="F325">
        <v>5158305</v>
      </c>
    </row>
    <row r="326" spans="1:6" x14ac:dyDescent="0.25">
      <c r="A326" t="s">
        <v>214</v>
      </c>
      <c r="B326" t="s">
        <v>208</v>
      </c>
      <c r="C326">
        <v>7</v>
      </c>
      <c r="D326">
        <v>35.777500000000003</v>
      </c>
      <c r="E326">
        <v>531255</v>
      </c>
      <c r="F326">
        <v>5158375</v>
      </c>
    </row>
    <row r="327" spans="1:6" x14ac:dyDescent="0.25">
      <c r="A327" t="s">
        <v>214</v>
      </c>
      <c r="B327" t="s">
        <v>208</v>
      </c>
      <c r="C327">
        <v>8</v>
      </c>
      <c r="D327">
        <v>35.919800000000002</v>
      </c>
      <c r="E327">
        <v>531135</v>
      </c>
      <c r="F327">
        <v>5158375</v>
      </c>
    </row>
    <row r="328" spans="1:6" x14ac:dyDescent="0.25">
      <c r="A328" t="s">
        <v>214</v>
      </c>
      <c r="B328" t="s">
        <v>208</v>
      </c>
      <c r="C328">
        <v>9</v>
      </c>
      <c r="D328">
        <v>38.0062</v>
      </c>
      <c r="E328">
        <v>531145</v>
      </c>
      <c r="F328">
        <v>5158415</v>
      </c>
    </row>
    <row r="329" spans="1:6" x14ac:dyDescent="0.25">
      <c r="A329" t="s">
        <v>214</v>
      </c>
      <c r="B329" t="s">
        <v>208</v>
      </c>
      <c r="C329">
        <v>10</v>
      </c>
      <c r="D329">
        <v>43.205500000000001</v>
      </c>
      <c r="E329">
        <v>530985</v>
      </c>
      <c r="F329">
        <v>5158435</v>
      </c>
    </row>
    <row r="330" spans="1:6" x14ac:dyDescent="0.25">
      <c r="A330" t="s">
        <v>214</v>
      </c>
      <c r="B330" t="s">
        <v>208</v>
      </c>
      <c r="C330">
        <v>11</v>
      </c>
      <c r="D330">
        <v>43.816000000000003</v>
      </c>
      <c r="E330">
        <v>530835</v>
      </c>
      <c r="F330">
        <v>5158505</v>
      </c>
    </row>
    <row r="331" spans="1:6" x14ac:dyDescent="0.25">
      <c r="A331" t="s">
        <v>214</v>
      </c>
      <c r="B331" t="s">
        <v>208</v>
      </c>
      <c r="C331">
        <v>12</v>
      </c>
      <c r="D331">
        <v>40.614600000000003</v>
      </c>
      <c r="E331">
        <v>530795</v>
      </c>
      <c r="F331">
        <v>5158445</v>
      </c>
    </row>
    <row r="332" spans="1:6" x14ac:dyDescent="0.25">
      <c r="A332" t="s">
        <v>214</v>
      </c>
      <c r="B332" t="s">
        <v>208</v>
      </c>
      <c r="C332">
        <v>13</v>
      </c>
      <c r="D332">
        <v>41.0212</v>
      </c>
      <c r="E332">
        <v>531035</v>
      </c>
      <c r="F332">
        <v>5158355</v>
      </c>
    </row>
    <row r="333" spans="1:6" x14ac:dyDescent="0.25">
      <c r="A333" t="s">
        <v>214</v>
      </c>
      <c r="B333" t="s">
        <v>208</v>
      </c>
      <c r="C333">
        <v>14</v>
      </c>
      <c r="D333">
        <v>0</v>
      </c>
      <c r="E333">
        <v>531075</v>
      </c>
      <c r="F333">
        <v>5158425</v>
      </c>
    </row>
    <row r="334" spans="1:6" x14ac:dyDescent="0.25">
      <c r="A334" t="s">
        <v>214</v>
      </c>
      <c r="B334" t="s">
        <v>208</v>
      </c>
      <c r="C334">
        <v>15</v>
      </c>
      <c r="D334">
        <v>38.974899999999998</v>
      </c>
      <c r="E334">
        <v>530925</v>
      </c>
      <c r="F334">
        <v>5158405</v>
      </c>
    </row>
    <row r="335" spans="1:6" x14ac:dyDescent="0.25">
      <c r="A335" t="s">
        <v>214</v>
      </c>
      <c r="B335" t="s">
        <v>208</v>
      </c>
      <c r="C335">
        <v>16</v>
      </c>
      <c r="D335">
        <v>44.200699999999998</v>
      </c>
      <c r="E335">
        <v>530895</v>
      </c>
      <c r="F335">
        <v>5158505</v>
      </c>
    </row>
    <row r="336" spans="1:6" x14ac:dyDescent="0.25">
      <c r="A336" t="s">
        <v>214</v>
      </c>
      <c r="B336" t="s">
        <v>208</v>
      </c>
      <c r="C336">
        <v>17</v>
      </c>
      <c r="D336">
        <v>40.673900000000003</v>
      </c>
      <c r="E336">
        <v>530765</v>
      </c>
      <c r="F336">
        <v>5158525</v>
      </c>
    </row>
    <row r="337" spans="1:6" x14ac:dyDescent="0.25">
      <c r="A337" t="s">
        <v>214</v>
      </c>
      <c r="B337" t="s">
        <v>208</v>
      </c>
      <c r="C337">
        <v>18</v>
      </c>
      <c r="D337">
        <v>42.364699999999999</v>
      </c>
      <c r="E337">
        <v>530825</v>
      </c>
      <c r="F337">
        <v>5158385</v>
      </c>
    </row>
    <row r="338" spans="1:6" x14ac:dyDescent="0.25">
      <c r="A338" t="s">
        <v>214</v>
      </c>
      <c r="B338" t="s">
        <v>208</v>
      </c>
      <c r="C338">
        <v>19</v>
      </c>
      <c r="D338">
        <v>48.3142</v>
      </c>
      <c r="E338">
        <v>530995</v>
      </c>
      <c r="F338">
        <v>5158255</v>
      </c>
    </row>
    <row r="339" spans="1:6" x14ac:dyDescent="0.25">
      <c r="A339" t="s">
        <v>214</v>
      </c>
      <c r="B339" t="s">
        <v>208</v>
      </c>
      <c r="C339">
        <v>20</v>
      </c>
      <c r="D339">
        <v>37.745100000000001</v>
      </c>
      <c r="E339">
        <v>530665</v>
      </c>
      <c r="F339">
        <v>5158425</v>
      </c>
    </row>
    <row r="340" spans="1:6" x14ac:dyDescent="0.25">
      <c r="A340" t="s">
        <v>214</v>
      </c>
      <c r="B340" t="s">
        <v>208</v>
      </c>
      <c r="C340">
        <v>21</v>
      </c>
      <c r="D340">
        <v>35.092100000000002</v>
      </c>
      <c r="E340">
        <v>530975</v>
      </c>
      <c r="F340">
        <v>5158365</v>
      </c>
    </row>
    <row r="341" spans="1:6" x14ac:dyDescent="0.25">
      <c r="A341" t="s">
        <v>214</v>
      </c>
      <c r="B341" t="s">
        <v>208</v>
      </c>
      <c r="C341">
        <v>22</v>
      </c>
      <c r="D341">
        <v>42.873399999999997</v>
      </c>
      <c r="E341">
        <v>531185</v>
      </c>
      <c r="F341">
        <v>5158375</v>
      </c>
    </row>
    <row r="342" spans="1:6" x14ac:dyDescent="0.25">
      <c r="A342" t="s">
        <v>214</v>
      </c>
      <c r="B342" t="s">
        <v>208</v>
      </c>
      <c r="C342">
        <v>23</v>
      </c>
      <c r="D342">
        <v>32.831000000000003</v>
      </c>
      <c r="E342">
        <v>530695</v>
      </c>
      <c r="F342">
        <v>5158545</v>
      </c>
    </row>
    <row r="343" spans="1:6" x14ac:dyDescent="0.25">
      <c r="A343" t="s">
        <v>214</v>
      </c>
      <c r="B343" t="s">
        <v>208</v>
      </c>
      <c r="C343">
        <v>24</v>
      </c>
      <c r="D343">
        <v>46.558700000000002</v>
      </c>
      <c r="E343">
        <v>530855</v>
      </c>
      <c r="F343">
        <v>5158435</v>
      </c>
    </row>
    <row r="344" spans="1:6" x14ac:dyDescent="0.25">
      <c r="A344" t="s">
        <v>214</v>
      </c>
      <c r="B344" t="s">
        <v>208</v>
      </c>
      <c r="C344">
        <v>25</v>
      </c>
      <c r="D344">
        <v>36.441299999999998</v>
      </c>
      <c r="E344">
        <v>531125</v>
      </c>
      <c r="F344">
        <v>5158315</v>
      </c>
    </row>
    <row r="345" spans="1:6" x14ac:dyDescent="0.25">
      <c r="A345" t="s">
        <v>214</v>
      </c>
      <c r="B345" t="s">
        <v>208</v>
      </c>
      <c r="C345">
        <v>26</v>
      </c>
      <c r="D345">
        <v>46.467500000000001</v>
      </c>
      <c r="E345">
        <v>531005</v>
      </c>
      <c r="F345">
        <v>5158305</v>
      </c>
    </row>
    <row r="346" spans="1:6" x14ac:dyDescent="0.25">
      <c r="A346" t="s">
        <v>214</v>
      </c>
      <c r="B346" t="s">
        <v>208</v>
      </c>
      <c r="C346">
        <v>27</v>
      </c>
      <c r="D346">
        <v>49.962800000000001</v>
      </c>
      <c r="E346">
        <v>530935</v>
      </c>
      <c r="F346">
        <v>5158465</v>
      </c>
    </row>
    <row r="347" spans="1:6" x14ac:dyDescent="0.25">
      <c r="A347" t="s">
        <v>214</v>
      </c>
      <c r="B347" t="s">
        <v>208</v>
      </c>
      <c r="C347">
        <v>28</v>
      </c>
      <c r="D347">
        <v>34.5426</v>
      </c>
      <c r="E347">
        <v>530725</v>
      </c>
      <c r="F347">
        <v>5158485</v>
      </c>
    </row>
    <row r="348" spans="1:6" x14ac:dyDescent="0.25">
      <c r="A348" t="s">
        <v>214</v>
      </c>
      <c r="B348" t="s">
        <v>208</v>
      </c>
      <c r="C348">
        <v>29</v>
      </c>
      <c r="D348">
        <v>48.294800000000002</v>
      </c>
      <c r="E348">
        <v>531045</v>
      </c>
      <c r="F348">
        <v>5158245</v>
      </c>
    </row>
    <row r="349" spans="1:6" x14ac:dyDescent="0.25">
      <c r="A349" t="s">
        <v>214</v>
      </c>
      <c r="B349" t="s">
        <v>208</v>
      </c>
      <c r="C349">
        <v>30</v>
      </c>
      <c r="D349">
        <v>0</v>
      </c>
      <c r="E349">
        <v>530765</v>
      </c>
      <c r="F349">
        <v>5158385</v>
      </c>
    </row>
    <row r="350" spans="1:6" x14ac:dyDescent="0.25">
      <c r="A350" t="s">
        <v>214</v>
      </c>
      <c r="B350" t="s">
        <v>208</v>
      </c>
      <c r="C350">
        <v>31</v>
      </c>
      <c r="D350">
        <v>54.798400000000001</v>
      </c>
      <c r="E350">
        <v>531115</v>
      </c>
      <c r="F350">
        <v>5158265</v>
      </c>
    </row>
    <row r="351" spans="1:6" x14ac:dyDescent="0.25">
      <c r="A351" t="s">
        <v>214</v>
      </c>
      <c r="B351" t="s">
        <v>208</v>
      </c>
      <c r="C351">
        <v>32</v>
      </c>
      <c r="D351">
        <v>58.431600000000003</v>
      </c>
      <c r="E351">
        <v>531035</v>
      </c>
      <c r="F351">
        <v>5158405</v>
      </c>
    </row>
    <row r="352" spans="1:6" x14ac:dyDescent="0.25">
      <c r="A352" t="s">
        <v>214</v>
      </c>
      <c r="B352" t="s">
        <v>208</v>
      </c>
      <c r="C352">
        <v>33</v>
      </c>
      <c r="D352">
        <v>38.622300000000003</v>
      </c>
      <c r="E352">
        <v>531085</v>
      </c>
      <c r="F352">
        <v>5158365</v>
      </c>
    </row>
    <row r="353" spans="1:6" x14ac:dyDescent="0.25">
      <c r="A353" t="s">
        <v>214</v>
      </c>
      <c r="B353" t="s">
        <v>208</v>
      </c>
      <c r="C353">
        <v>34</v>
      </c>
      <c r="D353">
        <v>38.632399999999997</v>
      </c>
      <c r="E353">
        <v>530775</v>
      </c>
      <c r="F353">
        <v>5158485</v>
      </c>
    </row>
    <row r="354" spans="1:6" x14ac:dyDescent="0.25">
      <c r="A354" t="s">
        <v>214</v>
      </c>
      <c r="B354" t="s">
        <v>208</v>
      </c>
      <c r="C354">
        <v>35</v>
      </c>
      <c r="D354">
        <v>45.189900000000002</v>
      </c>
      <c r="E354">
        <v>530805</v>
      </c>
      <c r="F354">
        <v>5158535</v>
      </c>
    </row>
    <row r="355" spans="1:6" x14ac:dyDescent="0.25">
      <c r="A355" t="s">
        <v>214</v>
      </c>
      <c r="B355" t="s">
        <v>208</v>
      </c>
      <c r="C355">
        <v>36</v>
      </c>
      <c r="D355">
        <v>39.215600000000002</v>
      </c>
      <c r="E355">
        <v>530935</v>
      </c>
      <c r="F355">
        <v>5158365</v>
      </c>
    </row>
    <row r="356" spans="1:6" x14ac:dyDescent="0.25">
      <c r="A356" t="s">
        <v>214</v>
      </c>
      <c r="B356" t="s">
        <v>212</v>
      </c>
      <c r="C356">
        <v>1</v>
      </c>
      <c r="D356">
        <v>16.190899999999999</v>
      </c>
      <c r="E356">
        <v>530675</v>
      </c>
      <c r="F356">
        <v>5158485</v>
      </c>
    </row>
    <row r="357" spans="1:6" x14ac:dyDescent="0.25">
      <c r="A357" t="s">
        <v>214</v>
      </c>
      <c r="B357" t="s">
        <v>212</v>
      </c>
      <c r="C357">
        <v>2</v>
      </c>
      <c r="D357">
        <v>11.252000000000001</v>
      </c>
      <c r="E357">
        <v>530725</v>
      </c>
      <c r="F357">
        <v>5158425</v>
      </c>
    </row>
    <row r="358" spans="1:6" x14ac:dyDescent="0.25">
      <c r="A358" t="s">
        <v>214</v>
      </c>
      <c r="B358" t="s">
        <v>212</v>
      </c>
      <c r="C358">
        <v>3</v>
      </c>
      <c r="D358">
        <v>18.1721</v>
      </c>
      <c r="E358">
        <v>530885</v>
      </c>
      <c r="F358">
        <v>5158365</v>
      </c>
    </row>
    <row r="359" spans="1:6" x14ac:dyDescent="0.25">
      <c r="A359" t="s">
        <v>214</v>
      </c>
      <c r="B359" t="s">
        <v>212</v>
      </c>
      <c r="C359">
        <v>4</v>
      </c>
      <c r="D359">
        <v>17.0519</v>
      </c>
      <c r="E359">
        <v>530945</v>
      </c>
      <c r="F359">
        <v>5158325</v>
      </c>
    </row>
    <row r="360" spans="1:6" x14ac:dyDescent="0.25">
      <c r="A360" t="s">
        <v>214</v>
      </c>
      <c r="B360" t="s">
        <v>212</v>
      </c>
      <c r="C360">
        <v>5</v>
      </c>
      <c r="D360">
        <v>15.047700000000001</v>
      </c>
      <c r="E360">
        <v>531065</v>
      </c>
      <c r="F360">
        <v>5158285</v>
      </c>
    </row>
    <row r="361" spans="1:6" x14ac:dyDescent="0.25">
      <c r="A361" t="s">
        <v>214</v>
      </c>
      <c r="B361" t="s">
        <v>212</v>
      </c>
      <c r="C361">
        <v>6</v>
      </c>
      <c r="D361">
        <v>9.6127000000000002</v>
      </c>
      <c r="E361">
        <v>531175</v>
      </c>
      <c r="F361">
        <v>5158305</v>
      </c>
    </row>
    <row r="362" spans="1:6" x14ac:dyDescent="0.25">
      <c r="A362" t="s">
        <v>214</v>
      </c>
      <c r="B362" t="s">
        <v>212</v>
      </c>
      <c r="C362">
        <v>7</v>
      </c>
      <c r="D362">
        <v>14.155099999999999</v>
      </c>
      <c r="E362">
        <v>531255</v>
      </c>
      <c r="F362">
        <v>5158375</v>
      </c>
    </row>
    <row r="363" spans="1:6" x14ac:dyDescent="0.25">
      <c r="A363" t="s">
        <v>214</v>
      </c>
      <c r="B363" t="s">
        <v>212</v>
      </c>
      <c r="C363">
        <v>8</v>
      </c>
      <c r="D363">
        <v>17.592099999999999</v>
      </c>
      <c r="E363">
        <v>531135</v>
      </c>
      <c r="F363">
        <v>5158375</v>
      </c>
    </row>
    <row r="364" spans="1:6" x14ac:dyDescent="0.25">
      <c r="A364" t="s">
        <v>214</v>
      </c>
      <c r="B364" t="s">
        <v>212</v>
      </c>
      <c r="C364">
        <v>9</v>
      </c>
      <c r="D364">
        <v>6.0487000000000002</v>
      </c>
      <c r="E364">
        <v>531145</v>
      </c>
      <c r="F364">
        <v>5158415</v>
      </c>
    </row>
    <row r="365" spans="1:6" x14ac:dyDescent="0.25">
      <c r="A365" t="s">
        <v>214</v>
      </c>
      <c r="B365" t="s">
        <v>212</v>
      </c>
      <c r="C365">
        <v>10</v>
      </c>
      <c r="D365">
        <v>10.9008</v>
      </c>
      <c r="E365">
        <v>530985</v>
      </c>
      <c r="F365">
        <v>5158435</v>
      </c>
    </row>
    <row r="366" spans="1:6" x14ac:dyDescent="0.25">
      <c r="A366" t="s">
        <v>214</v>
      </c>
      <c r="B366" t="s">
        <v>212</v>
      </c>
      <c r="C366">
        <v>11</v>
      </c>
      <c r="D366">
        <v>11.085100000000001</v>
      </c>
      <c r="E366">
        <v>530835</v>
      </c>
      <c r="F366">
        <v>5158505</v>
      </c>
    </row>
    <row r="367" spans="1:6" x14ac:dyDescent="0.25">
      <c r="A367" t="s">
        <v>214</v>
      </c>
      <c r="B367" t="s">
        <v>212</v>
      </c>
      <c r="C367">
        <v>12</v>
      </c>
      <c r="D367">
        <v>15.028700000000001</v>
      </c>
      <c r="E367">
        <v>530795</v>
      </c>
      <c r="F367">
        <v>5158445</v>
      </c>
    </row>
    <row r="368" spans="1:6" x14ac:dyDescent="0.25">
      <c r="A368" t="s">
        <v>214</v>
      </c>
      <c r="B368" t="s">
        <v>212</v>
      </c>
      <c r="C368">
        <v>13</v>
      </c>
      <c r="D368">
        <v>15.529500000000001</v>
      </c>
      <c r="E368">
        <v>531035</v>
      </c>
      <c r="F368">
        <v>5158355</v>
      </c>
    </row>
    <row r="369" spans="1:6" x14ac:dyDescent="0.25">
      <c r="A369" t="s">
        <v>214</v>
      </c>
      <c r="B369" t="s">
        <v>212</v>
      </c>
      <c r="C369">
        <v>14</v>
      </c>
      <c r="D369">
        <v>0</v>
      </c>
      <c r="E369">
        <v>531075</v>
      </c>
      <c r="F369">
        <v>5158425</v>
      </c>
    </row>
    <row r="370" spans="1:6" x14ac:dyDescent="0.25">
      <c r="A370" t="s">
        <v>214</v>
      </c>
      <c r="B370" t="s">
        <v>212</v>
      </c>
      <c r="C370">
        <v>15</v>
      </c>
      <c r="D370">
        <v>8.5992999999999995</v>
      </c>
      <c r="E370">
        <v>530925</v>
      </c>
      <c r="F370">
        <v>5158405</v>
      </c>
    </row>
    <row r="371" spans="1:6" x14ac:dyDescent="0.25">
      <c r="A371" t="s">
        <v>214</v>
      </c>
      <c r="B371" t="s">
        <v>212</v>
      </c>
      <c r="C371">
        <v>16</v>
      </c>
      <c r="D371">
        <v>12.897500000000001</v>
      </c>
      <c r="E371">
        <v>530895</v>
      </c>
      <c r="F371">
        <v>5158505</v>
      </c>
    </row>
    <row r="372" spans="1:6" x14ac:dyDescent="0.25">
      <c r="A372" t="s">
        <v>214</v>
      </c>
      <c r="B372" t="s">
        <v>212</v>
      </c>
      <c r="C372">
        <v>17</v>
      </c>
      <c r="D372">
        <v>3.9129999999999998</v>
      </c>
      <c r="E372">
        <v>530765</v>
      </c>
      <c r="F372">
        <v>5158525</v>
      </c>
    </row>
    <row r="373" spans="1:6" x14ac:dyDescent="0.25">
      <c r="A373" t="s">
        <v>214</v>
      </c>
      <c r="B373" t="s">
        <v>212</v>
      </c>
      <c r="C373">
        <v>18</v>
      </c>
      <c r="D373">
        <v>10.8759</v>
      </c>
      <c r="E373">
        <v>530825</v>
      </c>
      <c r="F373">
        <v>5158385</v>
      </c>
    </row>
    <row r="374" spans="1:6" x14ac:dyDescent="0.25">
      <c r="A374" t="s">
        <v>214</v>
      </c>
      <c r="B374" t="s">
        <v>212</v>
      </c>
      <c r="C374">
        <v>19</v>
      </c>
      <c r="D374">
        <v>21.922899999999998</v>
      </c>
      <c r="E374">
        <v>530995</v>
      </c>
      <c r="F374">
        <v>5158255</v>
      </c>
    </row>
    <row r="375" spans="1:6" x14ac:dyDescent="0.25">
      <c r="A375" t="s">
        <v>214</v>
      </c>
      <c r="B375" t="s">
        <v>212</v>
      </c>
      <c r="C375">
        <v>20</v>
      </c>
      <c r="D375">
        <v>5.4473000000000003</v>
      </c>
      <c r="E375">
        <v>530665</v>
      </c>
      <c r="F375">
        <v>5158425</v>
      </c>
    </row>
    <row r="376" spans="1:6" x14ac:dyDescent="0.25">
      <c r="A376" t="s">
        <v>214</v>
      </c>
      <c r="B376" t="s">
        <v>212</v>
      </c>
      <c r="C376">
        <v>21</v>
      </c>
      <c r="D376">
        <v>9.3633000000000006</v>
      </c>
      <c r="E376">
        <v>530975</v>
      </c>
      <c r="F376">
        <v>5158365</v>
      </c>
    </row>
    <row r="377" spans="1:6" x14ac:dyDescent="0.25">
      <c r="A377" t="s">
        <v>214</v>
      </c>
      <c r="B377" t="s">
        <v>212</v>
      </c>
      <c r="C377">
        <v>22</v>
      </c>
      <c r="D377">
        <v>19.058800000000002</v>
      </c>
      <c r="E377">
        <v>531185</v>
      </c>
      <c r="F377">
        <v>5158375</v>
      </c>
    </row>
    <row r="378" spans="1:6" x14ac:dyDescent="0.25">
      <c r="A378" t="s">
        <v>214</v>
      </c>
      <c r="B378" t="s">
        <v>212</v>
      </c>
      <c r="C378">
        <v>23</v>
      </c>
      <c r="D378">
        <v>3.8948999999999998</v>
      </c>
      <c r="E378">
        <v>530695</v>
      </c>
      <c r="F378">
        <v>5158545</v>
      </c>
    </row>
    <row r="379" spans="1:6" x14ac:dyDescent="0.25">
      <c r="A379" t="s">
        <v>214</v>
      </c>
      <c r="B379" t="s">
        <v>212</v>
      </c>
      <c r="C379">
        <v>24</v>
      </c>
      <c r="D379">
        <v>14.484400000000001</v>
      </c>
      <c r="E379">
        <v>530855</v>
      </c>
      <c r="F379">
        <v>5158435</v>
      </c>
    </row>
    <row r="380" spans="1:6" x14ac:dyDescent="0.25">
      <c r="A380" t="s">
        <v>214</v>
      </c>
      <c r="B380" t="s">
        <v>212</v>
      </c>
      <c r="C380">
        <v>25</v>
      </c>
      <c r="D380">
        <v>13.3634</v>
      </c>
      <c r="E380">
        <v>531125</v>
      </c>
      <c r="F380">
        <v>5158315</v>
      </c>
    </row>
    <row r="381" spans="1:6" x14ac:dyDescent="0.25">
      <c r="A381" t="s">
        <v>214</v>
      </c>
      <c r="B381" t="s">
        <v>212</v>
      </c>
      <c r="C381">
        <v>26</v>
      </c>
      <c r="D381">
        <v>16.0959</v>
      </c>
      <c r="E381">
        <v>531005</v>
      </c>
      <c r="F381">
        <v>5158305</v>
      </c>
    </row>
    <row r="382" spans="1:6" x14ac:dyDescent="0.25">
      <c r="A382" t="s">
        <v>214</v>
      </c>
      <c r="B382" t="s">
        <v>212</v>
      </c>
      <c r="C382">
        <v>27</v>
      </c>
      <c r="D382">
        <v>16.722899999999999</v>
      </c>
      <c r="E382">
        <v>530935</v>
      </c>
      <c r="F382">
        <v>5158465</v>
      </c>
    </row>
    <row r="383" spans="1:6" x14ac:dyDescent="0.25">
      <c r="A383" t="s">
        <v>214</v>
      </c>
      <c r="B383" t="s">
        <v>212</v>
      </c>
      <c r="C383">
        <v>28</v>
      </c>
      <c r="D383">
        <v>4.6623999999999999</v>
      </c>
      <c r="E383">
        <v>530725</v>
      </c>
      <c r="F383">
        <v>5158485</v>
      </c>
    </row>
    <row r="384" spans="1:6" x14ac:dyDescent="0.25">
      <c r="A384" t="s">
        <v>214</v>
      </c>
      <c r="B384" t="s">
        <v>212</v>
      </c>
      <c r="C384">
        <v>29</v>
      </c>
      <c r="D384">
        <v>15.311199999999999</v>
      </c>
      <c r="E384">
        <v>531045</v>
      </c>
      <c r="F384">
        <v>5158245</v>
      </c>
    </row>
    <row r="385" spans="1:6" x14ac:dyDescent="0.25">
      <c r="A385" t="s">
        <v>214</v>
      </c>
      <c r="B385" t="s">
        <v>212</v>
      </c>
      <c r="C385">
        <v>30</v>
      </c>
      <c r="D385">
        <v>0</v>
      </c>
      <c r="E385">
        <v>530765</v>
      </c>
      <c r="F385">
        <v>5158385</v>
      </c>
    </row>
    <row r="386" spans="1:6" x14ac:dyDescent="0.25">
      <c r="A386" t="s">
        <v>214</v>
      </c>
      <c r="B386" t="s">
        <v>212</v>
      </c>
      <c r="C386">
        <v>31</v>
      </c>
      <c r="D386">
        <v>19.3719</v>
      </c>
      <c r="E386">
        <v>531115</v>
      </c>
      <c r="F386">
        <v>5158265</v>
      </c>
    </row>
    <row r="387" spans="1:6" x14ac:dyDescent="0.25">
      <c r="A387" t="s">
        <v>214</v>
      </c>
      <c r="B387" t="s">
        <v>212</v>
      </c>
      <c r="C387">
        <v>32</v>
      </c>
      <c r="D387">
        <v>11.193199999999999</v>
      </c>
      <c r="E387">
        <v>531035</v>
      </c>
      <c r="F387">
        <v>5158405</v>
      </c>
    </row>
    <row r="388" spans="1:6" x14ac:dyDescent="0.25">
      <c r="A388" t="s">
        <v>214</v>
      </c>
      <c r="B388" t="s">
        <v>212</v>
      </c>
      <c r="C388">
        <v>33</v>
      </c>
      <c r="D388">
        <v>8.7454000000000001</v>
      </c>
      <c r="E388">
        <v>531085</v>
      </c>
      <c r="F388">
        <v>5158365</v>
      </c>
    </row>
    <row r="389" spans="1:6" x14ac:dyDescent="0.25">
      <c r="A389" t="s">
        <v>214</v>
      </c>
      <c r="B389" t="s">
        <v>212</v>
      </c>
      <c r="C389">
        <v>34</v>
      </c>
      <c r="D389">
        <v>5.3996000000000004</v>
      </c>
      <c r="E389">
        <v>530775</v>
      </c>
      <c r="F389">
        <v>5158485</v>
      </c>
    </row>
    <row r="390" spans="1:6" x14ac:dyDescent="0.25">
      <c r="A390" t="s">
        <v>214</v>
      </c>
      <c r="B390" t="s">
        <v>212</v>
      </c>
      <c r="C390">
        <v>35</v>
      </c>
      <c r="D390">
        <v>11.1813</v>
      </c>
      <c r="E390">
        <v>530805</v>
      </c>
      <c r="F390">
        <v>5158535</v>
      </c>
    </row>
    <row r="391" spans="1:6" x14ac:dyDescent="0.25">
      <c r="A391" t="s">
        <v>214</v>
      </c>
      <c r="B391" t="s">
        <v>212</v>
      </c>
      <c r="C391">
        <v>36</v>
      </c>
      <c r="D391">
        <v>9.7843999999999998</v>
      </c>
      <c r="E391">
        <v>530935</v>
      </c>
      <c r="F391">
        <v>5158365</v>
      </c>
    </row>
    <row r="392" spans="1:6" x14ac:dyDescent="0.25">
      <c r="A392" t="s">
        <v>214</v>
      </c>
      <c r="B392" t="s">
        <v>211</v>
      </c>
      <c r="C392">
        <v>1</v>
      </c>
      <c r="D392">
        <v>29.648299999999999</v>
      </c>
      <c r="E392">
        <v>530675</v>
      </c>
      <c r="F392">
        <v>5158485</v>
      </c>
    </row>
    <row r="393" spans="1:6" x14ac:dyDescent="0.25">
      <c r="A393" t="s">
        <v>214</v>
      </c>
      <c r="B393" t="s">
        <v>211</v>
      </c>
      <c r="C393">
        <v>2</v>
      </c>
      <c r="D393">
        <v>24.362200000000001</v>
      </c>
      <c r="E393">
        <v>530725</v>
      </c>
      <c r="F393">
        <v>5158425</v>
      </c>
    </row>
    <row r="394" spans="1:6" x14ac:dyDescent="0.25">
      <c r="A394" t="s">
        <v>214</v>
      </c>
      <c r="B394" t="s">
        <v>211</v>
      </c>
      <c r="C394">
        <v>3</v>
      </c>
      <c r="D394">
        <v>27.241299999999999</v>
      </c>
      <c r="E394">
        <v>530885</v>
      </c>
      <c r="F394">
        <v>5158365</v>
      </c>
    </row>
    <row r="395" spans="1:6" x14ac:dyDescent="0.25">
      <c r="A395" t="s">
        <v>214</v>
      </c>
      <c r="B395" t="s">
        <v>211</v>
      </c>
      <c r="C395">
        <v>4</v>
      </c>
      <c r="D395">
        <v>21.991599999999998</v>
      </c>
      <c r="E395">
        <v>530945</v>
      </c>
      <c r="F395">
        <v>5158325</v>
      </c>
    </row>
    <row r="396" spans="1:6" x14ac:dyDescent="0.25">
      <c r="A396" t="s">
        <v>214</v>
      </c>
      <c r="B396" t="s">
        <v>211</v>
      </c>
      <c r="C396">
        <v>5</v>
      </c>
      <c r="D396">
        <v>26.814299999999999</v>
      </c>
      <c r="E396">
        <v>531065</v>
      </c>
      <c r="F396">
        <v>5158285</v>
      </c>
    </row>
    <row r="397" spans="1:6" x14ac:dyDescent="0.25">
      <c r="A397" t="s">
        <v>214</v>
      </c>
      <c r="B397" t="s">
        <v>211</v>
      </c>
      <c r="C397">
        <v>6</v>
      </c>
      <c r="D397">
        <v>26.421199999999999</v>
      </c>
      <c r="E397">
        <v>531175</v>
      </c>
      <c r="F397">
        <v>5158305</v>
      </c>
    </row>
    <row r="398" spans="1:6" x14ac:dyDescent="0.25">
      <c r="A398" t="s">
        <v>214</v>
      </c>
      <c r="B398" t="s">
        <v>211</v>
      </c>
      <c r="C398">
        <v>7</v>
      </c>
      <c r="D398">
        <v>21.622499999999999</v>
      </c>
      <c r="E398">
        <v>531255</v>
      </c>
      <c r="F398">
        <v>5158375</v>
      </c>
    </row>
    <row r="399" spans="1:6" x14ac:dyDescent="0.25">
      <c r="A399" t="s">
        <v>214</v>
      </c>
      <c r="B399" t="s">
        <v>211</v>
      </c>
      <c r="C399">
        <v>8</v>
      </c>
      <c r="D399">
        <v>18.3277</v>
      </c>
      <c r="E399">
        <v>531135</v>
      </c>
      <c r="F399">
        <v>5158375</v>
      </c>
    </row>
    <row r="400" spans="1:6" x14ac:dyDescent="0.25">
      <c r="A400" t="s">
        <v>214</v>
      </c>
      <c r="B400" t="s">
        <v>211</v>
      </c>
      <c r="C400">
        <v>9</v>
      </c>
      <c r="D400">
        <v>31.9575</v>
      </c>
      <c r="E400">
        <v>531145</v>
      </c>
      <c r="F400">
        <v>5158415</v>
      </c>
    </row>
    <row r="401" spans="1:6" x14ac:dyDescent="0.25">
      <c r="A401" t="s">
        <v>214</v>
      </c>
      <c r="B401" t="s">
        <v>211</v>
      </c>
      <c r="C401">
        <v>10</v>
      </c>
      <c r="D401">
        <v>32.304699999999997</v>
      </c>
      <c r="E401">
        <v>530985</v>
      </c>
      <c r="F401">
        <v>5158435</v>
      </c>
    </row>
    <row r="402" spans="1:6" x14ac:dyDescent="0.25">
      <c r="A402" t="s">
        <v>214</v>
      </c>
      <c r="B402" t="s">
        <v>211</v>
      </c>
      <c r="C402">
        <v>11</v>
      </c>
      <c r="D402">
        <v>32.730899999999998</v>
      </c>
      <c r="E402">
        <v>530835</v>
      </c>
      <c r="F402">
        <v>5158505</v>
      </c>
    </row>
    <row r="403" spans="1:6" x14ac:dyDescent="0.25">
      <c r="A403" t="s">
        <v>214</v>
      </c>
      <c r="B403" t="s">
        <v>211</v>
      </c>
      <c r="C403">
        <v>12</v>
      </c>
      <c r="D403">
        <v>25.585799999999999</v>
      </c>
      <c r="E403">
        <v>530795</v>
      </c>
      <c r="F403">
        <v>5158445</v>
      </c>
    </row>
    <row r="404" spans="1:6" x14ac:dyDescent="0.25">
      <c r="A404" t="s">
        <v>214</v>
      </c>
      <c r="B404" t="s">
        <v>211</v>
      </c>
      <c r="C404">
        <v>13</v>
      </c>
      <c r="D404">
        <v>25.491800000000001</v>
      </c>
      <c r="E404">
        <v>531035</v>
      </c>
      <c r="F404">
        <v>5158355</v>
      </c>
    </row>
    <row r="405" spans="1:6" x14ac:dyDescent="0.25">
      <c r="A405" t="s">
        <v>214</v>
      </c>
      <c r="B405" t="s">
        <v>211</v>
      </c>
      <c r="C405">
        <v>14</v>
      </c>
      <c r="D405">
        <v>0</v>
      </c>
      <c r="E405">
        <v>531075</v>
      </c>
      <c r="F405">
        <v>5158425</v>
      </c>
    </row>
    <row r="406" spans="1:6" x14ac:dyDescent="0.25">
      <c r="A406" t="s">
        <v>214</v>
      </c>
      <c r="B406" t="s">
        <v>211</v>
      </c>
      <c r="C406">
        <v>15</v>
      </c>
      <c r="D406">
        <v>30.375599999999999</v>
      </c>
      <c r="E406">
        <v>530925</v>
      </c>
      <c r="F406">
        <v>5158405</v>
      </c>
    </row>
    <row r="407" spans="1:6" x14ac:dyDescent="0.25">
      <c r="A407" t="s">
        <v>214</v>
      </c>
      <c r="B407" t="s">
        <v>211</v>
      </c>
      <c r="C407">
        <v>16</v>
      </c>
      <c r="D407">
        <v>31.3032</v>
      </c>
      <c r="E407">
        <v>530895</v>
      </c>
      <c r="F407">
        <v>5158505</v>
      </c>
    </row>
    <row r="408" spans="1:6" x14ac:dyDescent="0.25">
      <c r="A408" t="s">
        <v>214</v>
      </c>
      <c r="B408" t="s">
        <v>211</v>
      </c>
      <c r="C408">
        <v>17</v>
      </c>
      <c r="D408">
        <v>36.760899999999999</v>
      </c>
      <c r="E408">
        <v>530765</v>
      </c>
      <c r="F408">
        <v>5158525</v>
      </c>
    </row>
    <row r="409" spans="1:6" x14ac:dyDescent="0.25">
      <c r="A409" t="s">
        <v>214</v>
      </c>
      <c r="B409" t="s">
        <v>211</v>
      </c>
      <c r="C409">
        <v>18</v>
      </c>
      <c r="D409">
        <v>31.488800000000001</v>
      </c>
      <c r="E409">
        <v>530825</v>
      </c>
      <c r="F409">
        <v>5158385</v>
      </c>
    </row>
    <row r="410" spans="1:6" x14ac:dyDescent="0.25">
      <c r="A410" t="s">
        <v>214</v>
      </c>
      <c r="B410" t="s">
        <v>211</v>
      </c>
      <c r="C410">
        <v>19</v>
      </c>
      <c r="D410">
        <v>26.391300000000001</v>
      </c>
      <c r="E410">
        <v>530995</v>
      </c>
      <c r="F410">
        <v>5158255</v>
      </c>
    </row>
    <row r="411" spans="1:6" x14ac:dyDescent="0.25">
      <c r="A411" t="s">
        <v>214</v>
      </c>
      <c r="B411" t="s">
        <v>211</v>
      </c>
      <c r="C411">
        <v>20</v>
      </c>
      <c r="D411">
        <v>32.297800000000002</v>
      </c>
      <c r="E411">
        <v>530665</v>
      </c>
      <c r="F411">
        <v>5158425</v>
      </c>
    </row>
    <row r="412" spans="1:6" x14ac:dyDescent="0.25">
      <c r="A412" t="s">
        <v>214</v>
      </c>
      <c r="B412" t="s">
        <v>211</v>
      </c>
      <c r="C412">
        <v>21</v>
      </c>
      <c r="D412">
        <v>25.7288</v>
      </c>
      <c r="E412">
        <v>530975</v>
      </c>
      <c r="F412">
        <v>5158365</v>
      </c>
    </row>
    <row r="413" spans="1:6" x14ac:dyDescent="0.25">
      <c r="A413" t="s">
        <v>214</v>
      </c>
      <c r="B413" t="s">
        <v>211</v>
      </c>
      <c r="C413">
        <v>22</v>
      </c>
      <c r="D413">
        <v>23.814599999999999</v>
      </c>
      <c r="E413">
        <v>531185</v>
      </c>
      <c r="F413">
        <v>5158375</v>
      </c>
    </row>
    <row r="414" spans="1:6" x14ac:dyDescent="0.25">
      <c r="A414" t="s">
        <v>214</v>
      </c>
      <c r="B414" t="s">
        <v>211</v>
      </c>
      <c r="C414">
        <v>23</v>
      </c>
      <c r="D414">
        <v>28.9361</v>
      </c>
      <c r="E414">
        <v>530695</v>
      </c>
      <c r="F414">
        <v>5158545</v>
      </c>
    </row>
    <row r="415" spans="1:6" x14ac:dyDescent="0.25">
      <c r="A415" t="s">
        <v>214</v>
      </c>
      <c r="B415" t="s">
        <v>211</v>
      </c>
      <c r="C415">
        <v>24</v>
      </c>
      <c r="D415">
        <v>32.074399999999997</v>
      </c>
      <c r="E415">
        <v>530855</v>
      </c>
      <c r="F415">
        <v>5158435</v>
      </c>
    </row>
    <row r="416" spans="1:6" x14ac:dyDescent="0.25">
      <c r="A416" t="s">
        <v>214</v>
      </c>
      <c r="B416" t="s">
        <v>211</v>
      </c>
      <c r="C416">
        <v>25</v>
      </c>
      <c r="D416">
        <v>23.0778</v>
      </c>
      <c r="E416">
        <v>531125</v>
      </c>
      <c r="F416">
        <v>5158315</v>
      </c>
    </row>
    <row r="417" spans="1:6" x14ac:dyDescent="0.25">
      <c r="A417" t="s">
        <v>214</v>
      </c>
      <c r="B417" t="s">
        <v>211</v>
      </c>
      <c r="C417">
        <v>26</v>
      </c>
      <c r="D417">
        <v>30.371600000000001</v>
      </c>
      <c r="E417">
        <v>531005</v>
      </c>
      <c r="F417">
        <v>5158305</v>
      </c>
    </row>
    <row r="418" spans="1:6" x14ac:dyDescent="0.25">
      <c r="A418" t="s">
        <v>214</v>
      </c>
      <c r="B418" t="s">
        <v>211</v>
      </c>
      <c r="C418">
        <v>27</v>
      </c>
      <c r="D418">
        <v>33.239899999999999</v>
      </c>
      <c r="E418">
        <v>530935</v>
      </c>
      <c r="F418">
        <v>5158465</v>
      </c>
    </row>
    <row r="419" spans="1:6" x14ac:dyDescent="0.25">
      <c r="A419" t="s">
        <v>214</v>
      </c>
      <c r="B419" t="s">
        <v>211</v>
      </c>
      <c r="C419">
        <v>28</v>
      </c>
      <c r="D419">
        <v>29.880199999999999</v>
      </c>
      <c r="E419">
        <v>530725</v>
      </c>
      <c r="F419">
        <v>5158485</v>
      </c>
    </row>
    <row r="420" spans="1:6" x14ac:dyDescent="0.25">
      <c r="A420" t="s">
        <v>214</v>
      </c>
      <c r="B420" t="s">
        <v>211</v>
      </c>
      <c r="C420">
        <v>29</v>
      </c>
      <c r="D420">
        <v>32.983600000000003</v>
      </c>
      <c r="E420">
        <v>531045</v>
      </c>
      <c r="F420">
        <v>5158245</v>
      </c>
    </row>
    <row r="421" spans="1:6" x14ac:dyDescent="0.25">
      <c r="A421" t="s">
        <v>214</v>
      </c>
      <c r="B421" t="s">
        <v>211</v>
      </c>
      <c r="C421">
        <v>30</v>
      </c>
      <c r="D421">
        <v>0</v>
      </c>
      <c r="E421">
        <v>530765</v>
      </c>
      <c r="F421">
        <v>5158385</v>
      </c>
    </row>
    <row r="422" spans="1:6" x14ac:dyDescent="0.25">
      <c r="A422" t="s">
        <v>214</v>
      </c>
      <c r="B422" t="s">
        <v>211</v>
      </c>
      <c r="C422">
        <v>31</v>
      </c>
      <c r="D422">
        <v>35.426499999999997</v>
      </c>
      <c r="E422">
        <v>531115</v>
      </c>
      <c r="F422">
        <v>5158265</v>
      </c>
    </row>
    <row r="423" spans="1:6" x14ac:dyDescent="0.25">
      <c r="A423" t="s">
        <v>214</v>
      </c>
      <c r="B423" t="s">
        <v>211</v>
      </c>
      <c r="C423">
        <v>32</v>
      </c>
      <c r="D423">
        <v>47.238500000000002</v>
      </c>
      <c r="E423">
        <v>531035</v>
      </c>
      <c r="F423">
        <v>5158405</v>
      </c>
    </row>
    <row r="424" spans="1:6" x14ac:dyDescent="0.25">
      <c r="A424" t="s">
        <v>214</v>
      </c>
      <c r="B424" t="s">
        <v>211</v>
      </c>
      <c r="C424">
        <v>33</v>
      </c>
      <c r="D424">
        <v>29.876899999999999</v>
      </c>
      <c r="E424">
        <v>531085</v>
      </c>
      <c r="F424">
        <v>5158365</v>
      </c>
    </row>
    <row r="425" spans="1:6" x14ac:dyDescent="0.25">
      <c r="A425" t="s">
        <v>214</v>
      </c>
      <c r="B425" t="s">
        <v>211</v>
      </c>
      <c r="C425">
        <v>34</v>
      </c>
      <c r="D425">
        <v>33.232799999999997</v>
      </c>
      <c r="E425">
        <v>530775</v>
      </c>
      <c r="F425">
        <v>5158485</v>
      </c>
    </row>
    <row r="426" spans="1:6" x14ac:dyDescent="0.25">
      <c r="A426" t="s">
        <v>214</v>
      </c>
      <c r="B426" t="s">
        <v>211</v>
      </c>
      <c r="C426">
        <v>35</v>
      </c>
      <c r="D426">
        <v>34.008600000000001</v>
      </c>
      <c r="E426">
        <v>530805</v>
      </c>
      <c r="F426">
        <v>5158535</v>
      </c>
    </row>
    <row r="427" spans="1:6" x14ac:dyDescent="0.25">
      <c r="A427" t="s">
        <v>214</v>
      </c>
      <c r="B427" t="s">
        <v>211</v>
      </c>
      <c r="C427">
        <v>36</v>
      </c>
      <c r="D427">
        <v>29.4312</v>
      </c>
      <c r="E427">
        <v>530935</v>
      </c>
      <c r="F427">
        <v>5158365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33"/>
  <sheetViews>
    <sheetView workbookViewId="0">
      <selection activeCell="J36" sqref="J36"/>
    </sheetView>
  </sheetViews>
  <sheetFormatPr defaultRowHeight="15" x14ac:dyDescent="0.25"/>
  <cols>
    <col min="4" max="4" width="11.85546875" customWidth="1"/>
  </cols>
  <sheetData>
    <row r="2" spans="4:16" x14ac:dyDescent="0.25">
      <c r="D2" t="s">
        <v>192</v>
      </c>
    </row>
    <row r="3" spans="4:16" x14ac:dyDescent="0.25"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2</v>
      </c>
      <c r="K3" t="s">
        <v>3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</row>
    <row r="4" spans="4:16" x14ac:dyDescent="0.25">
      <c r="D4" s="1">
        <v>40948</v>
      </c>
      <c r="E4">
        <v>1</v>
      </c>
      <c r="F4">
        <v>1</v>
      </c>
      <c r="G4">
        <f>0.4*12</f>
        <v>4.8000000000000007</v>
      </c>
      <c r="H4">
        <f>0.35*12</f>
        <v>4.1999999999999993</v>
      </c>
      <c r="I4">
        <f>12*0.4</f>
        <v>4.8000000000000007</v>
      </c>
      <c r="J4">
        <v>1</v>
      </c>
      <c r="M4">
        <v>0</v>
      </c>
      <c r="P4">
        <v>4</v>
      </c>
    </row>
    <row r="5" spans="4:16" x14ac:dyDescent="0.25">
      <c r="D5" s="1">
        <v>41277</v>
      </c>
      <c r="E5">
        <v>3</v>
      </c>
      <c r="F5">
        <v>3</v>
      </c>
      <c r="G5">
        <v>6</v>
      </c>
      <c r="H5">
        <v>6.5</v>
      </c>
      <c r="I5">
        <v>6</v>
      </c>
      <c r="J5">
        <v>4</v>
      </c>
      <c r="K5">
        <v>3</v>
      </c>
      <c r="L5">
        <v>3.25</v>
      </c>
      <c r="M5">
        <v>3.5</v>
      </c>
      <c r="N5">
        <v>4.5</v>
      </c>
      <c r="O5">
        <v>3.5</v>
      </c>
      <c r="P5">
        <v>6</v>
      </c>
    </row>
    <row r="6" spans="4:16" x14ac:dyDescent="0.25">
      <c r="D6" s="1">
        <v>41284</v>
      </c>
      <c r="E6">
        <v>3.5</v>
      </c>
      <c r="F6">
        <v>5.5</v>
      </c>
      <c r="G6">
        <v>8</v>
      </c>
      <c r="H6">
        <v>8</v>
      </c>
      <c r="I6">
        <v>7</v>
      </c>
      <c r="J6">
        <v>6</v>
      </c>
      <c r="K6">
        <v>3.75</v>
      </c>
      <c r="L6">
        <v>4</v>
      </c>
      <c r="M6">
        <v>4.5</v>
      </c>
      <c r="N6">
        <v>5.5</v>
      </c>
      <c r="O6">
        <v>5.5</v>
      </c>
      <c r="P6">
        <v>6.5</v>
      </c>
    </row>
    <row r="7" spans="4:16" x14ac:dyDescent="0.25">
      <c r="D7" s="1">
        <v>41305</v>
      </c>
      <c r="E7">
        <v>4.5</v>
      </c>
      <c r="F7">
        <v>6</v>
      </c>
      <c r="G7">
        <v>9</v>
      </c>
      <c r="H7">
        <v>9.5</v>
      </c>
      <c r="I7">
        <v>8.5</v>
      </c>
      <c r="J7">
        <v>7</v>
      </c>
      <c r="K7">
        <v>3</v>
      </c>
      <c r="L7">
        <v>4</v>
      </c>
      <c r="M7">
        <v>4</v>
      </c>
      <c r="N7">
        <v>6</v>
      </c>
      <c r="O7">
        <v>5</v>
      </c>
      <c r="P7">
        <v>7</v>
      </c>
    </row>
    <row r="8" spans="4:16" x14ac:dyDescent="0.25">
      <c r="D8" s="1">
        <v>41317</v>
      </c>
      <c r="E8">
        <v>5</v>
      </c>
      <c r="F8">
        <v>5</v>
      </c>
      <c r="G8">
        <v>7</v>
      </c>
      <c r="H8">
        <v>8</v>
      </c>
      <c r="I8">
        <v>7.5</v>
      </c>
      <c r="J8">
        <v>6</v>
      </c>
      <c r="K8">
        <v>0</v>
      </c>
      <c r="L8">
        <v>0</v>
      </c>
      <c r="M8">
        <v>0</v>
      </c>
      <c r="N8">
        <v>3</v>
      </c>
      <c r="O8">
        <v>6</v>
      </c>
      <c r="P8">
        <v>6.5</v>
      </c>
    </row>
    <row r="9" spans="4:16" x14ac:dyDescent="0.25">
      <c r="D9" s="1">
        <v>41653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4:16" x14ac:dyDescent="0.25">
      <c r="D10" s="1">
        <v>41670</v>
      </c>
      <c r="E10">
        <v>5.5</v>
      </c>
      <c r="F10">
        <v>5</v>
      </c>
      <c r="G10">
        <v>4.5</v>
      </c>
      <c r="H10">
        <v>5.25</v>
      </c>
      <c r="I10">
        <v>5</v>
      </c>
      <c r="J10">
        <v>4.75</v>
      </c>
      <c r="K10">
        <v>5</v>
      </c>
      <c r="L10">
        <v>5.25</v>
      </c>
      <c r="M10">
        <v>4.75</v>
      </c>
      <c r="N10">
        <v>5</v>
      </c>
      <c r="O10">
        <v>4.75</v>
      </c>
      <c r="P10">
        <v>5.75</v>
      </c>
    </row>
    <row r="11" spans="4:16" x14ac:dyDescent="0.25">
      <c r="D11" s="1">
        <v>41681</v>
      </c>
      <c r="E11">
        <v>3</v>
      </c>
      <c r="F11">
        <v>3</v>
      </c>
      <c r="G11">
        <v>3</v>
      </c>
      <c r="H11" t="s">
        <v>193</v>
      </c>
      <c r="I11">
        <v>4</v>
      </c>
      <c r="K11">
        <v>2</v>
      </c>
      <c r="L11" t="s">
        <v>193</v>
      </c>
      <c r="M11" t="s">
        <v>194</v>
      </c>
      <c r="N11" t="s">
        <v>194</v>
      </c>
      <c r="O11" t="s">
        <v>194</v>
      </c>
    </row>
    <row r="12" spans="4:16" x14ac:dyDescent="0.25">
      <c r="D12" s="1">
        <v>41684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4:16" x14ac:dyDescent="0.25">
      <c r="D13" s="1">
        <v>41705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4:16" x14ac:dyDescent="0.25">
      <c r="D14" s="1">
        <v>42003</v>
      </c>
      <c r="E14">
        <v>5</v>
      </c>
      <c r="F14">
        <v>8</v>
      </c>
      <c r="G14">
        <v>8</v>
      </c>
      <c r="H14">
        <v>5</v>
      </c>
      <c r="I14">
        <v>7</v>
      </c>
      <c r="J14">
        <v>7</v>
      </c>
      <c r="K14">
        <v>4</v>
      </c>
      <c r="L14">
        <v>5</v>
      </c>
      <c r="M14">
        <v>7</v>
      </c>
      <c r="N14">
        <v>5</v>
      </c>
      <c r="O14">
        <v>5</v>
      </c>
      <c r="P14">
        <v>8</v>
      </c>
    </row>
    <row r="15" spans="4:16" x14ac:dyDescent="0.25">
      <c r="D15" s="1">
        <v>42013</v>
      </c>
      <c r="E15">
        <v>2</v>
      </c>
      <c r="F15">
        <v>3</v>
      </c>
      <c r="G15">
        <v>3.5</v>
      </c>
      <c r="H15">
        <v>3</v>
      </c>
      <c r="I15">
        <v>2.5</v>
      </c>
      <c r="J15">
        <v>3</v>
      </c>
      <c r="K15">
        <v>2</v>
      </c>
      <c r="L15">
        <v>1.5</v>
      </c>
      <c r="M15">
        <v>2</v>
      </c>
      <c r="N15">
        <v>2.75</v>
      </c>
      <c r="O15">
        <v>1.5</v>
      </c>
      <c r="P15">
        <v>3</v>
      </c>
    </row>
    <row r="16" spans="4:16" x14ac:dyDescent="0.25">
      <c r="D16" s="1">
        <v>42025</v>
      </c>
      <c r="E16">
        <v>0</v>
      </c>
      <c r="F16">
        <v>0</v>
      </c>
      <c r="G16">
        <v>2</v>
      </c>
      <c r="H16">
        <v>0</v>
      </c>
      <c r="J16">
        <v>0</v>
      </c>
      <c r="K16">
        <v>0</v>
      </c>
      <c r="M16">
        <v>0</v>
      </c>
      <c r="N16">
        <v>0</v>
      </c>
      <c r="O16">
        <v>0</v>
      </c>
      <c r="P16">
        <v>0</v>
      </c>
    </row>
    <row r="20" spans="3:17" x14ac:dyDescent="0.25">
      <c r="D20" t="s">
        <v>195</v>
      </c>
    </row>
    <row r="21" spans="3:17" x14ac:dyDescent="0.25">
      <c r="E21" t="s">
        <v>6</v>
      </c>
      <c r="F21" t="s">
        <v>7</v>
      </c>
      <c r="G21" t="s">
        <v>8</v>
      </c>
      <c r="H21" t="s">
        <v>9</v>
      </c>
      <c r="I21" t="s">
        <v>10</v>
      </c>
      <c r="J21" t="s">
        <v>2</v>
      </c>
      <c r="K21" t="s">
        <v>3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</row>
    <row r="22" spans="3:17" x14ac:dyDescent="0.25">
      <c r="D22" s="1">
        <v>41277</v>
      </c>
      <c r="E22">
        <v>13.5</v>
      </c>
      <c r="F22">
        <v>13.5</v>
      </c>
      <c r="G22">
        <v>14.5</v>
      </c>
      <c r="H22">
        <v>14.5</v>
      </c>
      <c r="I22">
        <v>14.5</v>
      </c>
      <c r="J22">
        <v>14</v>
      </c>
      <c r="K22">
        <v>13.5</v>
      </c>
      <c r="L22">
        <v>13.5</v>
      </c>
      <c r="M22">
        <v>13.5</v>
      </c>
      <c r="N22">
        <v>14</v>
      </c>
      <c r="O22">
        <v>13.5</v>
      </c>
      <c r="P22">
        <v>14.5</v>
      </c>
    </row>
    <row r="23" spans="3:17" x14ac:dyDescent="0.25">
      <c r="D23" s="1">
        <v>41284</v>
      </c>
      <c r="E23">
        <v>13.5</v>
      </c>
      <c r="F23">
        <v>14</v>
      </c>
      <c r="G23">
        <v>15</v>
      </c>
      <c r="H23">
        <v>15.5</v>
      </c>
      <c r="I23">
        <v>14.5</v>
      </c>
      <c r="J23">
        <v>14</v>
      </c>
      <c r="K23">
        <v>14</v>
      </c>
      <c r="L23">
        <v>14</v>
      </c>
      <c r="M23">
        <v>14</v>
      </c>
      <c r="N23">
        <v>15.5</v>
      </c>
      <c r="O23">
        <v>14.5</v>
      </c>
      <c r="P23">
        <v>14.5</v>
      </c>
    </row>
    <row r="24" spans="3:17" x14ac:dyDescent="0.25">
      <c r="D24" s="1">
        <v>41305</v>
      </c>
      <c r="E24">
        <v>15</v>
      </c>
      <c r="F24">
        <v>15</v>
      </c>
      <c r="G24">
        <v>16.5</v>
      </c>
      <c r="H24">
        <v>16</v>
      </c>
      <c r="I24">
        <v>16</v>
      </c>
      <c r="J24">
        <v>16</v>
      </c>
      <c r="K24">
        <v>13</v>
      </c>
      <c r="L24">
        <v>14</v>
      </c>
      <c r="M24">
        <v>14</v>
      </c>
      <c r="N24">
        <v>15</v>
      </c>
      <c r="O24">
        <v>14.5</v>
      </c>
      <c r="P24">
        <v>15.5</v>
      </c>
    </row>
    <row r="25" spans="3:17" x14ac:dyDescent="0.25">
      <c r="D25" s="1">
        <v>41317</v>
      </c>
      <c r="E25">
        <v>14.5</v>
      </c>
      <c r="F25">
        <v>14</v>
      </c>
      <c r="G25">
        <v>15.5</v>
      </c>
      <c r="H25">
        <v>16</v>
      </c>
      <c r="I25">
        <v>16</v>
      </c>
      <c r="J25">
        <v>14</v>
      </c>
      <c r="K25" t="s">
        <v>19</v>
      </c>
      <c r="L25" t="s">
        <v>19</v>
      </c>
      <c r="M25" t="s">
        <v>19</v>
      </c>
      <c r="N25">
        <v>14</v>
      </c>
      <c r="O25">
        <v>15</v>
      </c>
      <c r="P25">
        <v>15</v>
      </c>
      <c r="Q25" t="s">
        <v>196</v>
      </c>
    </row>
    <row r="26" spans="3:17" x14ac:dyDescent="0.25">
      <c r="D26" s="1">
        <v>41670</v>
      </c>
      <c r="E26">
        <v>14</v>
      </c>
      <c r="F26">
        <v>13.5</v>
      </c>
      <c r="G26">
        <v>14</v>
      </c>
      <c r="H26">
        <v>14</v>
      </c>
      <c r="I26">
        <v>14</v>
      </c>
      <c r="J26">
        <v>14</v>
      </c>
      <c r="K26">
        <v>14</v>
      </c>
      <c r="L26">
        <v>14</v>
      </c>
      <c r="M26">
        <v>14</v>
      </c>
      <c r="N26">
        <v>14.5</v>
      </c>
      <c r="O26">
        <v>14</v>
      </c>
      <c r="P26">
        <v>14</v>
      </c>
      <c r="Q26" t="s">
        <v>196</v>
      </c>
    </row>
    <row r="28" spans="3:17" x14ac:dyDescent="0.25">
      <c r="C28" t="s">
        <v>197</v>
      </c>
      <c r="D28" t="s">
        <v>198</v>
      </c>
      <c r="E28" t="s">
        <v>6</v>
      </c>
      <c r="F28" t="s">
        <v>7</v>
      </c>
      <c r="G28" t="s">
        <v>8</v>
      </c>
      <c r="H28" t="s">
        <v>9</v>
      </c>
      <c r="I28" t="s">
        <v>10</v>
      </c>
      <c r="J28" t="s">
        <v>2</v>
      </c>
      <c r="K28" t="s">
        <v>3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</row>
    <row r="29" spans="3:17" x14ac:dyDescent="0.25">
      <c r="D29" s="1">
        <v>41277</v>
      </c>
      <c r="E29">
        <f>E22-12.5</f>
        <v>1</v>
      </c>
      <c r="F29">
        <f t="shared" ref="F29:P29" si="0">F22-12.5</f>
        <v>1</v>
      </c>
      <c r="G29">
        <f t="shared" si="0"/>
        <v>2</v>
      </c>
      <c r="H29">
        <f t="shared" si="0"/>
        <v>2</v>
      </c>
      <c r="I29">
        <f t="shared" si="0"/>
        <v>2</v>
      </c>
      <c r="J29">
        <f t="shared" si="0"/>
        <v>1.5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1.5</v>
      </c>
      <c r="O29">
        <f t="shared" si="0"/>
        <v>1</v>
      </c>
      <c r="P29">
        <f t="shared" si="0"/>
        <v>2</v>
      </c>
    </row>
    <row r="30" spans="3:17" x14ac:dyDescent="0.25">
      <c r="D30" s="1">
        <v>41284</v>
      </c>
      <c r="E30">
        <f t="shared" ref="E30:P33" si="1">E23-12.5</f>
        <v>1</v>
      </c>
      <c r="F30">
        <f t="shared" si="1"/>
        <v>1.5</v>
      </c>
      <c r="G30">
        <f t="shared" si="1"/>
        <v>2.5</v>
      </c>
      <c r="H30">
        <f t="shared" si="1"/>
        <v>3</v>
      </c>
      <c r="I30">
        <f t="shared" si="1"/>
        <v>2</v>
      </c>
      <c r="J30">
        <f t="shared" si="1"/>
        <v>1.5</v>
      </c>
      <c r="K30">
        <f t="shared" si="1"/>
        <v>1.5</v>
      </c>
      <c r="L30">
        <f t="shared" si="1"/>
        <v>1.5</v>
      </c>
      <c r="M30">
        <f t="shared" si="1"/>
        <v>1.5</v>
      </c>
      <c r="N30">
        <f t="shared" si="1"/>
        <v>3</v>
      </c>
      <c r="O30">
        <f t="shared" si="1"/>
        <v>2</v>
      </c>
      <c r="P30">
        <f t="shared" si="1"/>
        <v>2</v>
      </c>
    </row>
    <row r="31" spans="3:17" x14ac:dyDescent="0.25">
      <c r="D31" s="1">
        <v>41305</v>
      </c>
      <c r="E31">
        <f t="shared" si="1"/>
        <v>2.5</v>
      </c>
      <c r="F31">
        <f t="shared" si="1"/>
        <v>2.5</v>
      </c>
      <c r="G31">
        <f t="shared" si="1"/>
        <v>4</v>
      </c>
      <c r="H31">
        <f t="shared" si="1"/>
        <v>3.5</v>
      </c>
      <c r="I31">
        <f t="shared" si="1"/>
        <v>3.5</v>
      </c>
      <c r="J31">
        <f t="shared" si="1"/>
        <v>3.5</v>
      </c>
      <c r="K31">
        <f t="shared" si="1"/>
        <v>0.5</v>
      </c>
      <c r="L31">
        <f t="shared" si="1"/>
        <v>1.5</v>
      </c>
      <c r="M31">
        <f t="shared" si="1"/>
        <v>1.5</v>
      </c>
      <c r="N31">
        <f t="shared" si="1"/>
        <v>2.5</v>
      </c>
      <c r="O31">
        <f t="shared" si="1"/>
        <v>2</v>
      </c>
      <c r="P31">
        <f t="shared" si="1"/>
        <v>3</v>
      </c>
    </row>
    <row r="32" spans="3:17" x14ac:dyDescent="0.25">
      <c r="D32" s="1">
        <v>41317</v>
      </c>
      <c r="E32">
        <f t="shared" si="1"/>
        <v>2</v>
      </c>
      <c r="F32">
        <f t="shared" si="1"/>
        <v>1.5</v>
      </c>
      <c r="G32">
        <f t="shared" si="1"/>
        <v>3</v>
      </c>
      <c r="H32">
        <f t="shared" si="1"/>
        <v>3.5</v>
      </c>
      <c r="I32">
        <f t="shared" si="1"/>
        <v>3.5</v>
      </c>
      <c r="J32">
        <f t="shared" si="1"/>
        <v>1.5</v>
      </c>
      <c r="K32">
        <v>0</v>
      </c>
      <c r="L32">
        <v>0</v>
      </c>
      <c r="M32">
        <v>0</v>
      </c>
      <c r="N32">
        <f t="shared" si="1"/>
        <v>1.5</v>
      </c>
      <c r="O32">
        <f t="shared" si="1"/>
        <v>2.5</v>
      </c>
      <c r="P32">
        <f t="shared" si="1"/>
        <v>2.5</v>
      </c>
    </row>
    <row r="33" spans="4:16" x14ac:dyDescent="0.25">
      <c r="D33" s="1">
        <v>41670</v>
      </c>
      <c r="E33">
        <f t="shared" si="1"/>
        <v>1.5</v>
      </c>
      <c r="F33">
        <f t="shared" si="1"/>
        <v>1</v>
      </c>
      <c r="G33">
        <f t="shared" si="1"/>
        <v>1.5</v>
      </c>
      <c r="H33">
        <f t="shared" si="1"/>
        <v>1.5</v>
      </c>
      <c r="I33">
        <f t="shared" si="1"/>
        <v>1.5</v>
      </c>
      <c r="J33">
        <f t="shared" si="1"/>
        <v>1.5</v>
      </c>
      <c r="K33">
        <f t="shared" si="1"/>
        <v>1.5</v>
      </c>
      <c r="L33">
        <f t="shared" si="1"/>
        <v>1.5</v>
      </c>
      <c r="M33">
        <f t="shared" si="1"/>
        <v>1.5</v>
      </c>
      <c r="N33">
        <f t="shared" si="1"/>
        <v>2</v>
      </c>
      <c r="O33">
        <f t="shared" si="1"/>
        <v>1.5</v>
      </c>
      <c r="P33">
        <f t="shared" si="1"/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3"/>
  <sheetViews>
    <sheetView topLeftCell="F53" workbookViewId="0">
      <selection activeCell="I87" sqref="I87"/>
    </sheetView>
  </sheetViews>
  <sheetFormatPr defaultRowHeight="15" x14ac:dyDescent="0.25"/>
  <cols>
    <col min="1" max="1" width="27.7109375" customWidth="1"/>
    <col min="12" max="12" width="15.42578125" customWidth="1"/>
    <col min="15" max="15" width="13" customWidth="1"/>
    <col min="16" max="16" width="21.140625" customWidth="1"/>
    <col min="18" max="18" width="11" customWidth="1"/>
  </cols>
  <sheetData>
    <row r="1" spans="1:1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2</v>
      </c>
      <c r="H1" t="s">
        <v>3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160</v>
      </c>
      <c r="O1" t="s">
        <v>161</v>
      </c>
      <c r="P1" t="s">
        <v>162</v>
      </c>
    </row>
    <row r="2" spans="1:17" x14ac:dyDescent="0.25">
      <c r="A2" s="1">
        <v>40948</v>
      </c>
      <c r="B2" t="s">
        <v>115</v>
      </c>
      <c r="E2" t="s">
        <v>115</v>
      </c>
      <c r="F2" t="s">
        <v>115</v>
      </c>
      <c r="M2">
        <v>3.4</v>
      </c>
      <c r="P2">
        <v>8.5</v>
      </c>
    </row>
    <row r="3" spans="1:17" x14ac:dyDescent="0.25">
      <c r="A3" s="1">
        <v>40949</v>
      </c>
      <c r="B3" t="s">
        <v>115</v>
      </c>
      <c r="C3" t="s">
        <v>115</v>
      </c>
      <c r="D3">
        <v>4.3</v>
      </c>
      <c r="F3" t="s">
        <v>115</v>
      </c>
      <c r="H3">
        <v>2.34</v>
      </c>
      <c r="I3" t="s">
        <v>115</v>
      </c>
      <c r="J3">
        <v>0.98</v>
      </c>
      <c r="K3" t="s">
        <v>115</v>
      </c>
      <c r="L3">
        <v>1.04</v>
      </c>
      <c r="M3">
        <v>2.93</v>
      </c>
      <c r="N3">
        <v>7.21</v>
      </c>
      <c r="O3">
        <v>3.82</v>
      </c>
      <c r="P3">
        <v>8.5</v>
      </c>
    </row>
    <row r="4" spans="1:17" x14ac:dyDescent="0.25">
      <c r="A4" s="1">
        <v>40969</v>
      </c>
      <c r="B4" t="s">
        <v>115</v>
      </c>
      <c r="C4">
        <v>3.2</v>
      </c>
      <c r="D4">
        <v>1.7</v>
      </c>
      <c r="E4">
        <v>3.4</v>
      </c>
      <c r="F4">
        <v>2</v>
      </c>
      <c r="G4">
        <v>1.85</v>
      </c>
      <c r="H4">
        <v>2.2000000000000002</v>
      </c>
      <c r="I4" t="s">
        <v>115</v>
      </c>
      <c r="J4">
        <v>1.2</v>
      </c>
      <c r="K4" t="s">
        <v>115</v>
      </c>
      <c r="M4">
        <v>2.2000000000000002</v>
      </c>
      <c r="N4">
        <v>4.38</v>
      </c>
      <c r="O4">
        <v>3.72</v>
      </c>
      <c r="P4">
        <v>8.6999999999999993</v>
      </c>
    </row>
    <row r="5" spans="1:17" x14ac:dyDescent="0.25">
      <c r="A5" s="1">
        <v>40970</v>
      </c>
      <c r="B5" t="s">
        <v>115</v>
      </c>
      <c r="D5">
        <v>1.75</v>
      </c>
      <c r="E5">
        <v>2.9</v>
      </c>
      <c r="F5">
        <v>2.1</v>
      </c>
      <c r="G5">
        <v>1.65</v>
      </c>
      <c r="H5">
        <v>2.75</v>
      </c>
      <c r="I5" t="s">
        <v>115</v>
      </c>
      <c r="J5">
        <v>1.2</v>
      </c>
      <c r="K5" t="s">
        <v>115</v>
      </c>
      <c r="L5">
        <v>2</v>
      </c>
      <c r="M5">
        <v>2.2999999999999998</v>
      </c>
      <c r="N5">
        <v>6.7</v>
      </c>
      <c r="O5">
        <v>3.7</v>
      </c>
      <c r="P5">
        <v>8.5</v>
      </c>
    </row>
    <row r="6" spans="1:17" x14ac:dyDescent="0.25">
      <c r="A6" s="1">
        <v>40995</v>
      </c>
      <c r="B6">
        <v>2</v>
      </c>
      <c r="C6">
        <v>1.85</v>
      </c>
      <c r="D6">
        <v>1.7</v>
      </c>
      <c r="E6">
        <v>1.85</v>
      </c>
      <c r="F6">
        <v>1.61</v>
      </c>
      <c r="G6">
        <v>1.93</v>
      </c>
      <c r="H6">
        <v>2</v>
      </c>
      <c r="I6">
        <v>1.4</v>
      </c>
      <c r="J6">
        <v>1</v>
      </c>
      <c r="K6">
        <v>3.2</v>
      </c>
      <c r="L6">
        <v>1.4</v>
      </c>
      <c r="M6">
        <v>1.29</v>
      </c>
      <c r="N6">
        <v>4.6399999999999997</v>
      </c>
      <c r="P6">
        <v>8.5500000000000007</v>
      </c>
    </row>
    <row r="7" spans="1:17" x14ac:dyDescent="0.25">
      <c r="A7" s="1">
        <v>41022</v>
      </c>
      <c r="B7">
        <v>2.67</v>
      </c>
      <c r="C7">
        <v>3.2</v>
      </c>
      <c r="D7">
        <v>3.09</v>
      </c>
      <c r="E7">
        <v>3.01</v>
      </c>
      <c r="F7">
        <v>2.7</v>
      </c>
      <c r="G7">
        <v>2.5</v>
      </c>
      <c r="H7">
        <v>2.8</v>
      </c>
      <c r="I7">
        <v>2.81</v>
      </c>
      <c r="J7">
        <v>1.9</v>
      </c>
      <c r="K7">
        <v>3.2</v>
      </c>
      <c r="L7">
        <v>2.2200000000000002</v>
      </c>
      <c r="M7">
        <v>2.98</v>
      </c>
      <c r="N7" t="s">
        <v>163</v>
      </c>
      <c r="O7" t="s">
        <v>164</v>
      </c>
      <c r="P7" t="s">
        <v>115</v>
      </c>
    </row>
    <row r="8" spans="1:17" x14ac:dyDescent="0.25">
      <c r="A8" s="1">
        <v>41037</v>
      </c>
      <c r="B8">
        <v>3.1</v>
      </c>
      <c r="C8">
        <v>3.8</v>
      </c>
      <c r="D8">
        <v>3.4</v>
      </c>
      <c r="E8">
        <v>3.4</v>
      </c>
      <c r="F8">
        <v>3.1</v>
      </c>
      <c r="G8">
        <v>2.7</v>
      </c>
      <c r="H8">
        <v>3.3</v>
      </c>
      <c r="I8">
        <v>3.4</v>
      </c>
      <c r="J8">
        <v>2.2000000000000002</v>
      </c>
      <c r="K8" t="s">
        <v>115</v>
      </c>
      <c r="L8">
        <v>3.2</v>
      </c>
      <c r="M8">
        <v>3.5</v>
      </c>
      <c r="N8">
        <v>6.1</v>
      </c>
      <c r="O8">
        <v>4.5</v>
      </c>
      <c r="P8">
        <v>8.6</v>
      </c>
    </row>
    <row r="9" spans="1:17" x14ac:dyDescent="0.25">
      <c r="A9" s="1">
        <v>41078</v>
      </c>
      <c r="B9" t="s">
        <v>115</v>
      </c>
      <c r="C9" t="s">
        <v>115</v>
      </c>
      <c r="D9">
        <v>3.75</v>
      </c>
      <c r="E9" t="s">
        <v>115</v>
      </c>
      <c r="F9" t="s">
        <v>115</v>
      </c>
      <c r="G9" t="s">
        <v>115</v>
      </c>
      <c r="H9">
        <v>4.5</v>
      </c>
      <c r="I9" t="s">
        <v>115</v>
      </c>
      <c r="J9">
        <v>2.6</v>
      </c>
      <c r="K9" t="s">
        <v>115</v>
      </c>
      <c r="L9">
        <v>2.9</v>
      </c>
      <c r="M9" t="s">
        <v>115</v>
      </c>
      <c r="N9" t="s">
        <v>115</v>
      </c>
      <c r="O9" t="s">
        <v>115</v>
      </c>
      <c r="P9" t="s">
        <v>115</v>
      </c>
    </row>
    <row r="10" spans="1:17" x14ac:dyDescent="0.25">
      <c r="A10" s="1">
        <v>41229</v>
      </c>
      <c r="N10" t="s">
        <v>165</v>
      </c>
      <c r="O10" t="s">
        <v>166</v>
      </c>
    </row>
    <row r="11" spans="1:17" x14ac:dyDescent="0.25">
      <c r="A11" s="1">
        <v>41248</v>
      </c>
      <c r="C11">
        <v>2.6875</v>
      </c>
      <c r="D11">
        <v>2.1041666666666665</v>
      </c>
      <c r="E11">
        <v>2.25</v>
      </c>
      <c r="F11">
        <v>2.1875</v>
      </c>
      <c r="G11" s="7" t="s">
        <v>115</v>
      </c>
      <c r="H11">
        <v>2.6041666666666665</v>
      </c>
      <c r="J11">
        <v>1.1875</v>
      </c>
      <c r="L11">
        <v>1.375</v>
      </c>
      <c r="M11">
        <v>3.1666666666666665</v>
      </c>
      <c r="N11" t="s">
        <v>167</v>
      </c>
      <c r="O11" t="s">
        <v>168</v>
      </c>
      <c r="Q11">
        <v>12</v>
      </c>
    </row>
    <row r="12" spans="1:17" x14ac:dyDescent="0.25">
      <c r="A12" s="1">
        <v>41277</v>
      </c>
      <c r="B12" t="s">
        <v>115</v>
      </c>
      <c r="C12">
        <v>3.6</v>
      </c>
      <c r="D12">
        <v>3.5</v>
      </c>
      <c r="E12" t="s">
        <v>115</v>
      </c>
      <c r="F12">
        <v>2.6</v>
      </c>
      <c r="G12" t="s">
        <v>115</v>
      </c>
      <c r="H12">
        <v>3.6</v>
      </c>
      <c r="I12" t="s">
        <v>115</v>
      </c>
      <c r="J12">
        <v>2</v>
      </c>
      <c r="K12" t="s">
        <v>115</v>
      </c>
      <c r="L12">
        <v>1.4</v>
      </c>
      <c r="M12" t="s">
        <v>115</v>
      </c>
      <c r="N12" t="s">
        <v>169</v>
      </c>
      <c r="O12" t="s">
        <v>170</v>
      </c>
      <c r="P12" t="s">
        <v>171</v>
      </c>
    </row>
    <row r="13" spans="1:17" x14ac:dyDescent="0.25">
      <c r="A13" s="1">
        <v>41283</v>
      </c>
      <c r="B13" t="s">
        <v>115</v>
      </c>
      <c r="C13">
        <v>3.6</v>
      </c>
      <c r="D13">
        <v>2.15</v>
      </c>
      <c r="E13">
        <v>2</v>
      </c>
      <c r="F13">
        <v>2.1</v>
      </c>
      <c r="G13" t="s">
        <v>115</v>
      </c>
      <c r="H13">
        <v>2.4</v>
      </c>
      <c r="I13" t="s">
        <v>115</v>
      </c>
      <c r="J13">
        <v>1</v>
      </c>
      <c r="K13" t="s">
        <v>115</v>
      </c>
      <c r="L13">
        <v>1.3</v>
      </c>
      <c r="M13" t="s">
        <v>115</v>
      </c>
    </row>
    <row r="14" spans="1:17" x14ac:dyDescent="0.25">
      <c r="A14" s="1">
        <v>41284</v>
      </c>
      <c r="B14" t="s">
        <v>115</v>
      </c>
      <c r="C14">
        <v>2.35</v>
      </c>
      <c r="D14">
        <v>2.2999999999999998</v>
      </c>
      <c r="E14">
        <v>2.2000000000000002</v>
      </c>
      <c r="F14">
        <v>1.9</v>
      </c>
      <c r="G14" t="s">
        <v>115</v>
      </c>
      <c r="H14">
        <v>2.1</v>
      </c>
      <c r="I14" t="s">
        <v>115</v>
      </c>
      <c r="J14">
        <v>1</v>
      </c>
      <c r="K14" t="s">
        <v>115</v>
      </c>
      <c r="L14">
        <v>1.2</v>
      </c>
      <c r="M14" t="s">
        <v>115</v>
      </c>
      <c r="N14" t="s">
        <v>172</v>
      </c>
      <c r="O14" t="s">
        <v>168</v>
      </c>
      <c r="P14" t="s">
        <v>168</v>
      </c>
    </row>
    <row r="15" spans="1:17" x14ac:dyDescent="0.25">
      <c r="A15" s="1">
        <v>41305</v>
      </c>
      <c r="B15" t="s">
        <v>115</v>
      </c>
      <c r="C15">
        <v>1.66</v>
      </c>
      <c r="D15">
        <v>1.74</v>
      </c>
      <c r="E15">
        <v>1.88</v>
      </c>
      <c r="F15">
        <v>1.48</v>
      </c>
      <c r="G15">
        <v>2.78</v>
      </c>
      <c r="H15">
        <v>1.85</v>
      </c>
      <c r="I15">
        <v>3.68</v>
      </c>
      <c r="J15">
        <v>0.95</v>
      </c>
      <c r="K15" t="s">
        <v>115</v>
      </c>
      <c r="L15">
        <v>1.22</v>
      </c>
      <c r="M15">
        <v>1.82</v>
      </c>
      <c r="N15" t="s">
        <v>173</v>
      </c>
      <c r="O15" t="s">
        <v>174</v>
      </c>
      <c r="P15" t="s">
        <v>175</v>
      </c>
    </row>
    <row r="16" spans="1:17" x14ac:dyDescent="0.25">
      <c r="A16" s="1">
        <v>41310</v>
      </c>
      <c r="B16">
        <v>3.12</v>
      </c>
      <c r="C16">
        <v>1.74</v>
      </c>
      <c r="D16">
        <v>2.2799999999999998</v>
      </c>
      <c r="E16">
        <v>2.3199999999999998</v>
      </c>
      <c r="F16">
        <v>1.6</v>
      </c>
      <c r="G16">
        <v>1.96</v>
      </c>
      <c r="H16">
        <v>1.83</v>
      </c>
      <c r="I16">
        <v>3.36</v>
      </c>
      <c r="J16">
        <v>0.97</v>
      </c>
      <c r="K16" t="s">
        <v>115</v>
      </c>
      <c r="L16">
        <v>1.2</v>
      </c>
      <c r="M16">
        <v>3.04</v>
      </c>
      <c r="N16">
        <v>3.18</v>
      </c>
      <c r="O16" t="s">
        <v>168</v>
      </c>
      <c r="P16" t="s">
        <v>168</v>
      </c>
    </row>
    <row r="17" spans="1:16" x14ac:dyDescent="0.25">
      <c r="A17" s="1">
        <v>41317</v>
      </c>
      <c r="B17">
        <v>2.86</v>
      </c>
      <c r="C17">
        <v>2.4300000000000002</v>
      </c>
      <c r="D17">
        <v>2.2000000000000002</v>
      </c>
      <c r="E17">
        <v>2.36</v>
      </c>
      <c r="F17">
        <v>1.5</v>
      </c>
      <c r="G17">
        <v>1.87</v>
      </c>
      <c r="H17">
        <v>1.79</v>
      </c>
      <c r="I17">
        <v>3.28</v>
      </c>
      <c r="J17">
        <v>1.03</v>
      </c>
      <c r="K17" t="s">
        <v>115</v>
      </c>
      <c r="L17">
        <v>1.3</v>
      </c>
      <c r="M17">
        <v>2.1</v>
      </c>
      <c r="N17">
        <v>2.86</v>
      </c>
      <c r="O17" t="s">
        <v>168</v>
      </c>
      <c r="P17" t="s">
        <v>168</v>
      </c>
    </row>
    <row r="18" spans="1:16" x14ac:dyDescent="0.25">
      <c r="A18" s="1">
        <v>41334</v>
      </c>
      <c r="B18">
        <v>1.8</v>
      </c>
      <c r="C18">
        <v>1.8</v>
      </c>
      <c r="D18">
        <v>1.45</v>
      </c>
      <c r="E18">
        <v>1.8</v>
      </c>
      <c r="F18">
        <v>1.7</v>
      </c>
      <c r="G18">
        <v>1.58</v>
      </c>
      <c r="H18">
        <v>1.7</v>
      </c>
      <c r="I18">
        <v>3.65</v>
      </c>
      <c r="J18">
        <v>1</v>
      </c>
      <c r="K18" t="s">
        <v>115</v>
      </c>
      <c r="M18">
        <v>1.5</v>
      </c>
      <c r="N18">
        <v>2.2000000000000002</v>
      </c>
      <c r="P18" t="s">
        <v>176</v>
      </c>
    </row>
    <row r="19" spans="1:16" x14ac:dyDescent="0.25">
      <c r="A19" s="1">
        <v>41361</v>
      </c>
      <c r="B19" t="s">
        <v>115</v>
      </c>
      <c r="D19">
        <v>3.27</v>
      </c>
      <c r="E19">
        <v>3.31</v>
      </c>
      <c r="F19">
        <v>2.75</v>
      </c>
      <c r="G19">
        <v>1.85</v>
      </c>
      <c r="H19">
        <v>3.15</v>
      </c>
      <c r="I19" t="s">
        <v>115</v>
      </c>
      <c r="J19">
        <v>1.93</v>
      </c>
      <c r="K19" t="s">
        <v>115</v>
      </c>
      <c r="L19">
        <v>2.67</v>
      </c>
      <c r="M19">
        <v>3.31</v>
      </c>
      <c r="N19">
        <v>3.83</v>
      </c>
      <c r="O19" t="s">
        <v>177</v>
      </c>
      <c r="P19" t="s">
        <v>177</v>
      </c>
    </row>
    <row r="20" spans="1:16" x14ac:dyDescent="0.25">
      <c r="A20" s="1">
        <v>41646</v>
      </c>
      <c r="B20" t="s">
        <v>115</v>
      </c>
      <c r="C20" t="s">
        <v>115</v>
      </c>
      <c r="D20" t="s">
        <v>115</v>
      </c>
      <c r="E20" t="s">
        <v>115</v>
      </c>
      <c r="F20" t="s">
        <v>115</v>
      </c>
      <c r="G20" t="s">
        <v>115</v>
      </c>
      <c r="H20" t="s">
        <v>115</v>
      </c>
      <c r="I20" t="s">
        <v>115</v>
      </c>
      <c r="J20" t="s">
        <v>115</v>
      </c>
      <c r="K20" t="s">
        <v>115</v>
      </c>
      <c r="L20" t="s">
        <v>115</v>
      </c>
      <c r="M20" t="s">
        <v>115</v>
      </c>
      <c r="N20">
        <v>7.6</v>
      </c>
      <c r="O20">
        <v>7.05</v>
      </c>
      <c r="P20" t="s">
        <v>115</v>
      </c>
    </row>
    <row r="21" spans="1:16" x14ac:dyDescent="0.25">
      <c r="A21" s="1">
        <v>41653</v>
      </c>
      <c r="H21">
        <v>4.8099999999999996</v>
      </c>
      <c r="J21">
        <v>3.97</v>
      </c>
      <c r="L21">
        <v>2.4300000000000002</v>
      </c>
      <c r="N21" t="s">
        <v>177</v>
      </c>
      <c r="O21">
        <v>7.56</v>
      </c>
    </row>
    <row r="22" spans="1:16" x14ac:dyDescent="0.25">
      <c r="A22" s="1">
        <v>41670</v>
      </c>
      <c r="B22" t="s">
        <v>115</v>
      </c>
      <c r="C22" t="s">
        <v>115</v>
      </c>
      <c r="D22" t="s">
        <v>115</v>
      </c>
      <c r="E22" t="s">
        <v>115</v>
      </c>
      <c r="F22" t="s">
        <v>115</v>
      </c>
      <c r="G22" t="s">
        <v>115</v>
      </c>
      <c r="H22">
        <v>4.58</v>
      </c>
      <c r="I22" t="s">
        <v>115</v>
      </c>
      <c r="J22">
        <v>3.62</v>
      </c>
      <c r="K22" t="s">
        <v>115</v>
      </c>
      <c r="L22">
        <v>2.9</v>
      </c>
      <c r="M22" t="s">
        <v>115</v>
      </c>
      <c r="N22" t="s">
        <v>115</v>
      </c>
      <c r="O22">
        <v>7.55</v>
      </c>
    </row>
    <row r="23" spans="1:16" x14ac:dyDescent="0.25">
      <c r="A23" s="1">
        <v>41681</v>
      </c>
      <c r="B23" t="s">
        <v>115</v>
      </c>
      <c r="C23" t="s">
        <v>115</v>
      </c>
      <c r="D23" t="s">
        <v>115</v>
      </c>
      <c r="E23">
        <v>2.5</v>
      </c>
      <c r="F23" t="s">
        <v>115</v>
      </c>
      <c r="G23" t="s">
        <v>115</v>
      </c>
      <c r="H23" t="s">
        <v>115</v>
      </c>
      <c r="I23">
        <v>2.2999999999999998</v>
      </c>
      <c r="J23" t="s">
        <v>115</v>
      </c>
      <c r="K23">
        <v>3.7</v>
      </c>
      <c r="L23">
        <v>2.7</v>
      </c>
      <c r="N23" t="s">
        <v>177</v>
      </c>
      <c r="O23" t="s">
        <v>177</v>
      </c>
    </row>
    <row r="24" spans="1:16" x14ac:dyDescent="0.25">
      <c r="A24" s="1">
        <v>41684</v>
      </c>
      <c r="D24">
        <v>2.48</v>
      </c>
      <c r="G24">
        <v>4.1100000000000003</v>
      </c>
      <c r="J24">
        <v>1.88</v>
      </c>
      <c r="N24" t="s">
        <v>178</v>
      </c>
      <c r="O24" t="s">
        <v>179</v>
      </c>
    </row>
    <row r="25" spans="1:16" x14ac:dyDescent="0.25">
      <c r="A25" s="1">
        <v>41691</v>
      </c>
      <c r="B25" t="s">
        <v>115</v>
      </c>
      <c r="C25">
        <v>2.54</v>
      </c>
      <c r="D25">
        <v>2.4500000000000002</v>
      </c>
      <c r="E25" t="s">
        <v>115</v>
      </c>
      <c r="F25" t="s">
        <v>115</v>
      </c>
      <c r="G25">
        <v>3.45</v>
      </c>
      <c r="H25">
        <v>2.5499999999999998</v>
      </c>
      <c r="I25" t="s">
        <v>115</v>
      </c>
      <c r="J25">
        <v>1.57</v>
      </c>
      <c r="L25">
        <v>1.4</v>
      </c>
      <c r="M25" t="s">
        <v>115</v>
      </c>
      <c r="N25" t="s">
        <v>180</v>
      </c>
      <c r="O25" t="s">
        <v>181</v>
      </c>
    </row>
    <row r="26" spans="1:16" x14ac:dyDescent="0.25">
      <c r="A26" s="1">
        <v>41705</v>
      </c>
      <c r="B26">
        <v>3.06</v>
      </c>
      <c r="C26">
        <v>2.04</v>
      </c>
      <c r="D26">
        <v>1.66</v>
      </c>
      <c r="E26">
        <v>1.94</v>
      </c>
      <c r="F26">
        <v>2.73</v>
      </c>
      <c r="G26">
        <v>1.8</v>
      </c>
      <c r="H26">
        <v>2.09</v>
      </c>
      <c r="I26" t="s">
        <v>115</v>
      </c>
      <c r="J26">
        <v>1.47</v>
      </c>
      <c r="K26" t="s">
        <v>115</v>
      </c>
      <c r="L26">
        <v>1.42</v>
      </c>
      <c r="M26">
        <v>2.0299999999999998</v>
      </c>
      <c r="N26" t="s">
        <v>182</v>
      </c>
      <c r="O26" t="s">
        <v>183</v>
      </c>
    </row>
    <row r="27" spans="1:16" x14ac:dyDescent="0.25">
      <c r="A27" s="1">
        <v>41712</v>
      </c>
      <c r="B27">
        <v>3.11</v>
      </c>
      <c r="C27">
        <v>2.41</v>
      </c>
      <c r="D27">
        <v>1.84</v>
      </c>
      <c r="E27">
        <v>1.86</v>
      </c>
      <c r="F27">
        <v>2.63</v>
      </c>
      <c r="G27">
        <v>1.68</v>
      </c>
      <c r="H27">
        <v>2.0299999999999998</v>
      </c>
      <c r="I27">
        <v>2.37</v>
      </c>
      <c r="J27">
        <v>1.1599999999999999</v>
      </c>
      <c r="K27" t="s">
        <v>115</v>
      </c>
      <c r="L27">
        <v>1.39</v>
      </c>
      <c r="M27">
        <v>1.75</v>
      </c>
    </row>
    <row r="28" spans="1:16" x14ac:dyDescent="0.25">
      <c r="A28" s="1">
        <v>41718</v>
      </c>
      <c r="B28">
        <v>3.38</v>
      </c>
      <c r="C28">
        <v>3.15</v>
      </c>
      <c r="D28">
        <v>2.5</v>
      </c>
      <c r="E28">
        <v>3.09</v>
      </c>
      <c r="F28">
        <v>2.75</v>
      </c>
      <c r="G28">
        <v>1.78</v>
      </c>
      <c r="H28">
        <v>2.08</v>
      </c>
      <c r="I28" t="s">
        <v>115</v>
      </c>
      <c r="J28">
        <v>1.51</v>
      </c>
      <c r="K28" t="s">
        <v>115</v>
      </c>
      <c r="L28">
        <v>1.45</v>
      </c>
      <c r="M28">
        <v>2.6</v>
      </c>
    </row>
    <row r="29" spans="1:16" x14ac:dyDescent="0.25">
      <c r="A29" s="1">
        <v>41747</v>
      </c>
      <c r="B29" t="s">
        <v>115</v>
      </c>
      <c r="C29" t="s">
        <v>115</v>
      </c>
      <c r="D29">
        <v>3.7</v>
      </c>
      <c r="E29" t="s">
        <v>115</v>
      </c>
      <c r="F29" t="s">
        <v>115</v>
      </c>
      <c r="G29">
        <v>2.4500000000000002</v>
      </c>
      <c r="H29">
        <v>3.2</v>
      </c>
      <c r="I29" t="s">
        <v>115</v>
      </c>
      <c r="J29">
        <v>1.3</v>
      </c>
      <c r="K29" t="s">
        <v>115</v>
      </c>
      <c r="L29">
        <v>1.45</v>
      </c>
      <c r="M29" t="s">
        <v>115</v>
      </c>
    </row>
    <row r="31" spans="1:16" x14ac:dyDescent="0.25">
      <c r="A31" t="s">
        <v>184</v>
      </c>
      <c r="B31" t="s">
        <v>6</v>
      </c>
      <c r="C31" t="s">
        <v>7</v>
      </c>
      <c r="D31" t="s">
        <v>8</v>
      </c>
      <c r="E31" t="s">
        <v>9</v>
      </c>
      <c r="F31" t="s">
        <v>10</v>
      </c>
      <c r="G31" t="s">
        <v>2</v>
      </c>
      <c r="H31" t="s">
        <v>3</v>
      </c>
      <c r="I31" t="s">
        <v>11</v>
      </c>
      <c r="J31" t="s">
        <v>12</v>
      </c>
      <c r="K31" t="s">
        <v>13</v>
      </c>
      <c r="L31" t="s">
        <v>14</v>
      </c>
      <c r="M31" t="s">
        <v>15</v>
      </c>
    </row>
    <row r="32" spans="1:16" x14ac:dyDescent="0.25">
      <c r="A32" s="1">
        <v>40882</v>
      </c>
      <c r="B32" s="9">
        <v>1.3</v>
      </c>
      <c r="C32" s="9">
        <v>1.2</v>
      </c>
      <c r="D32" s="9">
        <v>1.36</v>
      </c>
      <c r="E32" s="9">
        <v>1</v>
      </c>
      <c r="F32" s="9">
        <v>1.45</v>
      </c>
      <c r="G32" s="9">
        <v>1.4</v>
      </c>
      <c r="H32" s="9">
        <v>1.5</v>
      </c>
      <c r="I32" s="9">
        <v>1.3</v>
      </c>
      <c r="J32" s="9">
        <v>0.7</v>
      </c>
      <c r="K32" s="9">
        <v>1</v>
      </c>
      <c r="L32" s="9">
        <v>1</v>
      </c>
      <c r="M32" s="9">
        <v>1.1000000000000001</v>
      </c>
    </row>
    <row r="33" spans="1:28" x14ac:dyDescent="0.25">
      <c r="A33" s="1">
        <v>40920</v>
      </c>
      <c r="B33">
        <v>1.3</v>
      </c>
      <c r="C33" s="9">
        <v>1.2</v>
      </c>
      <c r="D33">
        <v>1.36</v>
      </c>
      <c r="E33">
        <v>1</v>
      </c>
      <c r="F33">
        <v>1.45</v>
      </c>
      <c r="G33">
        <v>1.4</v>
      </c>
      <c r="H33">
        <v>1.5</v>
      </c>
      <c r="I33" s="9">
        <v>1.3</v>
      </c>
      <c r="J33">
        <v>0.7</v>
      </c>
      <c r="K33" s="9">
        <v>1</v>
      </c>
      <c r="L33">
        <v>1</v>
      </c>
      <c r="M33">
        <v>1.1000000000000001</v>
      </c>
    </row>
    <row r="34" spans="1:28" x14ac:dyDescent="0.25">
      <c r="A34" s="1">
        <v>41037</v>
      </c>
      <c r="B34">
        <v>1.5</v>
      </c>
      <c r="C34">
        <v>1.3</v>
      </c>
      <c r="D34">
        <v>1.5</v>
      </c>
      <c r="E34">
        <v>1.7</v>
      </c>
      <c r="F34">
        <v>1.3</v>
      </c>
      <c r="G34">
        <v>1.5</v>
      </c>
      <c r="H34">
        <v>1.6</v>
      </c>
      <c r="I34">
        <v>1.4</v>
      </c>
      <c r="J34">
        <v>0.8</v>
      </c>
      <c r="K34">
        <v>1.1000000000000001</v>
      </c>
      <c r="L34">
        <v>1.2</v>
      </c>
      <c r="M34">
        <v>1.4</v>
      </c>
    </row>
    <row r="35" spans="1:28" x14ac:dyDescent="0.25">
      <c r="A35" s="1">
        <v>41283</v>
      </c>
      <c r="B35">
        <v>1.4375</v>
      </c>
      <c r="C35">
        <v>1.5</v>
      </c>
      <c r="D35">
        <v>1.4583333333333333</v>
      </c>
      <c r="E35">
        <v>1.625</v>
      </c>
      <c r="F35">
        <v>1.2083333333333333</v>
      </c>
      <c r="G35">
        <v>1.5416666666666667</v>
      </c>
      <c r="H35">
        <v>1.62</v>
      </c>
      <c r="I35">
        <v>1.45</v>
      </c>
      <c r="J35">
        <v>0.83333333333333337</v>
      </c>
      <c r="K35">
        <v>1.18</v>
      </c>
      <c r="L35">
        <v>1.125</v>
      </c>
      <c r="M35">
        <v>1.2916666666666667</v>
      </c>
    </row>
    <row r="36" spans="1:28" x14ac:dyDescent="0.25">
      <c r="A36" s="1">
        <v>41361</v>
      </c>
      <c r="B36">
        <v>1.64</v>
      </c>
      <c r="C36">
        <v>1.61</v>
      </c>
      <c r="D36">
        <v>1.77</v>
      </c>
      <c r="E36">
        <v>1.62</v>
      </c>
      <c r="F36">
        <v>1.38</v>
      </c>
      <c r="G36">
        <v>1.7</v>
      </c>
      <c r="H36">
        <v>1.81</v>
      </c>
      <c r="I36">
        <v>1.58</v>
      </c>
      <c r="J36">
        <v>0.99</v>
      </c>
      <c r="K36">
        <v>1.33</v>
      </c>
      <c r="L36">
        <v>1.32</v>
      </c>
      <c r="M36">
        <v>1.62</v>
      </c>
    </row>
    <row r="37" spans="1:28" x14ac:dyDescent="0.25">
      <c r="A37" s="1">
        <v>41730</v>
      </c>
      <c r="B37" s="9">
        <v>1.64</v>
      </c>
      <c r="C37" s="9">
        <v>1.61</v>
      </c>
      <c r="D37" s="9">
        <v>1.77</v>
      </c>
      <c r="E37" s="9">
        <v>1.62</v>
      </c>
      <c r="F37" s="9">
        <v>1.38</v>
      </c>
      <c r="G37" s="9">
        <v>1.7</v>
      </c>
      <c r="H37" s="9">
        <v>1.81</v>
      </c>
      <c r="I37" s="9">
        <v>1.58</v>
      </c>
      <c r="J37" s="9">
        <v>0.99</v>
      </c>
      <c r="K37" s="9">
        <v>1.33</v>
      </c>
      <c r="L37" s="9">
        <v>1.32</v>
      </c>
      <c r="M37" s="9">
        <v>1.62</v>
      </c>
    </row>
    <row r="38" spans="1:28" x14ac:dyDescent="0.25">
      <c r="A38" t="s">
        <v>185</v>
      </c>
    </row>
    <row r="39" spans="1:28" x14ac:dyDescent="0.25">
      <c r="A39" s="1">
        <v>40882</v>
      </c>
      <c r="B39">
        <f t="shared" ref="B39:M39" si="0">B33+Q52</f>
        <v>3.2166666666666668</v>
      </c>
      <c r="C39" s="9">
        <f t="shared" si="0"/>
        <v>3.8666666666666663</v>
      </c>
      <c r="D39">
        <f t="shared" si="0"/>
        <v>4.2766666666666664</v>
      </c>
      <c r="E39">
        <f t="shared" si="0"/>
        <v>2.833333333333333</v>
      </c>
      <c r="F39">
        <f t="shared" si="0"/>
        <v>4.1166666666666663</v>
      </c>
      <c r="G39">
        <f t="shared" si="0"/>
        <v>4.4000000000000004</v>
      </c>
      <c r="H39">
        <f t="shared" si="0"/>
        <v>5.3333333333333339</v>
      </c>
      <c r="I39" s="9">
        <f t="shared" si="0"/>
        <v>3.7166666666666668</v>
      </c>
      <c r="J39">
        <f t="shared" si="0"/>
        <v>4.0333333333333332</v>
      </c>
      <c r="K39" s="9">
        <f t="shared" si="0"/>
        <v>3.6666666666666665</v>
      </c>
      <c r="L39">
        <f t="shared" si="0"/>
        <v>4</v>
      </c>
      <c r="M39">
        <f t="shared" si="0"/>
        <v>3.6</v>
      </c>
    </row>
    <row r="40" spans="1:28" x14ac:dyDescent="0.25">
      <c r="A40" s="1">
        <v>40920</v>
      </c>
      <c r="B40">
        <v>3.2166666666666668</v>
      </c>
      <c r="C40">
        <v>3.8666666666666663</v>
      </c>
      <c r="D40">
        <v>4.2766666666666664</v>
      </c>
      <c r="E40">
        <v>2.833333333333333</v>
      </c>
      <c r="F40">
        <v>4.1166666666666663</v>
      </c>
      <c r="G40">
        <v>4.4000000000000004</v>
      </c>
      <c r="H40">
        <v>5.3333333333333339</v>
      </c>
      <c r="I40">
        <v>3.7166666666666668</v>
      </c>
      <c r="J40">
        <v>4.0333333333333332</v>
      </c>
      <c r="K40">
        <v>3.6666666666666665</v>
      </c>
      <c r="L40">
        <v>4</v>
      </c>
      <c r="M40">
        <v>3.6</v>
      </c>
    </row>
    <row r="41" spans="1:28" x14ac:dyDescent="0.25">
      <c r="A41" s="1">
        <v>41037</v>
      </c>
      <c r="B41">
        <f t="shared" ref="B41:M41" si="1">Q52+B34</f>
        <v>3.416666666666667</v>
      </c>
      <c r="C41">
        <f t="shared" si="1"/>
        <v>3.9666666666666668</v>
      </c>
      <c r="D41">
        <f t="shared" si="1"/>
        <v>4.4166666666666661</v>
      </c>
      <c r="E41">
        <f t="shared" si="1"/>
        <v>3.5333333333333332</v>
      </c>
      <c r="F41">
        <f t="shared" si="1"/>
        <v>3.9666666666666668</v>
      </c>
      <c r="G41">
        <f t="shared" si="1"/>
        <v>4.5</v>
      </c>
      <c r="H41">
        <f t="shared" si="1"/>
        <v>5.4333333333333336</v>
      </c>
      <c r="I41">
        <f t="shared" si="1"/>
        <v>3.8166666666666664</v>
      </c>
      <c r="J41">
        <f t="shared" si="1"/>
        <v>4.1333333333333337</v>
      </c>
      <c r="K41">
        <f t="shared" si="1"/>
        <v>3.7666666666666666</v>
      </c>
      <c r="L41">
        <f t="shared" si="1"/>
        <v>4.2</v>
      </c>
      <c r="M41">
        <f t="shared" si="1"/>
        <v>3.9</v>
      </c>
    </row>
    <row r="42" spans="1:28" x14ac:dyDescent="0.25">
      <c r="A42" s="1">
        <v>41283</v>
      </c>
      <c r="B42">
        <f>B41-(B34-B35)</f>
        <v>3.354166666666667</v>
      </c>
      <c r="C42">
        <f t="shared" ref="C42:M42" si="2">C41-(C34-C35)</f>
        <v>4.166666666666667</v>
      </c>
      <c r="D42">
        <f t="shared" si="2"/>
        <v>4.3749999999999991</v>
      </c>
      <c r="E42">
        <f t="shared" si="2"/>
        <v>3.458333333333333</v>
      </c>
      <c r="F42">
        <f t="shared" si="2"/>
        <v>3.875</v>
      </c>
      <c r="G42">
        <f t="shared" si="2"/>
        <v>4.541666666666667</v>
      </c>
      <c r="H42">
        <f t="shared" si="2"/>
        <v>5.4533333333333331</v>
      </c>
      <c r="I42">
        <f t="shared" si="2"/>
        <v>3.8666666666666663</v>
      </c>
      <c r="J42">
        <f t="shared" si="2"/>
        <v>4.166666666666667</v>
      </c>
      <c r="K42">
        <f t="shared" si="2"/>
        <v>3.8466666666666667</v>
      </c>
      <c r="L42">
        <f t="shared" si="2"/>
        <v>4.125</v>
      </c>
      <c r="M42">
        <f t="shared" si="2"/>
        <v>3.791666666666667</v>
      </c>
    </row>
    <row r="43" spans="1:28" x14ac:dyDescent="0.25">
      <c r="A43" s="1">
        <v>41361</v>
      </c>
      <c r="B43">
        <v>3.5</v>
      </c>
      <c r="C43">
        <v>4.16</v>
      </c>
      <c r="D43">
        <v>4.4400000000000004</v>
      </c>
      <c r="E43">
        <v>3.57</v>
      </c>
      <c r="F43">
        <v>3.87</v>
      </c>
      <c r="G43">
        <v>4.5</v>
      </c>
      <c r="H43">
        <v>5.29</v>
      </c>
      <c r="I43">
        <v>3.85</v>
      </c>
      <c r="J43">
        <v>4.18</v>
      </c>
      <c r="K43">
        <v>3.57</v>
      </c>
      <c r="L43">
        <v>3.39</v>
      </c>
      <c r="M43">
        <v>3.57</v>
      </c>
    </row>
    <row r="44" spans="1:28" x14ac:dyDescent="0.25">
      <c r="A44" s="1">
        <v>41730</v>
      </c>
      <c r="B44" s="9">
        <v>3.5</v>
      </c>
      <c r="C44" s="9">
        <v>4.16</v>
      </c>
      <c r="D44" s="9">
        <v>4.4400000000000004</v>
      </c>
      <c r="E44" s="9">
        <v>3.57</v>
      </c>
      <c r="F44" s="9">
        <v>3.87</v>
      </c>
      <c r="G44" s="9">
        <v>4.5</v>
      </c>
      <c r="H44" s="9">
        <v>5.29</v>
      </c>
      <c r="I44" s="9">
        <v>3.85</v>
      </c>
      <c r="J44" s="9">
        <v>4.18</v>
      </c>
      <c r="K44" s="9">
        <v>3.57</v>
      </c>
      <c r="L44" s="9">
        <v>3.39</v>
      </c>
      <c r="M44" s="9">
        <v>3.57</v>
      </c>
    </row>
    <row r="46" spans="1:28" x14ac:dyDescent="0.25">
      <c r="A46" t="s">
        <v>186</v>
      </c>
    </row>
    <row r="47" spans="1:28" x14ac:dyDescent="0.25">
      <c r="A47" s="1">
        <v>40882</v>
      </c>
      <c r="B47">
        <f t="shared" ref="B47:M52" si="3">B39-B32</f>
        <v>1.9166666666666667</v>
      </c>
      <c r="C47">
        <f t="shared" si="3"/>
        <v>2.6666666666666661</v>
      </c>
      <c r="D47">
        <f t="shared" si="3"/>
        <v>2.9166666666666661</v>
      </c>
      <c r="E47">
        <f t="shared" si="3"/>
        <v>1.833333333333333</v>
      </c>
      <c r="F47">
        <f t="shared" si="3"/>
        <v>2.6666666666666661</v>
      </c>
      <c r="G47">
        <f t="shared" si="3"/>
        <v>3.0000000000000004</v>
      </c>
      <c r="H47">
        <f t="shared" si="3"/>
        <v>3.8333333333333339</v>
      </c>
      <c r="I47">
        <f t="shared" si="3"/>
        <v>2.416666666666667</v>
      </c>
      <c r="J47">
        <f t="shared" si="3"/>
        <v>3.333333333333333</v>
      </c>
      <c r="K47">
        <f t="shared" si="3"/>
        <v>2.6666666666666665</v>
      </c>
      <c r="L47">
        <f t="shared" si="3"/>
        <v>3</v>
      </c>
      <c r="M47">
        <f t="shared" si="3"/>
        <v>2.5</v>
      </c>
      <c r="Q47">
        <f t="shared" ref="Q47:AB47" si="4">B43-B36</f>
        <v>1.86</v>
      </c>
      <c r="R47">
        <f t="shared" si="4"/>
        <v>2.5499999999999998</v>
      </c>
      <c r="S47">
        <f t="shared" si="4"/>
        <v>2.6700000000000004</v>
      </c>
      <c r="T47">
        <f t="shared" si="4"/>
        <v>1.9499999999999997</v>
      </c>
      <c r="U47">
        <f t="shared" si="4"/>
        <v>2.4900000000000002</v>
      </c>
      <c r="V47">
        <f t="shared" si="4"/>
        <v>2.8</v>
      </c>
      <c r="W47">
        <f t="shared" si="4"/>
        <v>3.48</v>
      </c>
      <c r="X47">
        <f t="shared" si="4"/>
        <v>2.27</v>
      </c>
      <c r="Y47">
        <f t="shared" si="4"/>
        <v>3.1899999999999995</v>
      </c>
      <c r="Z47">
        <f t="shared" si="4"/>
        <v>2.2399999999999998</v>
      </c>
      <c r="AA47">
        <f t="shared" si="4"/>
        <v>2.0700000000000003</v>
      </c>
      <c r="AB47">
        <f t="shared" si="4"/>
        <v>1.9499999999999997</v>
      </c>
    </row>
    <row r="48" spans="1:28" x14ac:dyDescent="0.25">
      <c r="A48" s="1">
        <v>40920</v>
      </c>
      <c r="B48">
        <f t="shared" si="3"/>
        <v>1.9166666666666667</v>
      </c>
      <c r="C48">
        <f t="shared" si="3"/>
        <v>2.6666666666666661</v>
      </c>
      <c r="D48">
        <f t="shared" si="3"/>
        <v>2.9166666666666661</v>
      </c>
      <c r="E48">
        <f t="shared" si="3"/>
        <v>1.833333333333333</v>
      </c>
      <c r="F48">
        <f t="shared" si="3"/>
        <v>2.6666666666666661</v>
      </c>
      <c r="G48">
        <f t="shared" si="3"/>
        <v>3.0000000000000004</v>
      </c>
      <c r="H48">
        <f t="shared" si="3"/>
        <v>3.8333333333333339</v>
      </c>
      <c r="I48">
        <f t="shared" si="3"/>
        <v>2.416666666666667</v>
      </c>
      <c r="J48">
        <f t="shared" si="3"/>
        <v>3.333333333333333</v>
      </c>
      <c r="K48">
        <f t="shared" si="3"/>
        <v>2.6666666666666665</v>
      </c>
      <c r="L48">
        <f t="shared" si="3"/>
        <v>3</v>
      </c>
      <c r="M48">
        <f t="shared" si="3"/>
        <v>2.5</v>
      </c>
    </row>
    <row r="49" spans="1:28" x14ac:dyDescent="0.25">
      <c r="A49" s="1">
        <v>41037</v>
      </c>
      <c r="B49">
        <f t="shared" si="3"/>
        <v>1.916666666666667</v>
      </c>
      <c r="C49">
        <f t="shared" si="3"/>
        <v>2.666666666666667</v>
      </c>
      <c r="D49">
        <f t="shared" si="3"/>
        <v>2.9166666666666661</v>
      </c>
      <c r="E49">
        <f t="shared" si="3"/>
        <v>1.8333333333333333</v>
      </c>
      <c r="F49">
        <f t="shared" si="3"/>
        <v>2.666666666666667</v>
      </c>
      <c r="G49">
        <f t="shared" si="3"/>
        <v>3</v>
      </c>
      <c r="H49">
        <f t="shared" si="3"/>
        <v>3.8333333333333335</v>
      </c>
      <c r="I49">
        <f t="shared" si="3"/>
        <v>2.4166666666666665</v>
      </c>
      <c r="J49">
        <f t="shared" si="3"/>
        <v>3.3333333333333339</v>
      </c>
      <c r="K49">
        <f t="shared" si="3"/>
        <v>2.6666666666666665</v>
      </c>
      <c r="L49">
        <f t="shared" si="3"/>
        <v>3</v>
      </c>
      <c r="M49">
        <f t="shared" si="3"/>
        <v>2.5</v>
      </c>
    </row>
    <row r="50" spans="1:28" x14ac:dyDescent="0.25">
      <c r="A50" s="1">
        <v>41283</v>
      </c>
      <c r="B50">
        <f>B42-B35</f>
        <v>1.916666666666667</v>
      </c>
      <c r="C50">
        <f t="shared" si="3"/>
        <v>2.666666666666667</v>
      </c>
      <c r="D50">
        <f t="shared" si="3"/>
        <v>2.9166666666666661</v>
      </c>
      <c r="E50">
        <f t="shared" si="3"/>
        <v>1.833333333333333</v>
      </c>
      <c r="F50">
        <f t="shared" si="3"/>
        <v>2.666666666666667</v>
      </c>
      <c r="G50">
        <f t="shared" si="3"/>
        <v>3</v>
      </c>
      <c r="H50">
        <f t="shared" si="3"/>
        <v>3.833333333333333</v>
      </c>
      <c r="I50">
        <f t="shared" si="3"/>
        <v>2.4166666666666661</v>
      </c>
      <c r="J50">
        <f t="shared" si="3"/>
        <v>3.3333333333333335</v>
      </c>
      <c r="K50">
        <f t="shared" si="3"/>
        <v>2.666666666666667</v>
      </c>
      <c r="L50">
        <f t="shared" si="3"/>
        <v>3</v>
      </c>
      <c r="M50">
        <f t="shared" si="3"/>
        <v>2.5</v>
      </c>
    </row>
    <row r="51" spans="1:28" x14ac:dyDescent="0.25">
      <c r="A51" s="1">
        <v>41361</v>
      </c>
      <c r="B51">
        <f>B43-B36</f>
        <v>1.86</v>
      </c>
      <c r="C51">
        <f t="shared" si="3"/>
        <v>2.5499999999999998</v>
      </c>
      <c r="D51">
        <f t="shared" si="3"/>
        <v>2.6700000000000004</v>
      </c>
      <c r="E51">
        <f t="shared" si="3"/>
        <v>1.9499999999999997</v>
      </c>
      <c r="F51">
        <f t="shared" si="3"/>
        <v>2.4900000000000002</v>
      </c>
      <c r="G51">
        <f t="shared" si="3"/>
        <v>2.8</v>
      </c>
      <c r="H51">
        <f t="shared" si="3"/>
        <v>3.48</v>
      </c>
      <c r="I51">
        <f t="shared" si="3"/>
        <v>2.27</v>
      </c>
      <c r="J51">
        <f t="shared" si="3"/>
        <v>3.1899999999999995</v>
      </c>
      <c r="K51">
        <f t="shared" si="3"/>
        <v>2.2399999999999998</v>
      </c>
      <c r="L51">
        <f t="shared" si="3"/>
        <v>2.0700000000000003</v>
      </c>
      <c r="M51">
        <f t="shared" si="3"/>
        <v>1.9499999999999997</v>
      </c>
    </row>
    <row r="52" spans="1:28" x14ac:dyDescent="0.25">
      <c r="A52" s="1">
        <v>41730</v>
      </c>
      <c r="B52">
        <f>B44-B37</f>
        <v>1.86</v>
      </c>
      <c r="C52">
        <f t="shared" si="3"/>
        <v>2.5499999999999998</v>
      </c>
      <c r="D52">
        <f t="shared" si="3"/>
        <v>2.6700000000000004</v>
      </c>
      <c r="E52">
        <f t="shared" si="3"/>
        <v>1.9499999999999997</v>
      </c>
      <c r="F52">
        <f t="shared" si="3"/>
        <v>2.4900000000000002</v>
      </c>
      <c r="G52">
        <f t="shared" si="3"/>
        <v>2.8</v>
      </c>
      <c r="H52">
        <f t="shared" si="3"/>
        <v>3.48</v>
      </c>
      <c r="I52">
        <f t="shared" si="3"/>
        <v>2.27</v>
      </c>
      <c r="J52">
        <f t="shared" si="3"/>
        <v>3.1899999999999995</v>
      </c>
      <c r="K52">
        <f t="shared" si="3"/>
        <v>2.2399999999999998</v>
      </c>
      <c r="L52">
        <f t="shared" si="3"/>
        <v>2.0700000000000003</v>
      </c>
      <c r="M52">
        <f t="shared" si="3"/>
        <v>1.9499999999999997</v>
      </c>
      <c r="P52" s="1" t="s">
        <v>187</v>
      </c>
      <c r="Q52">
        <v>1.9166666666666667</v>
      </c>
      <c r="R52">
        <v>2.6666666666666665</v>
      </c>
      <c r="S52">
        <v>2.9166666666666665</v>
      </c>
      <c r="T52">
        <v>1.8333333333333333</v>
      </c>
      <c r="U52">
        <v>2.6666666666666665</v>
      </c>
      <c r="V52">
        <v>3</v>
      </c>
      <c r="W52">
        <v>3.8333333333333335</v>
      </c>
      <c r="X52">
        <v>2.4166666666666665</v>
      </c>
      <c r="Y52">
        <v>3.3333333333333335</v>
      </c>
      <c r="Z52">
        <v>2.6666666666666665</v>
      </c>
      <c r="AA52">
        <v>3</v>
      </c>
      <c r="AB52">
        <v>2.5</v>
      </c>
    </row>
    <row r="53" spans="1:28" x14ac:dyDescent="0.25">
      <c r="B53">
        <f>CONVERT(B52,"ft","cm")</f>
        <v>56.692799999999998</v>
      </c>
      <c r="C53">
        <f t="shared" ref="C53:M53" si="5">CONVERT(C52,"ft","cm")</f>
        <v>77.72399999999999</v>
      </c>
      <c r="D53">
        <f t="shared" si="5"/>
        <v>81.381600000000006</v>
      </c>
      <c r="E53">
        <f t="shared" si="5"/>
        <v>59.435999999999986</v>
      </c>
      <c r="F53">
        <f t="shared" si="5"/>
        <v>75.895200000000003</v>
      </c>
      <c r="G53">
        <f t="shared" si="5"/>
        <v>85.34399999999998</v>
      </c>
      <c r="H53">
        <f t="shared" si="5"/>
        <v>106.07040000000001</v>
      </c>
      <c r="I53">
        <f t="shared" si="5"/>
        <v>69.189599999999999</v>
      </c>
      <c r="J53">
        <f t="shared" si="5"/>
        <v>97.231199999999987</v>
      </c>
      <c r="K53">
        <f t="shared" si="5"/>
        <v>68.275199999999998</v>
      </c>
      <c r="L53">
        <f t="shared" si="5"/>
        <v>63.093600000000002</v>
      </c>
      <c r="M53">
        <f t="shared" si="5"/>
        <v>59.435999999999986</v>
      </c>
    </row>
    <row r="54" spans="1:28" x14ac:dyDescent="0.25">
      <c r="A54" s="31" t="s">
        <v>188</v>
      </c>
      <c r="P54" s="31" t="s">
        <v>189</v>
      </c>
    </row>
    <row r="55" spans="1:28" x14ac:dyDescent="0.25">
      <c r="A55" s="33"/>
      <c r="B55" s="33" t="s">
        <v>6</v>
      </c>
      <c r="C55" s="33" t="s">
        <v>7</v>
      </c>
      <c r="D55" s="33" t="s">
        <v>8</v>
      </c>
      <c r="E55" s="33" t="s">
        <v>9</v>
      </c>
      <c r="F55" s="33" t="s">
        <v>10</v>
      </c>
      <c r="G55" s="33" t="s">
        <v>2</v>
      </c>
      <c r="H55" s="33" t="s">
        <v>3</v>
      </c>
      <c r="I55" s="33" t="s">
        <v>11</v>
      </c>
      <c r="J55" s="33" t="s">
        <v>12</v>
      </c>
      <c r="K55" s="33" t="s">
        <v>13</v>
      </c>
      <c r="L55" s="33" t="s">
        <v>14</v>
      </c>
      <c r="M55" s="33" t="s">
        <v>15</v>
      </c>
      <c r="P55" s="33" t="s">
        <v>37</v>
      </c>
      <c r="Q55" s="33" t="s">
        <v>6</v>
      </c>
      <c r="R55" s="33" t="s">
        <v>7</v>
      </c>
      <c r="S55" s="33" t="s">
        <v>8</v>
      </c>
      <c r="T55" s="33" t="s">
        <v>9</v>
      </c>
      <c r="U55" s="33" t="s">
        <v>10</v>
      </c>
      <c r="V55" s="33" t="s">
        <v>2</v>
      </c>
      <c r="W55" s="33" t="s">
        <v>3</v>
      </c>
      <c r="X55" s="33" t="s">
        <v>11</v>
      </c>
      <c r="Y55" s="33" t="s">
        <v>12</v>
      </c>
      <c r="Z55" s="33" t="s">
        <v>13</v>
      </c>
      <c r="AA55" s="33" t="s">
        <v>14</v>
      </c>
      <c r="AB55" s="33" t="s">
        <v>15</v>
      </c>
    </row>
    <row r="56" spans="1:28" x14ac:dyDescent="0.25">
      <c r="A56" s="34">
        <v>40948</v>
      </c>
      <c r="B56" s="33">
        <f t="shared" ref="B56:M61" si="6">IF(B2="","",IF(IF(B2="dry",B$48,B2-B$33)&lt;0,0,IF(B2="dry",B$48,B2-B$33)))</f>
        <v>1.9166666666666667</v>
      </c>
      <c r="C56" s="33" t="str">
        <f t="shared" si="6"/>
        <v/>
      </c>
      <c r="D56" s="33" t="str">
        <f t="shared" si="6"/>
        <v/>
      </c>
      <c r="E56" s="33">
        <f t="shared" si="6"/>
        <v>1.833333333333333</v>
      </c>
      <c r="F56" s="33">
        <f t="shared" si="6"/>
        <v>2.6666666666666661</v>
      </c>
      <c r="G56" s="33" t="str">
        <f t="shared" si="6"/>
        <v/>
      </c>
      <c r="H56" s="33" t="str">
        <f t="shared" si="6"/>
        <v/>
      </c>
      <c r="I56" s="33" t="str">
        <f t="shared" si="6"/>
        <v/>
      </c>
      <c r="J56" s="33" t="str">
        <f t="shared" si="6"/>
        <v/>
      </c>
      <c r="K56" s="33" t="str">
        <f t="shared" si="6"/>
        <v/>
      </c>
      <c r="L56" s="33" t="str">
        <f t="shared" si="6"/>
        <v/>
      </c>
      <c r="M56" s="33">
        <f t="shared" si="6"/>
        <v>2.2999999999999998</v>
      </c>
      <c r="P56" s="34">
        <v>40948</v>
      </c>
      <c r="Q56" s="35">
        <f>IF(B56="","",MAX(0,B$48-B56))</f>
        <v>0</v>
      </c>
      <c r="R56" s="35" t="str">
        <f t="shared" ref="R56:AB61" si="7">IF(C56="","",MAX(0,C$48-C56))</f>
        <v/>
      </c>
      <c r="S56" s="35" t="str">
        <f t="shared" si="7"/>
        <v/>
      </c>
      <c r="T56" s="35">
        <f t="shared" si="7"/>
        <v>0</v>
      </c>
      <c r="U56" s="35">
        <f t="shared" si="7"/>
        <v>0</v>
      </c>
      <c r="V56" s="35" t="str">
        <f t="shared" si="7"/>
        <v/>
      </c>
      <c r="W56" s="35" t="str">
        <f t="shared" si="7"/>
        <v/>
      </c>
      <c r="X56" s="35" t="str">
        <f t="shared" si="7"/>
        <v/>
      </c>
      <c r="Y56" s="35" t="str">
        <f t="shared" si="7"/>
        <v/>
      </c>
      <c r="Z56" s="35" t="str">
        <f t="shared" si="7"/>
        <v/>
      </c>
      <c r="AA56" s="35" t="str">
        <f t="shared" si="7"/>
        <v/>
      </c>
      <c r="AB56" s="35">
        <f t="shared" si="7"/>
        <v>0.20000000000000018</v>
      </c>
    </row>
    <row r="57" spans="1:28" x14ac:dyDescent="0.25">
      <c r="A57" s="34">
        <v>40949</v>
      </c>
      <c r="B57" s="33">
        <f t="shared" si="6"/>
        <v>1.9166666666666667</v>
      </c>
      <c r="C57" s="33">
        <f t="shared" si="6"/>
        <v>2.6666666666666661</v>
      </c>
      <c r="D57" s="33">
        <f t="shared" si="6"/>
        <v>2.9399999999999995</v>
      </c>
      <c r="E57" s="33" t="str">
        <f t="shared" si="6"/>
        <v/>
      </c>
      <c r="F57" s="33">
        <f t="shared" si="6"/>
        <v>2.6666666666666661</v>
      </c>
      <c r="G57" s="33" t="str">
        <f t="shared" si="6"/>
        <v/>
      </c>
      <c r="H57" s="33">
        <f t="shared" si="6"/>
        <v>0.83999999999999986</v>
      </c>
      <c r="I57" s="33">
        <f t="shared" si="6"/>
        <v>2.416666666666667</v>
      </c>
      <c r="J57" s="33">
        <f t="shared" si="6"/>
        <v>0.28000000000000003</v>
      </c>
      <c r="K57" s="33">
        <f t="shared" si="6"/>
        <v>2.6666666666666665</v>
      </c>
      <c r="L57" s="33">
        <f t="shared" si="6"/>
        <v>4.0000000000000036E-2</v>
      </c>
      <c r="M57" s="33">
        <f t="shared" si="6"/>
        <v>1.83</v>
      </c>
      <c r="P57" s="34">
        <v>40949</v>
      </c>
      <c r="Q57" s="35">
        <f t="shared" ref="Q57:Q61" si="8">IF(B57="","",MAX(0,B$48-B57))</f>
        <v>0</v>
      </c>
      <c r="R57" s="35">
        <f t="shared" si="7"/>
        <v>0</v>
      </c>
      <c r="S57" s="35">
        <f t="shared" si="7"/>
        <v>0</v>
      </c>
      <c r="T57" s="35" t="str">
        <f t="shared" si="7"/>
        <v/>
      </c>
      <c r="U57" s="35">
        <f t="shared" si="7"/>
        <v>0</v>
      </c>
      <c r="V57" s="35" t="str">
        <f t="shared" si="7"/>
        <v/>
      </c>
      <c r="W57" s="35">
        <f t="shared" si="7"/>
        <v>2.9933333333333341</v>
      </c>
      <c r="X57" s="35">
        <f t="shared" si="7"/>
        <v>0</v>
      </c>
      <c r="Y57" s="35">
        <f t="shared" si="7"/>
        <v>3.0533333333333328</v>
      </c>
      <c r="Z57" s="35">
        <f t="shared" si="7"/>
        <v>0</v>
      </c>
      <c r="AA57" s="35">
        <f t="shared" si="7"/>
        <v>2.96</v>
      </c>
      <c r="AB57" s="35">
        <f t="shared" si="7"/>
        <v>0.66999999999999993</v>
      </c>
    </row>
    <row r="58" spans="1:28" x14ac:dyDescent="0.25">
      <c r="A58" s="34">
        <v>40969</v>
      </c>
      <c r="B58" s="33">
        <f t="shared" si="6"/>
        <v>1.9166666666666667</v>
      </c>
      <c r="C58" s="33">
        <f t="shared" si="6"/>
        <v>2</v>
      </c>
      <c r="D58" s="33">
        <f t="shared" si="6"/>
        <v>0.33999999999999986</v>
      </c>
      <c r="E58" s="33">
        <f t="shared" si="6"/>
        <v>2.4</v>
      </c>
      <c r="F58" s="33">
        <f t="shared" si="6"/>
        <v>0.55000000000000004</v>
      </c>
      <c r="G58" s="33">
        <f t="shared" si="6"/>
        <v>0.45000000000000018</v>
      </c>
      <c r="H58" s="33">
        <f t="shared" si="6"/>
        <v>0.70000000000000018</v>
      </c>
      <c r="I58" s="33">
        <f t="shared" si="6"/>
        <v>2.416666666666667</v>
      </c>
      <c r="J58" s="33">
        <f t="shared" si="6"/>
        <v>0.5</v>
      </c>
      <c r="K58" s="33">
        <f t="shared" si="6"/>
        <v>2.6666666666666665</v>
      </c>
      <c r="L58" s="33" t="str">
        <f t="shared" si="6"/>
        <v/>
      </c>
      <c r="M58" s="33">
        <f t="shared" si="6"/>
        <v>1.1000000000000001</v>
      </c>
      <c r="P58" s="34">
        <v>40969</v>
      </c>
      <c r="Q58" s="35">
        <f t="shared" si="8"/>
        <v>0</v>
      </c>
      <c r="R58" s="35">
        <f t="shared" si="7"/>
        <v>0.66666666666666607</v>
      </c>
      <c r="S58" s="35">
        <f t="shared" si="7"/>
        <v>2.5766666666666662</v>
      </c>
      <c r="T58" s="35">
        <f t="shared" si="7"/>
        <v>0</v>
      </c>
      <c r="U58" s="35">
        <f t="shared" si="7"/>
        <v>2.1166666666666663</v>
      </c>
      <c r="V58" s="35">
        <f t="shared" si="7"/>
        <v>2.5500000000000003</v>
      </c>
      <c r="W58" s="35">
        <f t="shared" si="7"/>
        <v>3.1333333333333337</v>
      </c>
      <c r="X58" s="35">
        <f t="shared" si="7"/>
        <v>0</v>
      </c>
      <c r="Y58" s="35">
        <f t="shared" si="7"/>
        <v>2.833333333333333</v>
      </c>
      <c r="Z58" s="35">
        <f t="shared" si="7"/>
        <v>0</v>
      </c>
      <c r="AA58" s="35" t="str">
        <f t="shared" si="7"/>
        <v/>
      </c>
      <c r="AB58" s="35">
        <f t="shared" si="7"/>
        <v>1.4</v>
      </c>
    </row>
    <row r="59" spans="1:28" x14ac:dyDescent="0.25">
      <c r="A59" s="34">
        <v>40970</v>
      </c>
      <c r="B59" s="33">
        <f t="shared" si="6"/>
        <v>1.9166666666666667</v>
      </c>
      <c r="C59" s="33" t="str">
        <f t="shared" si="6"/>
        <v/>
      </c>
      <c r="D59" s="33">
        <f t="shared" si="6"/>
        <v>0.3899999999999999</v>
      </c>
      <c r="E59" s="33">
        <f t="shared" si="6"/>
        <v>1.9</v>
      </c>
      <c r="F59" s="33">
        <f t="shared" si="6"/>
        <v>0.65000000000000013</v>
      </c>
      <c r="G59" s="33">
        <f t="shared" si="6"/>
        <v>0.25</v>
      </c>
      <c r="H59" s="33">
        <f t="shared" si="6"/>
        <v>1.25</v>
      </c>
      <c r="I59" s="33">
        <f t="shared" si="6"/>
        <v>2.416666666666667</v>
      </c>
      <c r="J59" s="33">
        <f t="shared" si="6"/>
        <v>0.5</v>
      </c>
      <c r="K59" s="33">
        <f t="shared" si="6"/>
        <v>2.6666666666666665</v>
      </c>
      <c r="L59" s="33">
        <f t="shared" si="6"/>
        <v>1</v>
      </c>
      <c r="M59" s="33">
        <f t="shared" si="6"/>
        <v>1.1999999999999997</v>
      </c>
      <c r="P59" s="34">
        <v>40970</v>
      </c>
      <c r="Q59" s="35">
        <f>IF(B59="","",MAX(0,B$48-B59))</f>
        <v>0</v>
      </c>
      <c r="R59" s="35" t="str">
        <f t="shared" si="7"/>
        <v/>
      </c>
      <c r="S59" s="35">
        <f t="shared" si="7"/>
        <v>2.5266666666666664</v>
      </c>
      <c r="T59" s="35">
        <f t="shared" si="7"/>
        <v>0</v>
      </c>
      <c r="U59" s="35">
        <f t="shared" si="7"/>
        <v>2.0166666666666657</v>
      </c>
      <c r="V59" s="35">
        <f t="shared" si="7"/>
        <v>2.7500000000000004</v>
      </c>
      <c r="W59" s="35">
        <f t="shared" si="7"/>
        <v>2.5833333333333339</v>
      </c>
      <c r="X59" s="35">
        <f t="shared" si="7"/>
        <v>0</v>
      </c>
      <c r="Y59" s="35">
        <f t="shared" si="7"/>
        <v>2.833333333333333</v>
      </c>
      <c r="Z59" s="35">
        <f t="shared" si="7"/>
        <v>0</v>
      </c>
      <c r="AA59" s="35">
        <f t="shared" si="7"/>
        <v>2</v>
      </c>
      <c r="AB59" s="35">
        <f t="shared" si="7"/>
        <v>1.3000000000000003</v>
      </c>
    </row>
    <row r="60" spans="1:28" x14ac:dyDescent="0.25">
      <c r="A60" s="34">
        <v>40995</v>
      </c>
      <c r="B60" s="33">
        <f t="shared" si="6"/>
        <v>0.7</v>
      </c>
      <c r="C60" s="33">
        <f t="shared" si="6"/>
        <v>0.65000000000000013</v>
      </c>
      <c r="D60" s="33">
        <f t="shared" si="6"/>
        <v>0.33999999999999986</v>
      </c>
      <c r="E60" s="33">
        <f t="shared" si="6"/>
        <v>0.85000000000000009</v>
      </c>
      <c r="F60" s="33">
        <f t="shared" si="6"/>
        <v>0.16000000000000014</v>
      </c>
      <c r="G60" s="33">
        <f t="shared" si="6"/>
        <v>0.53</v>
      </c>
      <c r="H60" s="33">
        <f t="shared" si="6"/>
        <v>0.5</v>
      </c>
      <c r="I60" s="33">
        <f t="shared" si="6"/>
        <v>9.9999999999999867E-2</v>
      </c>
      <c r="J60" s="33">
        <f t="shared" si="6"/>
        <v>0.30000000000000004</v>
      </c>
      <c r="K60" s="33">
        <f t="shared" si="6"/>
        <v>2.2000000000000002</v>
      </c>
      <c r="L60" s="33">
        <f t="shared" si="6"/>
        <v>0.39999999999999991</v>
      </c>
      <c r="M60" s="33">
        <f t="shared" si="6"/>
        <v>0.18999999999999995</v>
      </c>
      <c r="P60" s="34">
        <v>40995</v>
      </c>
      <c r="Q60" s="35">
        <f t="shared" si="8"/>
        <v>1.2166666666666668</v>
      </c>
      <c r="R60" s="35">
        <f t="shared" si="7"/>
        <v>2.0166666666666657</v>
      </c>
      <c r="S60" s="35">
        <f t="shared" si="7"/>
        <v>2.5766666666666662</v>
      </c>
      <c r="T60" s="35">
        <f t="shared" si="7"/>
        <v>0.98333333333333295</v>
      </c>
      <c r="U60" s="35">
        <f t="shared" si="7"/>
        <v>2.5066666666666659</v>
      </c>
      <c r="V60" s="35">
        <f t="shared" si="7"/>
        <v>2.4700000000000006</v>
      </c>
      <c r="W60" s="35">
        <f t="shared" si="7"/>
        <v>3.3333333333333339</v>
      </c>
      <c r="X60" s="35">
        <f t="shared" si="7"/>
        <v>2.3166666666666673</v>
      </c>
      <c r="Y60" s="35">
        <f t="shared" si="7"/>
        <v>3.0333333333333332</v>
      </c>
      <c r="Z60" s="35">
        <f t="shared" si="7"/>
        <v>0.46666666666666634</v>
      </c>
      <c r="AA60" s="35">
        <f t="shared" si="7"/>
        <v>2.6</v>
      </c>
      <c r="AB60" s="35">
        <f t="shared" si="7"/>
        <v>2.31</v>
      </c>
    </row>
    <row r="61" spans="1:28" x14ac:dyDescent="0.25">
      <c r="A61" s="34">
        <v>41022</v>
      </c>
      <c r="B61" s="33">
        <f t="shared" si="6"/>
        <v>1.3699999999999999</v>
      </c>
      <c r="C61" s="33">
        <f t="shared" si="6"/>
        <v>2</v>
      </c>
      <c r="D61" s="33">
        <f t="shared" si="6"/>
        <v>1.7299999999999998</v>
      </c>
      <c r="E61" s="33">
        <f t="shared" si="6"/>
        <v>2.0099999999999998</v>
      </c>
      <c r="F61" s="33">
        <f t="shared" si="6"/>
        <v>1.2500000000000002</v>
      </c>
      <c r="G61" s="33">
        <f t="shared" si="6"/>
        <v>1.1000000000000001</v>
      </c>
      <c r="H61" s="33">
        <f t="shared" si="6"/>
        <v>1.2999999999999998</v>
      </c>
      <c r="I61" s="33">
        <f t="shared" si="6"/>
        <v>1.51</v>
      </c>
      <c r="J61" s="33">
        <f t="shared" si="6"/>
        <v>1.2</v>
      </c>
      <c r="K61" s="33">
        <f t="shared" si="6"/>
        <v>2.2000000000000002</v>
      </c>
      <c r="L61" s="33">
        <f t="shared" si="6"/>
        <v>1.2200000000000002</v>
      </c>
      <c r="M61" s="33">
        <f t="shared" si="6"/>
        <v>1.88</v>
      </c>
      <c r="P61" s="34">
        <v>41022</v>
      </c>
      <c r="Q61" s="35">
        <f t="shared" si="8"/>
        <v>0.54666666666666686</v>
      </c>
      <c r="R61" s="35">
        <f t="shared" si="7"/>
        <v>0.66666666666666607</v>
      </c>
      <c r="S61" s="35">
        <f t="shared" si="7"/>
        <v>1.1866666666666663</v>
      </c>
      <c r="T61" s="35">
        <f t="shared" si="7"/>
        <v>0</v>
      </c>
      <c r="U61" s="35">
        <f t="shared" si="7"/>
        <v>1.4166666666666659</v>
      </c>
      <c r="V61" s="35">
        <f t="shared" si="7"/>
        <v>1.9000000000000004</v>
      </c>
      <c r="W61" s="35">
        <f t="shared" si="7"/>
        <v>2.5333333333333341</v>
      </c>
      <c r="X61" s="35">
        <f t="shared" si="7"/>
        <v>0.90666666666666695</v>
      </c>
      <c r="Y61" s="35">
        <f t="shared" si="7"/>
        <v>2.1333333333333329</v>
      </c>
      <c r="Z61" s="35">
        <f t="shared" si="7"/>
        <v>0.46666666666666634</v>
      </c>
      <c r="AA61" s="35">
        <f t="shared" si="7"/>
        <v>1.7799999999999998</v>
      </c>
      <c r="AB61" s="35">
        <f t="shared" si="7"/>
        <v>0.62000000000000011</v>
      </c>
    </row>
    <row r="62" spans="1:28" x14ac:dyDescent="0.25">
      <c r="A62" s="34">
        <v>41037</v>
      </c>
      <c r="B62" s="33">
        <f t="shared" ref="B62:M66" si="9">IF(B8="","",IF(IF(B8="dry",B$49,B8-B$34)&lt;0,0,IF(B8="dry",B$49,B8-B$34)))</f>
        <v>1.6</v>
      </c>
      <c r="C62" s="33">
        <f t="shared" si="9"/>
        <v>2.5</v>
      </c>
      <c r="D62" s="33">
        <f t="shared" si="9"/>
        <v>1.9</v>
      </c>
      <c r="E62" s="33">
        <f t="shared" si="9"/>
        <v>1.7</v>
      </c>
      <c r="F62" s="33">
        <f t="shared" si="9"/>
        <v>1.8</v>
      </c>
      <c r="G62" s="33">
        <f t="shared" si="9"/>
        <v>1.2000000000000002</v>
      </c>
      <c r="H62" s="33">
        <f t="shared" si="9"/>
        <v>1.6999999999999997</v>
      </c>
      <c r="I62" s="33">
        <f t="shared" si="9"/>
        <v>2</v>
      </c>
      <c r="J62" s="33">
        <f t="shared" si="9"/>
        <v>1.4000000000000001</v>
      </c>
      <c r="K62" s="33">
        <f t="shared" si="9"/>
        <v>2.6666666666666665</v>
      </c>
      <c r="L62" s="33">
        <f t="shared" si="9"/>
        <v>2</v>
      </c>
      <c r="M62" s="33">
        <f t="shared" si="9"/>
        <v>2.1</v>
      </c>
      <c r="P62" s="34">
        <v>41037</v>
      </c>
      <c r="Q62" s="35">
        <f>IF(B62="","",MAX(0,B$49-B62))</f>
        <v>0.31666666666666687</v>
      </c>
      <c r="R62" s="35">
        <f t="shared" ref="R62:AB66" si="10">IF(C62="","",MAX(0,C$49-C62))</f>
        <v>0.16666666666666696</v>
      </c>
      <c r="S62" s="35">
        <f t="shared" si="10"/>
        <v>1.0166666666666662</v>
      </c>
      <c r="T62" s="35">
        <f t="shared" si="10"/>
        <v>0.1333333333333333</v>
      </c>
      <c r="U62" s="35">
        <f t="shared" si="10"/>
        <v>0.86666666666666692</v>
      </c>
      <c r="V62" s="35">
        <f t="shared" si="10"/>
        <v>1.7999999999999998</v>
      </c>
      <c r="W62" s="35">
        <f t="shared" si="10"/>
        <v>2.1333333333333337</v>
      </c>
      <c r="X62" s="35">
        <f t="shared" si="10"/>
        <v>0.41666666666666652</v>
      </c>
      <c r="Y62" s="35">
        <f t="shared" si="10"/>
        <v>1.9333333333333338</v>
      </c>
      <c r="Z62" s="35">
        <f t="shared" si="10"/>
        <v>0</v>
      </c>
      <c r="AA62" s="35">
        <f t="shared" si="10"/>
        <v>1</v>
      </c>
      <c r="AB62" s="35">
        <f t="shared" si="10"/>
        <v>0.39999999999999991</v>
      </c>
    </row>
    <row r="63" spans="1:28" x14ac:dyDescent="0.25">
      <c r="A63" s="34">
        <v>41078</v>
      </c>
      <c r="B63" s="33">
        <f t="shared" si="9"/>
        <v>1.916666666666667</v>
      </c>
      <c r="C63" s="33">
        <f t="shared" si="9"/>
        <v>2.666666666666667</v>
      </c>
      <c r="D63" s="33">
        <f t="shared" si="9"/>
        <v>2.25</v>
      </c>
      <c r="E63" s="33">
        <f t="shared" si="9"/>
        <v>1.8333333333333333</v>
      </c>
      <c r="F63" s="33">
        <f t="shared" si="9"/>
        <v>2.666666666666667</v>
      </c>
      <c r="G63" s="33">
        <f t="shared" si="9"/>
        <v>3</v>
      </c>
      <c r="H63" s="33">
        <f t="shared" si="9"/>
        <v>2.9</v>
      </c>
      <c r="I63" s="33">
        <f t="shared" si="9"/>
        <v>2.4166666666666665</v>
      </c>
      <c r="J63" s="33">
        <f t="shared" si="9"/>
        <v>1.8</v>
      </c>
      <c r="K63" s="33">
        <f t="shared" si="9"/>
        <v>2.6666666666666665</v>
      </c>
      <c r="L63" s="33">
        <f t="shared" si="9"/>
        <v>1.7</v>
      </c>
      <c r="M63" s="33">
        <f t="shared" si="9"/>
        <v>2.5</v>
      </c>
      <c r="P63" s="34">
        <v>41078</v>
      </c>
      <c r="Q63" s="35">
        <f t="shared" ref="Q63:Q66" si="11">IF(B63="","",MAX(0,B$49-B63))</f>
        <v>0</v>
      </c>
      <c r="R63" s="35">
        <f t="shared" si="10"/>
        <v>0</v>
      </c>
      <c r="S63" s="35">
        <f t="shared" si="10"/>
        <v>0.66666666666666607</v>
      </c>
      <c r="T63" s="35">
        <f t="shared" si="10"/>
        <v>0</v>
      </c>
      <c r="U63" s="35">
        <f t="shared" si="10"/>
        <v>0</v>
      </c>
      <c r="V63" s="35">
        <f t="shared" si="10"/>
        <v>0</v>
      </c>
      <c r="W63" s="35">
        <f t="shared" si="10"/>
        <v>0.93333333333333357</v>
      </c>
      <c r="X63" s="35">
        <f t="shared" si="10"/>
        <v>0</v>
      </c>
      <c r="Y63" s="35">
        <f t="shared" si="10"/>
        <v>1.5333333333333339</v>
      </c>
      <c r="Z63" s="35">
        <f t="shared" si="10"/>
        <v>0</v>
      </c>
      <c r="AA63" s="35">
        <f t="shared" si="10"/>
        <v>1.3</v>
      </c>
      <c r="AB63" s="35">
        <f t="shared" si="10"/>
        <v>0</v>
      </c>
    </row>
    <row r="64" spans="1:28" x14ac:dyDescent="0.25">
      <c r="A64" s="34">
        <v>41229</v>
      </c>
      <c r="B64" s="33" t="str">
        <f t="shared" si="9"/>
        <v/>
      </c>
      <c r="C64" s="33" t="str">
        <f t="shared" si="9"/>
        <v/>
      </c>
      <c r="D64" s="33" t="str">
        <f t="shared" si="9"/>
        <v/>
      </c>
      <c r="E64" s="33" t="str">
        <f t="shared" si="9"/>
        <v/>
      </c>
      <c r="F64" s="33" t="str">
        <f t="shared" si="9"/>
        <v/>
      </c>
      <c r="G64" s="33" t="str">
        <f t="shared" si="9"/>
        <v/>
      </c>
      <c r="H64" s="33" t="str">
        <f t="shared" si="9"/>
        <v/>
      </c>
      <c r="I64" s="33" t="str">
        <f t="shared" si="9"/>
        <v/>
      </c>
      <c r="J64" s="33" t="str">
        <f t="shared" si="9"/>
        <v/>
      </c>
      <c r="K64" s="33" t="str">
        <f t="shared" si="9"/>
        <v/>
      </c>
      <c r="L64" s="33" t="str">
        <f t="shared" si="9"/>
        <v/>
      </c>
      <c r="M64" s="33" t="str">
        <f t="shared" si="9"/>
        <v/>
      </c>
      <c r="N64" s="7"/>
      <c r="O64" s="7"/>
      <c r="P64" s="34">
        <v>41229</v>
      </c>
      <c r="Q64" s="35" t="str">
        <f t="shared" si="11"/>
        <v/>
      </c>
      <c r="R64" s="35" t="str">
        <f t="shared" si="10"/>
        <v/>
      </c>
      <c r="S64" s="35" t="str">
        <f t="shared" si="10"/>
        <v/>
      </c>
      <c r="T64" s="35" t="str">
        <f t="shared" si="10"/>
        <v/>
      </c>
      <c r="U64" s="35" t="str">
        <f t="shared" si="10"/>
        <v/>
      </c>
      <c r="V64" s="35" t="str">
        <f t="shared" si="10"/>
        <v/>
      </c>
      <c r="W64" s="35" t="str">
        <f t="shared" si="10"/>
        <v/>
      </c>
      <c r="X64" s="35" t="str">
        <f t="shared" si="10"/>
        <v/>
      </c>
      <c r="Y64" s="35" t="str">
        <f t="shared" si="10"/>
        <v/>
      </c>
      <c r="Z64" s="35" t="str">
        <f t="shared" si="10"/>
        <v/>
      </c>
      <c r="AA64" s="35" t="str">
        <f t="shared" si="10"/>
        <v/>
      </c>
      <c r="AB64" s="35" t="str">
        <f t="shared" si="10"/>
        <v/>
      </c>
    </row>
    <row r="65" spans="1:28" x14ac:dyDescent="0.25">
      <c r="A65" s="34">
        <v>41248</v>
      </c>
      <c r="B65" s="33" t="str">
        <f t="shared" si="9"/>
        <v/>
      </c>
      <c r="C65" s="33">
        <f t="shared" si="9"/>
        <v>1.3875</v>
      </c>
      <c r="D65" s="33">
        <f t="shared" si="9"/>
        <v>0.60416666666666652</v>
      </c>
      <c r="E65" s="33">
        <f t="shared" si="9"/>
        <v>0.55000000000000004</v>
      </c>
      <c r="F65" s="33">
        <f t="shared" si="9"/>
        <v>0.88749999999999996</v>
      </c>
      <c r="G65" s="33">
        <f t="shared" si="9"/>
        <v>3</v>
      </c>
      <c r="H65" s="33">
        <f t="shared" si="9"/>
        <v>1.0041666666666664</v>
      </c>
      <c r="I65" s="33" t="str">
        <f t="shared" si="9"/>
        <v/>
      </c>
      <c r="J65" s="33">
        <f t="shared" si="9"/>
        <v>0.38749999999999996</v>
      </c>
      <c r="K65" s="33" t="str">
        <f t="shared" si="9"/>
        <v/>
      </c>
      <c r="L65" s="33">
        <f t="shared" si="9"/>
        <v>0.17500000000000004</v>
      </c>
      <c r="M65" s="33">
        <f t="shared" si="9"/>
        <v>1.7666666666666666</v>
      </c>
      <c r="N65" s="7"/>
      <c r="O65" s="7"/>
      <c r="P65" s="34">
        <v>41248</v>
      </c>
      <c r="Q65" s="35" t="str">
        <f t="shared" si="11"/>
        <v/>
      </c>
      <c r="R65" s="35">
        <f t="shared" si="10"/>
        <v>1.279166666666667</v>
      </c>
      <c r="S65" s="35">
        <f t="shared" si="10"/>
        <v>2.3124999999999996</v>
      </c>
      <c r="T65" s="35">
        <f t="shared" si="10"/>
        <v>1.2833333333333332</v>
      </c>
      <c r="U65" s="35">
        <f t="shared" si="10"/>
        <v>1.779166666666667</v>
      </c>
      <c r="V65" s="35">
        <f t="shared" si="10"/>
        <v>0</v>
      </c>
      <c r="W65" s="35">
        <f t="shared" si="10"/>
        <v>2.8291666666666671</v>
      </c>
      <c r="X65" s="35" t="str">
        <f t="shared" si="10"/>
        <v/>
      </c>
      <c r="Y65" s="35">
        <f t="shared" si="10"/>
        <v>2.9458333333333337</v>
      </c>
      <c r="Z65" s="35" t="str">
        <f t="shared" si="10"/>
        <v/>
      </c>
      <c r="AA65" s="35">
        <f t="shared" si="10"/>
        <v>2.8250000000000002</v>
      </c>
      <c r="AB65" s="35">
        <f t="shared" si="10"/>
        <v>0.73333333333333339</v>
      </c>
    </row>
    <row r="66" spans="1:28" x14ac:dyDescent="0.25">
      <c r="A66" s="34">
        <v>41277</v>
      </c>
      <c r="B66" s="33">
        <f t="shared" si="9"/>
        <v>1.916666666666667</v>
      </c>
      <c r="C66" s="33">
        <f t="shared" si="9"/>
        <v>2.2999999999999998</v>
      </c>
      <c r="D66" s="33">
        <f t="shared" si="9"/>
        <v>2</v>
      </c>
      <c r="E66" s="33">
        <f t="shared" si="9"/>
        <v>1.8333333333333333</v>
      </c>
      <c r="F66" s="33">
        <f t="shared" si="9"/>
        <v>1.3</v>
      </c>
      <c r="G66" s="33">
        <f t="shared" si="9"/>
        <v>3</v>
      </c>
      <c r="H66" s="33">
        <f t="shared" si="9"/>
        <v>2</v>
      </c>
      <c r="I66" s="33">
        <f t="shared" si="9"/>
        <v>2.4166666666666665</v>
      </c>
      <c r="J66" s="33">
        <f t="shared" si="9"/>
        <v>1.2</v>
      </c>
      <c r="K66" s="33">
        <f t="shared" si="9"/>
        <v>2.6666666666666665</v>
      </c>
      <c r="L66" s="33">
        <f t="shared" si="9"/>
        <v>0.19999999999999996</v>
      </c>
      <c r="M66" s="33">
        <f t="shared" si="9"/>
        <v>2.5</v>
      </c>
      <c r="P66" s="34">
        <v>41277</v>
      </c>
      <c r="Q66" s="35">
        <f t="shared" si="11"/>
        <v>0</v>
      </c>
      <c r="R66" s="35">
        <f t="shared" si="10"/>
        <v>0.36666666666666714</v>
      </c>
      <c r="S66" s="35">
        <f t="shared" si="10"/>
        <v>0.91666666666666607</v>
      </c>
      <c r="T66" s="35">
        <f t="shared" si="10"/>
        <v>0</v>
      </c>
      <c r="U66" s="35">
        <f t="shared" si="10"/>
        <v>1.3666666666666669</v>
      </c>
      <c r="V66" s="35">
        <f t="shared" si="10"/>
        <v>0</v>
      </c>
      <c r="W66" s="35">
        <f t="shared" si="10"/>
        <v>1.8333333333333335</v>
      </c>
      <c r="X66" s="35">
        <f t="shared" si="10"/>
        <v>0</v>
      </c>
      <c r="Y66" s="35">
        <f t="shared" si="10"/>
        <v>2.1333333333333337</v>
      </c>
      <c r="Z66" s="35">
        <f t="shared" si="10"/>
        <v>0</v>
      </c>
      <c r="AA66" s="35">
        <f t="shared" si="10"/>
        <v>2.8</v>
      </c>
      <c r="AB66" s="35">
        <f t="shared" si="10"/>
        <v>0</v>
      </c>
    </row>
    <row r="67" spans="1:28" x14ac:dyDescent="0.25">
      <c r="A67" s="34">
        <v>41283</v>
      </c>
      <c r="B67" s="33">
        <f>IF(B13="","",IF(IF(B13="dry",B$50,B13-B$35)&lt;0,0,IF(B13="dry",B$50,B13-B$35)))</f>
        <v>1.916666666666667</v>
      </c>
      <c r="C67" s="33">
        <f>IF(C13="","",IF(IF(C13="dry",C$50,C13-C$35)&lt;0,0,IF(C13="dry",C$50,C13-C$35)))</f>
        <v>2.1</v>
      </c>
      <c r="D67" s="33">
        <f>IF(D13="","",IF(IF(D13="dry",D$50,D13-D$35)&lt;0,0,IF(D13="dry",D$50,D13-D$35)))</f>
        <v>0.69166666666666665</v>
      </c>
      <c r="E67" s="33">
        <f t="shared" ref="E67:M72" si="12">IF(E13="","",IF(IF(E13="dry",E$50,E13-E$35)&lt;0,0,IF(E13="dry",E$50,E13-E$35)))</f>
        <v>0.375</v>
      </c>
      <c r="F67" s="33">
        <f t="shared" si="12"/>
        <v>0.89166666666666683</v>
      </c>
      <c r="G67" s="33">
        <f t="shared" si="12"/>
        <v>3</v>
      </c>
      <c r="H67" s="33">
        <f t="shared" si="12"/>
        <v>0.7799999999999998</v>
      </c>
      <c r="I67" s="33">
        <f t="shared" si="12"/>
        <v>2.4166666666666661</v>
      </c>
      <c r="J67" s="33">
        <f t="shared" si="12"/>
        <v>0.16666666666666663</v>
      </c>
      <c r="K67" s="33">
        <f t="shared" si="12"/>
        <v>2.666666666666667</v>
      </c>
      <c r="L67" s="33">
        <f t="shared" si="12"/>
        <v>0.17500000000000004</v>
      </c>
      <c r="M67" s="33">
        <f t="shared" si="12"/>
        <v>2.5</v>
      </c>
      <c r="P67" s="34">
        <v>41283</v>
      </c>
      <c r="Q67" s="35">
        <f>IF(B67="","",MAX(0,B$50-B67))</f>
        <v>0</v>
      </c>
      <c r="R67" s="35">
        <f t="shared" ref="R67:AB72" si="13">IF(C67="","",MAX(0,C$50-C67))</f>
        <v>0.56666666666666687</v>
      </c>
      <c r="S67" s="35">
        <f t="shared" si="13"/>
        <v>2.2249999999999996</v>
      </c>
      <c r="T67" s="35">
        <f t="shared" si="13"/>
        <v>1.458333333333333</v>
      </c>
      <c r="U67" s="35">
        <f t="shared" si="13"/>
        <v>1.7750000000000001</v>
      </c>
      <c r="V67" s="35">
        <f t="shared" si="13"/>
        <v>0</v>
      </c>
      <c r="W67" s="35">
        <f t="shared" si="13"/>
        <v>3.0533333333333332</v>
      </c>
      <c r="X67" s="35">
        <f t="shared" si="13"/>
        <v>0</v>
      </c>
      <c r="Y67" s="35">
        <f t="shared" si="13"/>
        <v>3.166666666666667</v>
      </c>
      <c r="Z67" s="35">
        <f t="shared" si="13"/>
        <v>0</v>
      </c>
      <c r="AA67" s="35">
        <f t="shared" si="13"/>
        <v>2.8250000000000002</v>
      </c>
      <c r="AB67" s="35">
        <f t="shared" si="13"/>
        <v>0</v>
      </c>
    </row>
    <row r="68" spans="1:28" x14ac:dyDescent="0.25">
      <c r="A68" s="34">
        <v>41284</v>
      </c>
      <c r="B68" s="33">
        <f t="shared" ref="B68:F72" si="14">IF(B14="","",IF(IF(B14="dry",B$50,B14-B$35)&lt;0,0,IF(B14="dry",B$50,B14-B$35)))</f>
        <v>1.916666666666667</v>
      </c>
      <c r="C68" s="33">
        <f t="shared" si="14"/>
        <v>0.85000000000000009</v>
      </c>
      <c r="D68" s="33">
        <f t="shared" si="14"/>
        <v>0.84166666666666656</v>
      </c>
      <c r="E68" s="33">
        <f t="shared" si="14"/>
        <v>0.57500000000000018</v>
      </c>
      <c r="F68" s="33">
        <f t="shared" si="14"/>
        <v>0.69166666666666665</v>
      </c>
      <c r="G68" s="33">
        <f t="shared" si="12"/>
        <v>3</v>
      </c>
      <c r="H68" s="33">
        <f t="shared" si="12"/>
        <v>0.48</v>
      </c>
      <c r="I68" s="33">
        <f t="shared" si="12"/>
        <v>2.4166666666666661</v>
      </c>
      <c r="J68" s="33">
        <f t="shared" si="12"/>
        <v>0.16666666666666663</v>
      </c>
      <c r="K68" s="33">
        <f t="shared" si="12"/>
        <v>2.666666666666667</v>
      </c>
      <c r="L68" s="33">
        <f t="shared" si="12"/>
        <v>7.4999999999999956E-2</v>
      </c>
      <c r="M68" s="33">
        <f t="shared" si="12"/>
        <v>2.5</v>
      </c>
      <c r="P68" s="34">
        <v>41284</v>
      </c>
      <c r="Q68" s="35">
        <f t="shared" ref="Q68:Q72" si="15">IF(B68="","",MAX(0,B$50-B68))</f>
        <v>0</v>
      </c>
      <c r="R68" s="35">
        <f t="shared" si="13"/>
        <v>1.8166666666666669</v>
      </c>
      <c r="S68" s="35">
        <f t="shared" si="13"/>
        <v>2.0749999999999993</v>
      </c>
      <c r="T68" s="35">
        <f t="shared" si="13"/>
        <v>1.2583333333333329</v>
      </c>
      <c r="U68" s="35">
        <f t="shared" si="13"/>
        <v>1.9750000000000003</v>
      </c>
      <c r="V68" s="35">
        <f t="shared" si="13"/>
        <v>0</v>
      </c>
      <c r="W68" s="35">
        <f t="shared" si="13"/>
        <v>3.3533333333333331</v>
      </c>
      <c r="X68" s="35">
        <f t="shared" si="13"/>
        <v>0</v>
      </c>
      <c r="Y68" s="35">
        <f t="shared" si="13"/>
        <v>3.166666666666667</v>
      </c>
      <c r="Z68" s="35">
        <f t="shared" si="13"/>
        <v>0</v>
      </c>
      <c r="AA68" s="35">
        <f t="shared" si="13"/>
        <v>2.9249999999999998</v>
      </c>
      <c r="AB68" s="35">
        <f t="shared" si="13"/>
        <v>0</v>
      </c>
    </row>
    <row r="69" spans="1:28" x14ac:dyDescent="0.25">
      <c r="A69" s="34">
        <v>41305</v>
      </c>
      <c r="B69" s="33">
        <f t="shared" si="14"/>
        <v>1.916666666666667</v>
      </c>
      <c r="C69" s="33">
        <f t="shared" si="14"/>
        <v>0.15999999999999992</v>
      </c>
      <c r="D69" s="33">
        <f t="shared" si="14"/>
        <v>0.28166666666666673</v>
      </c>
      <c r="E69" s="33">
        <f t="shared" si="14"/>
        <v>0.25499999999999989</v>
      </c>
      <c r="F69" s="33">
        <f t="shared" si="14"/>
        <v>0.27166666666666672</v>
      </c>
      <c r="G69" s="33">
        <f t="shared" si="12"/>
        <v>1.2383333333333331</v>
      </c>
      <c r="H69" s="33">
        <f t="shared" si="12"/>
        <v>0.22999999999999998</v>
      </c>
      <c r="I69" s="33">
        <f t="shared" si="12"/>
        <v>2.2300000000000004</v>
      </c>
      <c r="J69" s="33">
        <f t="shared" si="12"/>
        <v>0.11666666666666659</v>
      </c>
      <c r="K69" s="33">
        <f t="shared" si="12"/>
        <v>2.666666666666667</v>
      </c>
      <c r="L69" s="33">
        <f t="shared" si="12"/>
        <v>9.4999999999999973E-2</v>
      </c>
      <c r="M69" s="33">
        <f t="shared" si="12"/>
        <v>0.52833333333333332</v>
      </c>
      <c r="P69" s="34">
        <v>41305</v>
      </c>
      <c r="Q69" s="35">
        <f t="shared" si="15"/>
        <v>0</v>
      </c>
      <c r="R69" s="35">
        <f t="shared" si="13"/>
        <v>2.5066666666666668</v>
      </c>
      <c r="S69" s="35">
        <f t="shared" si="13"/>
        <v>2.6349999999999993</v>
      </c>
      <c r="T69" s="35">
        <f t="shared" si="13"/>
        <v>1.5783333333333331</v>
      </c>
      <c r="U69" s="35">
        <f t="shared" si="13"/>
        <v>2.3950000000000005</v>
      </c>
      <c r="V69" s="35">
        <f t="shared" si="13"/>
        <v>1.7616666666666669</v>
      </c>
      <c r="W69" s="35">
        <f t="shared" si="13"/>
        <v>3.6033333333333331</v>
      </c>
      <c r="X69" s="35">
        <f t="shared" si="13"/>
        <v>0.18666666666666565</v>
      </c>
      <c r="Y69" s="35">
        <f t="shared" si="13"/>
        <v>3.2166666666666668</v>
      </c>
      <c r="Z69" s="35">
        <f t="shared" si="13"/>
        <v>0</v>
      </c>
      <c r="AA69" s="35">
        <f t="shared" si="13"/>
        <v>2.9050000000000002</v>
      </c>
      <c r="AB69" s="35">
        <f t="shared" si="13"/>
        <v>1.9716666666666667</v>
      </c>
    </row>
    <row r="70" spans="1:28" x14ac:dyDescent="0.25">
      <c r="A70" s="34">
        <v>41310</v>
      </c>
      <c r="B70" s="33">
        <f t="shared" si="14"/>
        <v>1.6825000000000001</v>
      </c>
      <c r="C70" s="33">
        <f t="shared" si="14"/>
        <v>0.24</v>
      </c>
      <c r="D70" s="33">
        <f t="shared" si="14"/>
        <v>0.82166666666666655</v>
      </c>
      <c r="E70" s="33">
        <f t="shared" si="14"/>
        <v>0.69499999999999984</v>
      </c>
      <c r="F70" s="33">
        <f t="shared" si="14"/>
        <v>0.39166666666666683</v>
      </c>
      <c r="G70" s="33">
        <f t="shared" si="12"/>
        <v>0.41833333333333322</v>
      </c>
      <c r="H70" s="33">
        <f t="shared" si="12"/>
        <v>0.20999999999999996</v>
      </c>
      <c r="I70" s="33">
        <f t="shared" si="12"/>
        <v>1.91</v>
      </c>
      <c r="J70" s="33">
        <f t="shared" si="12"/>
        <v>0.1366666666666666</v>
      </c>
      <c r="K70" s="33">
        <f t="shared" si="12"/>
        <v>2.666666666666667</v>
      </c>
      <c r="L70" s="33">
        <f t="shared" si="12"/>
        <v>7.4999999999999956E-2</v>
      </c>
      <c r="M70" s="33">
        <f t="shared" si="12"/>
        <v>1.7483333333333333</v>
      </c>
      <c r="P70" s="34">
        <v>41310</v>
      </c>
      <c r="Q70" s="35">
        <f t="shared" si="15"/>
        <v>0.23416666666666686</v>
      </c>
      <c r="R70" s="35">
        <f t="shared" si="13"/>
        <v>2.4266666666666667</v>
      </c>
      <c r="S70" s="35">
        <f t="shared" si="13"/>
        <v>2.0949999999999998</v>
      </c>
      <c r="T70" s="35">
        <f t="shared" si="13"/>
        <v>1.1383333333333332</v>
      </c>
      <c r="U70" s="35">
        <f t="shared" si="13"/>
        <v>2.2750000000000004</v>
      </c>
      <c r="V70" s="35">
        <f t="shared" si="13"/>
        <v>2.581666666666667</v>
      </c>
      <c r="W70" s="35">
        <f t="shared" si="13"/>
        <v>3.6233333333333331</v>
      </c>
      <c r="X70" s="35">
        <f t="shared" si="13"/>
        <v>0.50666666666666615</v>
      </c>
      <c r="Y70" s="35">
        <f t="shared" si="13"/>
        <v>3.1966666666666668</v>
      </c>
      <c r="Z70" s="35">
        <f t="shared" si="13"/>
        <v>0</v>
      </c>
      <c r="AA70" s="35">
        <f t="shared" si="13"/>
        <v>2.9249999999999998</v>
      </c>
      <c r="AB70" s="35">
        <f t="shared" si="13"/>
        <v>0.75166666666666671</v>
      </c>
    </row>
    <row r="71" spans="1:28" x14ac:dyDescent="0.25">
      <c r="A71" s="34">
        <v>41317</v>
      </c>
      <c r="B71" s="33">
        <f t="shared" si="14"/>
        <v>1.4224999999999999</v>
      </c>
      <c r="C71" s="33">
        <f t="shared" si="14"/>
        <v>0.93000000000000016</v>
      </c>
      <c r="D71" s="33">
        <f t="shared" si="14"/>
        <v>0.74166666666666692</v>
      </c>
      <c r="E71" s="33">
        <f t="shared" si="14"/>
        <v>0.73499999999999988</v>
      </c>
      <c r="F71" s="33">
        <f t="shared" si="14"/>
        <v>0.29166666666666674</v>
      </c>
      <c r="G71" s="33">
        <f t="shared" si="12"/>
        <v>0.32833333333333337</v>
      </c>
      <c r="H71" s="33">
        <f t="shared" si="12"/>
        <v>0.16999999999999993</v>
      </c>
      <c r="I71" s="33">
        <f t="shared" si="12"/>
        <v>1.8299999999999998</v>
      </c>
      <c r="J71" s="33">
        <f t="shared" si="12"/>
        <v>0.19666666666666666</v>
      </c>
      <c r="K71" s="33">
        <f t="shared" si="12"/>
        <v>2.666666666666667</v>
      </c>
      <c r="L71" s="33">
        <f t="shared" si="12"/>
        <v>0.17500000000000004</v>
      </c>
      <c r="M71" s="33">
        <f t="shared" si="12"/>
        <v>0.80833333333333335</v>
      </c>
      <c r="P71" s="34">
        <v>41317</v>
      </c>
      <c r="Q71" s="35">
        <f t="shared" si="15"/>
        <v>0.49416666666666709</v>
      </c>
      <c r="R71" s="35">
        <f t="shared" si="13"/>
        <v>1.7366666666666668</v>
      </c>
      <c r="S71" s="35">
        <f t="shared" si="13"/>
        <v>2.1749999999999989</v>
      </c>
      <c r="T71" s="35">
        <f t="shared" si="13"/>
        <v>1.0983333333333332</v>
      </c>
      <c r="U71" s="35">
        <f t="shared" si="13"/>
        <v>2.375</v>
      </c>
      <c r="V71" s="35">
        <f t="shared" si="13"/>
        <v>2.6716666666666669</v>
      </c>
      <c r="W71" s="35">
        <f t="shared" si="13"/>
        <v>3.6633333333333331</v>
      </c>
      <c r="X71" s="35">
        <f t="shared" si="13"/>
        <v>0.58666666666666623</v>
      </c>
      <c r="Y71" s="35">
        <f t="shared" si="13"/>
        <v>3.1366666666666667</v>
      </c>
      <c r="Z71" s="35">
        <f t="shared" si="13"/>
        <v>0</v>
      </c>
      <c r="AA71" s="35">
        <f t="shared" si="13"/>
        <v>2.8250000000000002</v>
      </c>
      <c r="AB71" s="35">
        <f t="shared" si="13"/>
        <v>1.6916666666666667</v>
      </c>
    </row>
    <row r="72" spans="1:28" x14ac:dyDescent="0.25">
      <c r="A72" s="34">
        <v>41334</v>
      </c>
      <c r="B72" s="33">
        <f t="shared" si="14"/>
        <v>0.36250000000000004</v>
      </c>
      <c r="C72" s="33">
        <f t="shared" si="14"/>
        <v>0.30000000000000004</v>
      </c>
      <c r="D72" s="33">
        <f t="shared" si="14"/>
        <v>0</v>
      </c>
      <c r="E72" s="33">
        <f t="shared" si="14"/>
        <v>0.17500000000000004</v>
      </c>
      <c r="F72" s="33">
        <f t="shared" si="14"/>
        <v>0.4916666666666667</v>
      </c>
      <c r="G72" s="33">
        <f t="shared" si="12"/>
        <v>3.833333333333333E-2</v>
      </c>
      <c r="H72" s="33">
        <f t="shared" si="12"/>
        <v>7.9999999999999849E-2</v>
      </c>
      <c r="I72" s="33">
        <f t="shared" si="12"/>
        <v>2.2000000000000002</v>
      </c>
      <c r="J72" s="33">
        <f t="shared" si="12"/>
        <v>0.16666666666666663</v>
      </c>
      <c r="K72" s="33">
        <f t="shared" si="12"/>
        <v>2.666666666666667</v>
      </c>
      <c r="L72" s="33" t="str">
        <f t="shared" si="12"/>
        <v/>
      </c>
      <c r="M72" s="33">
        <f t="shared" si="12"/>
        <v>0.20833333333333326</v>
      </c>
      <c r="P72" s="34">
        <v>41334</v>
      </c>
      <c r="Q72" s="35">
        <f t="shared" si="15"/>
        <v>1.5541666666666669</v>
      </c>
      <c r="R72" s="35">
        <f t="shared" si="13"/>
        <v>2.3666666666666671</v>
      </c>
      <c r="S72" s="35">
        <f t="shared" si="13"/>
        <v>2.9166666666666661</v>
      </c>
      <c r="T72" s="35">
        <f t="shared" si="13"/>
        <v>1.658333333333333</v>
      </c>
      <c r="U72" s="35">
        <f t="shared" si="13"/>
        <v>2.1750000000000003</v>
      </c>
      <c r="V72" s="35">
        <f t="shared" si="13"/>
        <v>2.9616666666666669</v>
      </c>
      <c r="W72" s="35">
        <f t="shared" si="13"/>
        <v>3.753333333333333</v>
      </c>
      <c r="X72" s="35">
        <f t="shared" si="13"/>
        <v>0.2166666666666659</v>
      </c>
      <c r="Y72" s="35">
        <f t="shared" si="13"/>
        <v>3.166666666666667</v>
      </c>
      <c r="Z72" s="35">
        <f t="shared" si="13"/>
        <v>0</v>
      </c>
      <c r="AA72" s="35" t="str">
        <f t="shared" si="13"/>
        <v/>
      </c>
      <c r="AB72" s="35">
        <f t="shared" si="13"/>
        <v>2.291666666666667</v>
      </c>
    </row>
    <row r="73" spans="1:28" x14ac:dyDescent="0.25">
      <c r="A73" s="34">
        <v>41361</v>
      </c>
      <c r="B73" s="33">
        <f t="shared" ref="B73:M82" si="16">IF(B19="","",IF(IF(B19="dry",B$51,B19-B$36)&lt;0,0,IF(B19="dry",B$51,B19-B$36)))</f>
        <v>1.86</v>
      </c>
      <c r="C73" s="33" t="str">
        <f t="shared" si="16"/>
        <v/>
      </c>
      <c r="D73" s="33">
        <f t="shared" si="16"/>
        <v>1.5</v>
      </c>
      <c r="E73" s="33">
        <f t="shared" si="16"/>
        <v>1.69</v>
      </c>
      <c r="F73" s="33">
        <f t="shared" si="16"/>
        <v>1.37</v>
      </c>
      <c r="G73" s="33">
        <f t="shared" si="16"/>
        <v>0.15000000000000013</v>
      </c>
      <c r="H73" s="33">
        <f t="shared" si="16"/>
        <v>1.3399999999999999</v>
      </c>
      <c r="I73" s="33">
        <f t="shared" si="16"/>
        <v>2.27</v>
      </c>
      <c r="J73" s="33">
        <f t="shared" si="16"/>
        <v>0.94</v>
      </c>
      <c r="K73" s="33">
        <f t="shared" si="16"/>
        <v>2.2399999999999998</v>
      </c>
      <c r="L73" s="33">
        <f t="shared" si="16"/>
        <v>1.3499999999999999</v>
      </c>
      <c r="M73" s="33">
        <f t="shared" si="16"/>
        <v>1.69</v>
      </c>
      <c r="P73" s="34">
        <v>41361</v>
      </c>
      <c r="Q73" s="35">
        <f t="shared" ref="Q73:AB82" si="17">IF(B73="","",MAX(0,B$51-B73))</f>
        <v>0</v>
      </c>
      <c r="R73" s="35" t="str">
        <f t="shared" si="17"/>
        <v/>
      </c>
      <c r="S73" s="35">
        <f t="shared" si="17"/>
        <v>1.1700000000000004</v>
      </c>
      <c r="T73" s="35">
        <f t="shared" si="17"/>
        <v>0.25999999999999979</v>
      </c>
      <c r="U73" s="35">
        <f t="shared" si="17"/>
        <v>1.1200000000000001</v>
      </c>
      <c r="V73" s="35">
        <f t="shared" si="17"/>
        <v>2.6499999999999995</v>
      </c>
      <c r="W73" s="35">
        <f t="shared" si="17"/>
        <v>2.14</v>
      </c>
      <c r="X73" s="35">
        <f t="shared" si="17"/>
        <v>0</v>
      </c>
      <c r="Y73" s="35">
        <f t="shared" si="17"/>
        <v>2.2499999999999996</v>
      </c>
      <c r="Z73" s="35">
        <f t="shared" si="17"/>
        <v>0</v>
      </c>
      <c r="AA73" s="35">
        <f t="shared" si="17"/>
        <v>0.72000000000000042</v>
      </c>
      <c r="AB73" s="35">
        <f t="shared" si="17"/>
        <v>0.25999999999999979</v>
      </c>
    </row>
    <row r="74" spans="1:28" x14ac:dyDescent="0.25">
      <c r="A74" s="34">
        <v>41646</v>
      </c>
      <c r="B74" s="33">
        <f t="shared" si="16"/>
        <v>1.86</v>
      </c>
      <c r="C74" s="33">
        <f t="shared" si="16"/>
        <v>2.5499999999999998</v>
      </c>
      <c r="D74" s="33">
        <f t="shared" si="16"/>
        <v>2.6700000000000004</v>
      </c>
      <c r="E74" s="33">
        <f t="shared" si="16"/>
        <v>1.9499999999999997</v>
      </c>
      <c r="F74" s="33">
        <f t="shared" si="16"/>
        <v>2.4900000000000002</v>
      </c>
      <c r="G74" s="33">
        <f t="shared" si="16"/>
        <v>2.8</v>
      </c>
      <c r="H74" s="33">
        <f t="shared" si="16"/>
        <v>3.48</v>
      </c>
      <c r="I74" s="33">
        <f t="shared" si="16"/>
        <v>2.27</v>
      </c>
      <c r="J74" s="33">
        <f t="shared" si="16"/>
        <v>3.1899999999999995</v>
      </c>
      <c r="K74" s="33">
        <f t="shared" si="16"/>
        <v>2.2399999999999998</v>
      </c>
      <c r="L74" s="33">
        <f t="shared" si="16"/>
        <v>2.0700000000000003</v>
      </c>
      <c r="M74" s="33">
        <f t="shared" si="16"/>
        <v>1.9499999999999997</v>
      </c>
      <c r="P74" s="34">
        <v>41646</v>
      </c>
      <c r="Q74" s="35">
        <f t="shared" si="17"/>
        <v>0</v>
      </c>
      <c r="R74" s="35">
        <f t="shared" si="17"/>
        <v>0</v>
      </c>
      <c r="S74" s="35">
        <f t="shared" si="17"/>
        <v>0</v>
      </c>
      <c r="T74" s="35">
        <f t="shared" si="17"/>
        <v>0</v>
      </c>
      <c r="U74" s="35">
        <f t="shared" si="17"/>
        <v>0</v>
      </c>
      <c r="V74" s="35">
        <f t="shared" si="17"/>
        <v>0</v>
      </c>
      <c r="W74" s="35">
        <f t="shared" si="17"/>
        <v>0</v>
      </c>
      <c r="X74" s="35">
        <f t="shared" si="17"/>
        <v>0</v>
      </c>
      <c r="Y74" s="35">
        <f t="shared" si="17"/>
        <v>0</v>
      </c>
      <c r="Z74" s="35">
        <f t="shared" si="17"/>
        <v>0</v>
      </c>
      <c r="AA74" s="35">
        <f t="shared" si="17"/>
        <v>0</v>
      </c>
      <c r="AB74" s="35">
        <f t="shared" si="17"/>
        <v>0</v>
      </c>
    </row>
    <row r="75" spans="1:28" x14ac:dyDescent="0.25">
      <c r="A75" s="34">
        <v>41653</v>
      </c>
      <c r="B75" s="33" t="str">
        <f t="shared" si="16"/>
        <v/>
      </c>
      <c r="C75" s="33" t="str">
        <f t="shared" si="16"/>
        <v/>
      </c>
      <c r="D75" s="33" t="str">
        <f t="shared" si="16"/>
        <v/>
      </c>
      <c r="E75" s="33" t="str">
        <f t="shared" si="16"/>
        <v/>
      </c>
      <c r="F75" s="33" t="str">
        <f t="shared" si="16"/>
        <v/>
      </c>
      <c r="G75" s="33" t="str">
        <f t="shared" si="16"/>
        <v/>
      </c>
      <c r="H75" s="33">
        <f t="shared" si="16"/>
        <v>2.9999999999999996</v>
      </c>
      <c r="I75" s="33" t="str">
        <f t="shared" si="16"/>
        <v/>
      </c>
      <c r="J75" s="33">
        <f t="shared" si="16"/>
        <v>2.9800000000000004</v>
      </c>
      <c r="K75" s="33" t="str">
        <f t="shared" si="16"/>
        <v/>
      </c>
      <c r="L75" s="33">
        <f t="shared" si="16"/>
        <v>1.1100000000000001</v>
      </c>
      <c r="M75" s="33" t="str">
        <f t="shared" si="16"/>
        <v/>
      </c>
      <c r="P75" s="34">
        <v>41653</v>
      </c>
      <c r="Q75" s="35" t="str">
        <f t="shared" si="17"/>
        <v/>
      </c>
      <c r="R75" s="35" t="str">
        <f t="shared" si="17"/>
        <v/>
      </c>
      <c r="S75" s="35" t="str">
        <f t="shared" si="17"/>
        <v/>
      </c>
      <c r="T75" s="35" t="str">
        <f t="shared" si="17"/>
        <v/>
      </c>
      <c r="U75" s="35" t="str">
        <f t="shared" si="17"/>
        <v/>
      </c>
      <c r="V75" s="35" t="str">
        <f t="shared" si="17"/>
        <v/>
      </c>
      <c r="W75" s="35">
        <f t="shared" si="17"/>
        <v>0.48000000000000043</v>
      </c>
      <c r="X75" s="35" t="str">
        <f t="shared" si="17"/>
        <v/>
      </c>
      <c r="Y75" s="35">
        <f t="shared" si="17"/>
        <v>0.20999999999999908</v>
      </c>
      <c r="Z75" s="35" t="str">
        <f t="shared" si="17"/>
        <v/>
      </c>
      <c r="AA75" s="35">
        <f t="shared" si="17"/>
        <v>0.96000000000000019</v>
      </c>
      <c r="AB75" s="35" t="str">
        <f t="shared" si="17"/>
        <v/>
      </c>
    </row>
    <row r="76" spans="1:28" x14ac:dyDescent="0.25">
      <c r="A76" s="34">
        <v>41670</v>
      </c>
      <c r="B76" s="33">
        <f t="shared" si="16"/>
        <v>1.86</v>
      </c>
      <c r="C76" s="33">
        <f t="shared" si="16"/>
        <v>2.5499999999999998</v>
      </c>
      <c r="D76" s="33">
        <f t="shared" si="16"/>
        <v>2.6700000000000004</v>
      </c>
      <c r="E76" s="33">
        <f t="shared" si="16"/>
        <v>1.9499999999999997</v>
      </c>
      <c r="F76" s="33">
        <f t="shared" si="16"/>
        <v>2.4900000000000002</v>
      </c>
      <c r="G76" s="33">
        <f t="shared" si="16"/>
        <v>2.8</v>
      </c>
      <c r="H76" s="33">
        <f t="shared" si="16"/>
        <v>2.77</v>
      </c>
      <c r="I76" s="33">
        <f t="shared" si="16"/>
        <v>2.27</v>
      </c>
      <c r="J76" s="33">
        <f t="shared" si="16"/>
        <v>2.63</v>
      </c>
      <c r="K76" s="33">
        <f t="shared" si="16"/>
        <v>2.2399999999999998</v>
      </c>
      <c r="L76" s="33">
        <f t="shared" si="16"/>
        <v>1.5799999999999998</v>
      </c>
      <c r="M76" s="33">
        <f t="shared" si="16"/>
        <v>1.9499999999999997</v>
      </c>
      <c r="P76" s="34">
        <v>41670</v>
      </c>
      <c r="Q76" s="35">
        <f t="shared" si="17"/>
        <v>0</v>
      </c>
      <c r="R76" s="35">
        <f t="shared" si="17"/>
        <v>0</v>
      </c>
      <c r="S76" s="35">
        <f t="shared" si="17"/>
        <v>0</v>
      </c>
      <c r="T76" s="35">
        <f t="shared" si="17"/>
        <v>0</v>
      </c>
      <c r="U76" s="35">
        <f t="shared" si="17"/>
        <v>0</v>
      </c>
      <c r="V76" s="35">
        <f t="shared" si="17"/>
        <v>0</v>
      </c>
      <c r="W76" s="35">
        <f t="shared" si="17"/>
        <v>0.71</v>
      </c>
      <c r="X76" s="35">
        <f t="shared" si="17"/>
        <v>0</v>
      </c>
      <c r="Y76" s="35">
        <f t="shared" si="17"/>
        <v>0.55999999999999961</v>
      </c>
      <c r="Z76" s="35">
        <f t="shared" si="17"/>
        <v>0</v>
      </c>
      <c r="AA76" s="35">
        <f t="shared" si="17"/>
        <v>0.49000000000000044</v>
      </c>
      <c r="AB76" s="35">
        <f t="shared" si="17"/>
        <v>0</v>
      </c>
    </row>
    <row r="77" spans="1:28" x14ac:dyDescent="0.25">
      <c r="A77" s="34">
        <v>41681</v>
      </c>
      <c r="B77" s="33">
        <f t="shared" si="16"/>
        <v>1.86</v>
      </c>
      <c r="C77" s="33">
        <f t="shared" si="16"/>
        <v>2.5499999999999998</v>
      </c>
      <c r="D77" s="33">
        <f t="shared" si="16"/>
        <v>2.6700000000000004</v>
      </c>
      <c r="E77" s="33">
        <f t="shared" si="16"/>
        <v>0.87999999999999989</v>
      </c>
      <c r="F77" s="33">
        <f t="shared" si="16"/>
        <v>2.4900000000000002</v>
      </c>
      <c r="G77" s="33">
        <f t="shared" si="16"/>
        <v>2.8</v>
      </c>
      <c r="H77" s="33">
        <f t="shared" si="16"/>
        <v>3.48</v>
      </c>
      <c r="I77" s="9">
        <f t="shared" si="16"/>
        <v>0.71999999999999975</v>
      </c>
      <c r="J77" s="33">
        <f t="shared" si="16"/>
        <v>3.1899999999999995</v>
      </c>
      <c r="K77" s="33">
        <f t="shared" si="16"/>
        <v>2.37</v>
      </c>
      <c r="L77" s="33">
        <f t="shared" si="16"/>
        <v>1.3800000000000001</v>
      </c>
      <c r="M77" s="33" t="str">
        <f t="shared" si="16"/>
        <v/>
      </c>
      <c r="P77" s="34">
        <v>41681</v>
      </c>
      <c r="Q77" s="35">
        <f t="shared" si="17"/>
        <v>0</v>
      </c>
      <c r="R77" s="35">
        <f t="shared" si="17"/>
        <v>0</v>
      </c>
      <c r="S77" s="35">
        <f t="shared" si="17"/>
        <v>0</v>
      </c>
      <c r="T77" s="35">
        <f t="shared" si="17"/>
        <v>1.0699999999999998</v>
      </c>
      <c r="U77" s="35">
        <f t="shared" si="17"/>
        <v>0</v>
      </c>
      <c r="V77" s="35">
        <f t="shared" si="17"/>
        <v>0</v>
      </c>
      <c r="W77" s="35">
        <f t="shared" si="17"/>
        <v>0</v>
      </c>
      <c r="X77" s="35">
        <f t="shared" si="17"/>
        <v>1.5500000000000003</v>
      </c>
      <c r="Y77" s="35">
        <f t="shared" si="17"/>
        <v>0</v>
      </c>
      <c r="Z77" s="35">
        <f t="shared" si="17"/>
        <v>0</v>
      </c>
      <c r="AA77" s="35">
        <f t="shared" si="17"/>
        <v>0.69000000000000017</v>
      </c>
      <c r="AB77" s="35" t="str">
        <f t="shared" si="17"/>
        <v/>
      </c>
    </row>
    <row r="78" spans="1:28" x14ac:dyDescent="0.25">
      <c r="A78" s="34">
        <v>41684</v>
      </c>
      <c r="B78" s="33" t="str">
        <f t="shared" si="16"/>
        <v/>
      </c>
      <c r="C78" s="33" t="str">
        <f t="shared" si="16"/>
        <v/>
      </c>
      <c r="D78" s="33">
        <f t="shared" si="16"/>
        <v>0.71</v>
      </c>
      <c r="E78" s="33" t="str">
        <f t="shared" si="16"/>
        <v/>
      </c>
      <c r="F78" s="33" t="str">
        <f t="shared" si="16"/>
        <v/>
      </c>
      <c r="G78" s="33">
        <f t="shared" si="16"/>
        <v>2.41</v>
      </c>
      <c r="H78" s="33" t="str">
        <f t="shared" si="16"/>
        <v/>
      </c>
      <c r="I78" s="33" t="str">
        <f t="shared" si="16"/>
        <v/>
      </c>
      <c r="J78" s="33">
        <f t="shared" si="16"/>
        <v>0.8899999999999999</v>
      </c>
      <c r="K78" s="33" t="str">
        <f t="shared" si="16"/>
        <v/>
      </c>
      <c r="L78" s="33" t="str">
        <f t="shared" si="16"/>
        <v/>
      </c>
      <c r="M78" s="33" t="str">
        <f t="shared" si="16"/>
        <v/>
      </c>
      <c r="P78" s="34">
        <v>41684</v>
      </c>
      <c r="Q78" s="35" t="str">
        <f t="shared" si="17"/>
        <v/>
      </c>
      <c r="R78" s="35" t="str">
        <f t="shared" si="17"/>
        <v/>
      </c>
      <c r="S78" s="35">
        <f t="shared" si="17"/>
        <v>1.9600000000000004</v>
      </c>
      <c r="T78" s="35" t="str">
        <f t="shared" si="17"/>
        <v/>
      </c>
      <c r="U78" s="35" t="str">
        <f t="shared" si="17"/>
        <v/>
      </c>
      <c r="V78" s="35">
        <f t="shared" si="17"/>
        <v>0.38999999999999968</v>
      </c>
      <c r="W78" s="35" t="str">
        <f t="shared" si="17"/>
        <v/>
      </c>
      <c r="X78" s="35" t="str">
        <f t="shared" si="17"/>
        <v/>
      </c>
      <c r="Y78" s="35">
        <f t="shared" si="17"/>
        <v>2.2999999999999998</v>
      </c>
      <c r="Z78" s="35" t="str">
        <f t="shared" si="17"/>
        <v/>
      </c>
      <c r="AA78" s="35" t="str">
        <f t="shared" si="17"/>
        <v/>
      </c>
      <c r="AB78" s="35" t="str">
        <f t="shared" si="17"/>
        <v/>
      </c>
    </row>
    <row r="79" spans="1:28" x14ac:dyDescent="0.25">
      <c r="A79" s="34">
        <v>41691</v>
      </c>
      <c r="B79" s="33">
        <f t="shared" si="16"/>
        <v>1.86</v>
      </c>
      <c r="C79" s="33">
        <f t="shared" si="16"/>
        <v>0.92999999999999994</v>
      </c>
      <c r="D79" s="33">
        <f t="shared" si="16"/>
        <v>0.68000000000000016</v>
      </c>
      <c r="E79" s="33">
        <f t="shared" si="16"/>
        <v>1.9499999999999997</v>
      </c>
      <c r="F79" s="33">
        <f t="shared" si="16"/>
        <v>2.4900000000000002</v>
      </c>
      <c r="G79" s="33">
        <f t="shared" si="16"/>
        <v>1.7500000000000002</v>
      </c>
      <c r="H79" s="9">
        <f t="shared" si="16"/>
        <v>0.73999999999999977</v>
      </c>
      <c r="I79" s="33">
        <f t="shared" si="16"/>
        <v>2.27</v>
      </c>
      <c r="J79" s="33">
        <f t="shared" si="16"/>
        <v>0.58000000000000007</v>
      </c>
      <c r="K79" s="33" t="str">
        <f t="shared" si="16"/>
        <v/>
      </c>
      <c r="L79" s="33">
        <f t="shared" si="16"/>
        <v>7.9999999999999849E-2</v>
      </c>
      <c r="M79" s="33">
        <f t="shared" si="16"/>
        <v>1.9499999999999997</v>
      </c>
      <c r="P79" s="34">
        <v>41691</v>
      </c>
      <c r="Q79" s="35">
        <f t="shared" si="17"/>
        <v>0</v>
      </c>
      <c r="R79" s="35">
        <f t="shared" si="17"/>
        <v>1.6199999999999999</v>
      </c>
      <c r="S79" s="35">
        <f t="shared" si="17"/>
        <v>1.9900000000000002</v>
      </c>
      <c r="T79" s="35">
        <f t="shared" si="17"/>
        <v>0</v>
      </c>
      <c r="U79" s="35">
        <f t="shared" si="17"/>
        <v>0</v>
      </c>
      <c r="V79" s="35">
        <f t="shared" si="17"/>
        <v>1.0499999999999996</v>
      </c>
      <c r="W79" s="35">
        <f t="shared" si="17"/>
        <v>2.74</v>
      </c>
      <c r="X79" s="35">
        <f t="shared" si="17"/>
        <v>0</v>
      </c>
      <c r="Y79" s="35">
        <f t="shared" si="17"/>
        <v>2.6099999999999994</v>
      </c>
      <c r="Z79" s="35" t="str">
        <f t="shared" si="17"/>
        <v/>
      </c>
      <c r="AA79" s="35">
        <f t="shared" si="17"/>
        <v>1.9900000000000004</v>
      </c>
      <c r="AB79" s="35">
        <f t="shared" si="17"/>
        <v>0</v>
      </c>
    </row>
    <row r="80" spans="1:28" x14ac:dyDescent="0.25">
      <c r="A80" s="34">
        <v>41705</v>
      </c>
      <c r="B80" s="33">
        <f t="shared" si="16"/>
        <v>1.4200000000000002</v>
      </c>
      <c r="C80" s="33">
        <f t="shared" si="16"/>
        <v>0.42999999999999994</v>
      </c>
      <c r="D80" s="33">
        <f t="shared" si="16"/>
        <v>0</v>
      </c>
      <c r="E80" s="33">
        <f t="shared" si="16"/>
        <v>0.31999999999999984</v>
      </c>
      <c r="F80" s="33">
        <f t="shared" si="16"/>
        <v>1.35</v>
      </c>
      <c r="G80" s="33">
        <f t="shared" si="16"/>
        <v>0.10000000000000009</v>
      </c>
      <c r="H80" s="33">
        <f t="shared" si="16"/>
        <v>0.2799999999999998</v>
      </c>
      <c r="I80" s="33">
        <f t="shared" si="16"/>
        <v>2.27</v>
      </c>
      <c r="J80" s="33">
        <f t="shared" si="16"/>
        <v>0.48</v>
      </c>
      <c r="K80" s="33">
        <f t="shared" si="16"/>
        <v>2.2399999999999998</v>
      </c>
      <c r="L80" s="33">
        <f t="shared" si="16"/>
        <v>9.9999999999999867E-2</v>
      </c>
      <c r="M80" s="33">
        <f t="shared" si="16"/>
        <v>0.4099999999999997</v>
      </c>
      <c r="P80" s="34">
        <v>41705</v>
      </c>
      <c r="Q80" s="35">
        <f t="shared" si="17"/>
        <v>0.43999999999999995</v>
      </c>
      <c r="R80" s="35">
        <f t="shared" si="17"/>
        <v>2.12</v>
      </c>
      <c r="S80" s="35">
        <f t="shared" si="17"/>
        <v>2.6700000000000004</v>
      </c>
      <c r="T80" s="35">
        <f t="shared" si="17"/>
        <v>1.63</v>
      </c>
      <c r="U80" s="35">
        <f t="shared" si="17"/>
        <v>1.1400000000000001</v>
      </c>
      <c r="V80" s="35">
        <f t="shared" si="17"/>
        <v>2.6999999999999997</v>
      </c>
      <c r="W80" s="35">
        <f t="shared" si="17"/>
        <v>3.2</v>
      </c>
      <c r="X80" s="35">
        <f t="shared" si="17"/>
        <v>0</v>
      </c>
      <c r="Y80" s="35">
        <f t="shared" si="17"/>
        <v>2.7099999999999995</v>
      </c>
      <c r="Z80" s="35">
        <f t="shared" si="17"/>
        <v>0</v>
      </c>
      <c r="AA80" s="35">
        <f t="shared" si="17"/>
        <v>1.9700000000000004</v>
      </c>
      <c r="AB80" s="35">
        <f t="shared" si="17"/>
        <v>1.54</v>
      </c>
    </row>
    <row r="81" spans="1:28" x14ac:dyDescent="0.25">
      <c r="A81" s="1">
        <v>41712</v>
      </c>
      <c r="B81" s="33">
        <f t="shared" si="16"/>
        <v>1.47</v>
      </c>
      <c r="C81" s="33">
        <f t="shared" si="16"/>
        <v>0.8</v>
      </c>
      <c r="D81" s="33">
        <f t="shared" si="16"/>
        <v>7.0000000000000062E-2</v>
      </c>
      <c r="E81" s="33">
        <f t="shared" si="16"/>
        <v>0.24</v>
      </c>
      <c r="F81" s="33">
        <f t="shared" si="16"/>
        <v>1.25</v>
      </c>
      <c r="G81" s="33">
        <f t="shared" si="16"/>
        <v>0</v>
      </c>
      <c r="H81" s="33">
        <f t="shared" si="16"/>
        <v>0.21999999999999975</v>
      </c>
      <c r="I81" s="33">
        <f t="shared" si="16"/>
        <v>0.79</v>
      </c>
      <c r="J81" s="33">
        <f t="shared" si="16"/>
        <v>0.16999999999999993</v>
      </c>
      <c r="K81" s="33">
        <f t="shared" si="16"/>
        <v>2.2399999999999998</v>
      </c>
      <c r="L81" s="33">
        <f t="shared" si="16"/>
        <v>6.999999999999984E-2</v>
      </c>
      <c r="M81" s="33">
        <f t="shared" si="16"/>
        <v>0.12999999999999989</v>
      </c>
      <c r="P81" s="1">
        <v>41712</v>
      </c>
      <c r="Q81" s="35">
        <f>IF(B81="","",MAX(0,B$51-B81))</f>
        <v>0.39000000000000012</v>
      </c>
      <c r="R81" s="35">
        <f t="shared" si="17"/>
        <v>1.7499999999999998</v>
      </c>
      <c r="S81" s="35">
        <f t="shared" si="17"/>
        <v>2.6000000000000005</v>
      </c>
      <c r="T81" s="35">
        <f t="shared" si="17"/>
        <v>1.7099999999999997</v>
      </c>
      <c r="U81" s="35">
        <f t="shared" si="17"/>
        <v>1.2400000000000002</v>
      </c>
      <c r="V81" s="35">
        <f t="shared" si="17"/>
        <v>2.8</v>
      </c>
      <c r="W81" s="35">
        <f t="shared" si="17"/>
        <v>3.2600000000000002</v>
      </c>
      <c r="X81" s="35">
        <f t="shared" si="17"/>
        <v>1.48</v>
      </c>
      <c r="Y81" s="35">
        <f t="shared" si="17"/>
        <v>3.0199999999999996</v>
      </c>
      <c r="Z81" s="35">
        <f t="shared" si="17"/>
        <v>0</v>
      </c>
      <c r="AA81" s="35">
        <f t="shared" si="17"/>
        <v>2.0000000000000004</v>
      </c>
      <c r="AB81" s="35">
        <f t="shared" si="17"/>
        <v>1.8199999999999998</v>
      </c>
    </row>
    <row r="82" spans="1:28" x14ac:dyDescent="0.25">
      <c r="A82" s="1">
        <v>41718</v>
      </c>
      <c r="B82" s="33">
        <f t="shared" si="16"/>
        <v>1.74</v>
      </c>
      <c r="C82" s="33">
        <f t="shared" si="16"/>
        <v>1.5399999999999998</v>
      </c>
      <c r="D82" s="33">
        <f t="shared" si="16"/>
        <v>0.73</v>
      </c>
      <c r="E82" s="33">
        <f t="shared" si="16"/>
        <v>1.4699999999999998</v>
      </c>
      <c r="F82" s="33">
        <f t="shared" si="16"/>
        <v>1.37</v>
      </c>
      <c r="G82" s="33">
        <f t="shared" si="16"/>
        <v>8.0000000000000071E-2</v>
      </c>
      <c r="H82" s="33">
        <f t="shared" si="16"/>
        <v>0.27</v>
      </c>
      <c r="I82" s="33">
        <f t="shared" si="16"/>
        <v>2.27</v>
      </c>
      <c r="J82" s="33">
        <f t="shared" si="16"/>
        <v>0.52</v>
      </c>
      <c r="K82" s="33">
        <f t="shared" si="16"/>
        <v>2.2399999999999998</v>
      </c>
      <c r="L82" s="33">
        <f t="shared" si="16"/>
        <v>0.12999999999999989</v>
      </c>
      <c r="M82" s="33">
        <f t="shared" si="16"/>
        <v>0.98</v>
      </c>
      <c r="P82" s="1">
        <v>41718</v>
      </c>
      <c r="Q82" s="35">
        <f t="shared" ref="Q82" si="18">IF(B82="","",MAX(0,B$51-B82))</f>
        <v>0.12000000000000011</v>
      </c>
      <c r="R82" s="35">
        <f t="shared" si="17"/>
        <v>1.01</v>
      </c>
      <c r="S82" s="35">
        <f t="shared" si="17"/>
        <v>1.9400000000000004</v>
      </c>
      <c r="T82" s="35">
        <f t="shared" si="17"/>
        <v>0.48</v>
      </c>
      <c r="U82" s="35">
        <f t="shared" si="17"/>
        <v>1.1200000000000001</v>
      </c>
      <c r="V82" s="35">
        <f t="shared" si="17"/>
        <v>2.7199999999999998</v>
      </c>
      <c r="W82" s="35">
        <f t="shared" si="17"/>
        <v>3.21</v>
      </c>
      <c r="X82" s="35">
        <f t="shared" si="17"/>
        <v>0</v>
      </c>
      <c r="Y82" s="35">
        <f t="shared" si="17"/>
        <v>2.6699999999999995</v>
      </c>
      <c r="Z82" s="35">
        <f t="shared" si="17"/>
        <v>0</v>
      </c>
      <c r="AA82" s="35">
        <f t="shared" si="17"/>
        <v>1.9400000000000004</v>
      </c>
      <c r="AB82" s="35">
        <f t="shared" si="17"/>
        <v>0.96999999999999975</v>
      </c>
    </row>
    <row r="83" spans="1:28" x14ac:dyDescent="0.25">
      <c r="A83" s="1">
        <v>41747</v>
      </c>
      <c r="B83" s="33">
        <f>IF(B29="","",IF(IF(B29="dry",B$52,B29-B$36)&lt;0,0,IF(B29="dry",B$52,B29-B$36)))</f>
        <v>1.86</v>
      </c>
      <c r="C83" s="33">
        <f t="shared" ref="C83:M83" si="19">IF(C29="","",IF(IF(C29="dry",C$52,C29-C$36)&lt;0,0,IF(C29="dry",C$52,C29-C$36)))</f>
        <v>2.5499999999999998</v>
      </c>
      <c r="D83" s="33">
        <f t="shared" si="19"/>
        <v>1.9300000000000002</v>
      </c>
      <c r="E83" s="33">
        <f t="shared" si="19"/>
        <v>1.9499999999999997</v>
      </c>
      <c r="F83" s="33">
        <f t="shared" si="19"/>
        <v>2.4900000000000002</v>
      </c>
      <c r="G83" s="9">
        <f t="shared" si="19"/>
        <v>0.75000000000000022</v>
      </c>
      <c r="H83" s="33">
        <f t="shared" si="19"/>
        <v>1.3900000000000001</v>
      </c>
      <c r="I83" s="33">
        <f t="shared" si="19"/>
        <v>2.27</v>
      </c>
      <c r="J83" s="33">
        <f t="shared" si="19"/>
        <v>0.31000000000000005</v>
      </c>
      <c r="K83" s="33">
        <f t="shared" si="19"/>
        <v>2.2399999999999998</v>
      </c>
      <c r="L83" s="33">
        <f t="shared" si="19"/>
        <v>0.12999999999999989</v>
      </c>
      <c r="M83" s="33">
        <f t="shared" si="19"/>
        <v>1.9499999999999997</v>
      </c>
      <c r="P83" s="1">
        <v>41747</v>
      </c>
      <c r="Q83" s="35">
        <f>IF(B83="","",MAX(0,B$52-B83))</f>
        <v>0</v>
      </c>
      <c r="R83" s="35">
        <f t="shared" ref="R83:AB83" si="20">IF(C83="","",MAX(0,C$52-C83))</f>
        <v>0</v>
      </c>
      <c r="S83" s="35">
        <f t="shared" si="20"/>
        <v>0.74000000000000021</v>
      </c>
      <c r="T83" s="35">
        <f t="shared" si="20"/>
        <v>0</v>
      </c>
      <c r="U83" s="35">
        <f t="shared" si="20"/>
        <v>0</v>
      </c>
      <c r="V83" s="35">
        <f t="shared" si="20"/>
        <v>2.0499999999999998</v>
      </c>
      <c r="W83" s="35">
        <f t="shared" si="20"/>
        <v>2.09</v>
      </c>
      <c r="X83" s="35">
        <f t="shared" si="20"/>
        <v>0</v>
      </c>
      <c r="Y83" s="35">
        <f t="shared" si="20"/>
        <v>2.8799999999999994</v>
      </c>
      <c r="Z83" s="35">
        <f t="shared" si="20"/>
        <v>0</v>
      </c>
      <c r="AA83" s="35">
        <f t="shared" si="20"/>
        <v>1.9400000000000004</v>
      </c>
      <c r="AB83" s="35">
        <f t="shared" si="20"/>
        <v>0</v>
      </c>
    </row>
    <row r="95" spans="1:28" x14ac:dyDescent="0.25">
      <c r="S95" t="s">
        <v>190</v>
      </c>
      <c r="T95" t="s">
        <v>191</v>
      </c>
    </row>
    <row r="96" spans="1:28" x14ac:dyDescent="0.25">
      <c r="R96" s="34">
        <v>40948</v>
      </c>
      <c r="S96" s="35" t="str">
        <f>IF(S56="","",S56*25.4*12)</f>
        <v/>
      </c>
      <c r="T96" s="35" t="str">
        <f>IF(Y56="","",Y56*25.4*12)</f>
        <v/>
      </c>
    </row>
    <row r="97" spans="18:20" x14ac:dyDescent="0.25">
      <c r="R97" s="34">
        <v>40949</v>
      </c>
      <c r="S97" s="35">
        <f t="shared" ref="S97:S123" si="21">IF(S57="","",S57*25.4*12)</f>
        <v>0</v>
      </c>
      <c r="T97" s="35">
        <f>IF(Y57="","",Y57*25.4*12)</f>
        <v>930.65599999999972</v>
      </c>
    </row>
    <row r="98" spans="18:20" x14ac:dyDescent="0.25">
      <c r="R98" s="34">
        <v>40969</v>
      </c>
      <c r="S98" s="35">
        <f t="shared" si="21"/>
        <v>785.36799999999982</v>
      </c>
      <c r="T98" s="35">
        <f t="shared" ref="T98:T123" si="22">IF(Y58="","",Y58*25.4*12)</f>
        <v>863.59999999999991</v>
      </c>
    </row>
    <row r="99" spans="18:20" x14ac:dyDescent="0.25">
      <c r="R99" s="34">
        <v>40970</v>
      </c>
      <c r="S99" s="35">
        <f t="shared" si="21"/>
        <v>770.12799999999993</v>
      </c>
      <c r="T99" s="35">
        <f t="shared" si="22"/>
        <v>863.59999999999991</v>
      </c>
    </row>
    <row r="100" spans="18:20" x14ac:dyDescent="0.25">
      <c r="R100" s="34">
        <v>40995</v>
      </c>
      <c r="S100" s="35">
        <f t="shared" si="21"/>
        <v>785.36799999999982</v>
      </c>
      <c r="T100" s="35">
        <f t="shared" si="22"/>
        <v>924.55999999999983</v>
      </c>
    </row>
    <row r="101" spans="18:20" x14ac:dyDescent="0.25">
      <c r="R101" s="34">
        <v>41022</v>
      </c>
      <c r="S101" s="35">
        <f t="shared" si="21"/>
        <v>361.69599999999986</v>
      </c>
      <c r="T101" s="35">
        <f t="shared" si="22"/>
        <v>650.23999999999978</v>
      </c>
    </row>
    <row r="102" spans="18:20" x14ac:dyDescent="0.25">
      <c r="R102" s="34">
        <v>41037</v>
      </c>
      <c r="S102" s="35">
        <f t="shared" si="21"/>
        <v>309.87999999999982</v>
      </c>
      <c r="T102" s="35">
        <f t="shared" si="22"/>
        <v>589.28000000000009</v>
      </c>
    </row>
    <row r="103" spans="18:20" x14ac:dyDescent="0.25">
      <c r="R103" s="34">
        <v>41078</v>
      </c>
      <c r="S103" s="35">
        <f t="shared" si="21"/>
        <v>203.19999999999979</v>
      </c>
      <c r="T103" s="35">
        <f t="shared" si="22"/>
        <v>467.36000000000013</v>
      </c>
    </row>
    <row r="104" spans="18:20" x14ac:dyDescent="0.25">
      <c r="R104" s="34">
        <v>41229</v>
      </c>
      <c r="S104" s="35" t="str">
        <f t="shared" si="21"/>
        <v/>
      </c>
      <c r="T104" s="35" t="str">
        <f t="shared" si="22"/>
        <v/>
      </c>
    </row>
    <row r="105" spans="18:20" x14ac:dyDescent="0.25">
      <c r="R105" s="34">
        <v>41248</v>
      </c>
      <c r="S105" s="35">
        <f t="shared" si="21"/>
        <v>704.8499999999998</v>
      </c>
      <c r="T105" s="35">
        <f t="shared" si="22"/>
        <v>897.8900000000001</v>
      </c>
    </row>
    <row r="106" spans="18:20" x14ac:dyDescent="0.25">
      <c r="R106" s="34">
        <v>41277</v>
      </c>
      <c r="S106" s="35">
        <f t="shared" si="21"/>
        <v>279.39999999999981</v>
      </c>
      <c r="T106" s="35">
        <f t="shared" si="22"/>
        <v>650.24000000000012</v>
      </c>
    </row>
    <row r="107" spans="18:20" x14ac:dyDescent="0.25">
      <c r="R107" s="1">
        <v>41283</v>
      </c>
      <c r="S107" s="35">
        <f t="shared" si="21"/>
        <v>678.17999999999984</v>
      </c>
      <c r="T107" s="35">
        <f t="shared" si="22"/>
        <v>965.2</v>
      </c>
    </row>
    <row r="108" spans="18:20" x14ac:dyDescent="0.25">
      <c r="R108" s="34">
        <v>41284</v>
      </c>
      <c r="S108" s="35">
        <f t="shared" si="21"/>
        <v>632.4599999999997</v>
      </c>
      <c r="T108" s="35">
        <f t="shared" si="22"/>
        <v>965.2</v>
      </c>
    </row>
    <row r="109" spans="18:20" x14ac:dyDescent="0.25">
      <c r="R109" s="34">
        <v>41305</v>
      </c>
      <c r="S109" s="35">
        <f t="shared" si="21"/>
        <v>803.14799999999968</v>
      </c>
      <c r="T109" s="35">
        <f t="shared" si="22"/>
        <v>980.44</v>
      </c>
    </row>
    <row r="110" spans="18:20" x14ac:dyDescent="0.25">
      <c r="R110" s="34">
        <v>41310</v>
      </c>
      <c r="S110" s="35">
        <f t="shared" si="21"/>
        <v>638.55599999999993</v>
      </c>
      <c r="T110" s="35">
        <f t="shared" si="22"/>
        <v>974.34400000000005</v>
      </c>
    </row>
    <row r="111" spans="18:20" x14ac:dyDescent="0.25">
      <c r="R111" s="34">
        <v>41317</v>
      </c>
      <c r="S111" s="35">
        <f t="shared" si="21"/>
        <v>662.9399999999996</v>
      </c>
      <c r="T111" s="35">
        <f t="shared" si="22"/>
        <v>956.05600000000004</v>
      </c>
    </row>
    <row r="112" spans="18:20" x14ac:dyDescent="0.25">
      <c r="R112" s="34">
        <v>41334</v>
      </c>
      <c r="S112" s="35">
        <f t="shared" si="21"/>
        <v>888.99999999999977</v>
      </c>
      <c r="T112" s="35">
        <f t="shared" si="22"/>
        <v>965.2</v>
      </c>
    </row>
    <row r="113" spans="18:20" x14ac:dyDescent="0.25">
      <c r="R113" s="34">
        <v>41361</v>
      </c>
      <c r="S113" s="35">
        <f t="shared" si="21"/>
        <v>356.6160000000001</v>
      </c>
      <c r="T113" s="35">
        <f t="shared" si="22"/>
        <v>685.79999999999984</v>
      </c>
    </row>
    <row r="114" spans="18:20" x14ac:dyDescent="0.25">
      <c r="R114" s="34">
        <v>41646</v>
      </c>
      <c r="S114" s="35">
        <f>IF(S74="","",S74*25.4*12)</f>
        <v>0</v>
      </c>
      <c r="T114" s="35">
        <f t="shared" si="22"/>
        <v>0</v>
      </c>
    </row>
    <row r="115" spans="18:20" x14ac:dyDescent="0.25">
      <c r="R115" s="34">
        <v>41653</v>
      </c>
      <c r="S115" s="35" t="str">
        <f t="shared" si="21"/>
        <v/>
      </c>
      <c r="T115" s="35">
        <f t="shared" si="22"/>
        <v>64.007999999999726</v>
      </c>
    </row>
    <row r="116" spans="18:20" x14ac:dyDescent="0.25">
      <c r="R116" s="34">
        <v>41670</v>
      </c>
      <c r="S116" s="35">
        <f t="shared" si="21"/>
        <v>0</v>
      </c>
      <c r="T116" s="35">
        <f t="shared" si="22"/>
        <v>170.68799999999987</v>
      </c>
    </row>
    <row r="117" spans="18:20" x14ac:dyDescent="0.25">
      <c r="R117" s="34">
        <v>41681</v>
      </c>
      <c r="S117" s="35">
        <f t="shared" si="21"/>
        <v>0</v>
      </c>
      <c r="T117" s="35">
        <f t="shared" si="22"/>
        <v>0</v>
      </c>
    </row>
    <row r="118" spans="18:20" x14ac:dyDescent="0.25">
      <c r="R118" s="34">
        <v>41684</v>
      </c>
      <c r="S118" s="35">
        <f t="shared" si="21"/>
        <v>597.40800000000013</v>
      </c>
      <c r="T118" s="35">
        <f t="shared" si="22"/>
        <v>701.04</v>
      </c>
    </row>
    <row r="119" spans="18:20" x14ac:dyDescent="0.25">
      <c r="R119" s="34">
        <v>41691</v>
      </c>
      <c r="S119" s="35">
        <f t="shared" si="21"/>
        <v>606.55200000000002</v>
      </c>
      <c r="T119" s="35">
        <f t="shared" si="22"/>
        <v>795.52799999999979</v>
      </c>
    </row>
    <row r="120" spans="18:20" x14ac:dyDescent="0.25">
      <c r="R120" s="34">
        <v>41705</v>
      </c>
      <c r="S120" s="35">
        <f t="shared" si="21"/>
        <v>813.81600000000014</v>
      </c>
      <c r="T120" s="35">
        <f t="shared" si="22"/>
        <v>826.00799999999981</v>
      </c>
    </row>
    <row r="121" spans="18:20" x14ac:dyDescent="0.25">
      <c r="R121" s="1">
        <v>41712</v>
      </c>
      <c r="S121" s="35">
        <f t="shared" si="21"/>
        <v>792.48</v>
      </c>
      <c r="T121" s="35">
        <f t="shared" si="22"/>
        <v>920.49599999999987</v>
      </c>
    </row>
    <row r="122" spans="18:20" x14ac:dyDescent="0.25">
      <c r="R122" s="1">
        <v>41718</v>
      </c>
      <c r="S122" s="35">
        <f t="shared" si="21"/>
        <v>591.31200000000013</v>
      </c>
      <c r="T122" s="35">
        <f t="shared" si="22"/>
        <v>813.8159999999998</v>
      </c>
    </row>
    <row r="123" spans="18:20" x14ac:dyDescent="0.25">
      <c r="R123" s="1">
        <v>41747</v>
      </c>
      <c r="S123" s="35">
        <f t="shared" si="21"/>
        <v>225.55200000000002</v>
      </c>
      <c r="T123" s="35">
        <f t="shared" si="22"/>
        <v>877.82399999999984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306"/>
  <sheetViews>
    <sheetView topLeftCell="A192" zoomScale="85" zoomScaleNormal="85" workbookViewId="0">
      <selection activeCell="G225" sqref="G225"/>
    </sheetView>
  </sheetViews>
  <sheetFormatPr defaultRowHeight="15" x14ac:dyDescent="0.25"/>
  <cols>
    <col min="2" max="2" width="12.42578125" customWidth="1"/>
    <col min="3" max="3" width="13.7109375" customWidth="1"/>
    <col min="4" max="4" width="10.85546875" bestFit="1" customWidth="1"/>
    <col min="11" max="11" width="15.28515625" customWidth="1"/>
    <col min="18" max="18" width="12.140625" customWidth="1"/>
    <col min="21" max="21" width="13.28515625" customWidth="1"/>
    <col min="22" max="22" width="12.7109375" customWidth="1"/>
    <col min="23" max="30" width="12.7109375" bestFit="1" customWidth="1"/>
    <col min="31" max="33" width="13.85546875" bestFit="1" customWidth="1"/>
  </cols>
  <sheetData>
    <row r="2" spans="2:33" x14ac:dyDescent="0.25">
      <c r="I2" t="s">
        <v>136</v>
      </c>
    </row>
    <row r="6" spans="2:33" x14ac:dyDescent="0.25"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V6" s="4"/>
    </row>
    <row r="7" spans="2:33" x14ac:dyDescent="0.25">
      <c r="B7" t="s">
        <v>36</v>
      </c>
      <c r="C7" t="s">
        <v>37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2</v>
      </c>
      <c r="J7" t="s">
        <v>3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</row>
    <row r="8" spans="2:33" x14ac:dyDescent="0.25">
      <c r="B8">
        <v>1</v>
      </c>
      <c r="C8" s="16">
        <v>40836</v>
      </c>
      <c r="D8" s="8">
        <f>E132*VLOOKUP($B8,$D$61:$G$63,4,FALSE)</f>
        <v>0.16607677005927954</v>
      </c>
      <c r="E8" s="8">
        <f>F132*VLOOKUP($B8,$D$64:$G$66,4,FALSE)</f>
        <v>0.15184595770500134</v>
      </c>
      <c r="F8" s="8">
        <f>G132*VLOOKUP($B8,$D$67:$G$69,4,FALSE)</f>
        <v>0.28396005010534886</v>
      </c>
      <c r="G8" s="8">
        <f>H132*VLOOKUP($B8,$D$70:$G$72,4,FALSE)</f>
        <v>0.29756606984448475</v>
      </c>
      <c r="H8" s="8">
        <f>I132*VLOOKUP($B8,$D$73:$G$75,4,FALSE)</f>
        <v>0.26721298874277971</v>
      </c>
      <c r="I8" s="8">
        <f>J132*VLOOKUP($B8,$D$76:$G$78,4,FALSE)</f>
        <v>0.23496814094038262</v>
      </c>
      <c r="J8" s="8">
        <f>K132*VLOOKUP($B8,$D$79:$G$81,4,FALSE)</f>
        <v>0.25189780474829371</v>
      </c>
      <c r="K8" s="8">
        <f>L132*VLOOKUP($B8,$D$82:$G$84,4,FALSE)</f>
        <v>0.16716071584400113</v>
      </c>
      <c r="L8" s="8">
        <f>M132*VLOOKUP($B8,$D$82:$G$84,4,FALSE)</f>
        <v>0.2742913403628085</v>
      </c>
      <c r="M8" s="8">
        <f>N132*VLOOKUP($B8,$D$88:$G$90,4,FALSE)</f>
        <v>0.18287513162471913</v>
      </c>
      <c r="N8" s="8">
        <f>O132*VLOOKUP($B8,$D$91:$G$93,4,FALSE)</f>
        <v>0.29374818898327099</v>
      </c>
      <c r="O8" s="8">
        <f>P132*VLOOKUP($B8,$D$94:$G$96,4,FALSE)</f>
        <v>0.28719415340550508</v>
      </c>
    </row>
    <row r="9" spans="2:33" x14ac:dyDescent="0.25">
      <c r="B9">
        <v>1</v>
      </c>
      <c r="C9" s="1">
        <v>41037</v>
      </c>
      <c r="D9" s="17">
        <f t="shared" ref="D9:D57" si="0">E133*VLOOKUP(B9,$D$61:$G$63,4,FALSE)</f>
        <v>0.32527468573338814</v>
      </c>
      <c r="E9" s="17">
        <f t="shared" ref="E9:E57" si="1">F133*VLOOKUP($B9,$D$64:$G$66,4,FALSE)</f>
        <v>0.2733602628266909</v>
      </c>
      <c r="F9" s="17">
        <f t="shared" ref="F9:F57" si="2">G133*VLOOKUP($B9,$D$67:$G$69,4,FALSE)</f>
        <v>0.32763699536339824</v>
      </c>
      <c r="G9" s="17">
        <f t="shared" ref="G9:G57" si="3">H133*VLOOKUP($B9,$D$70:$G$72,4,FALSE)</f>
        <v>0.34407215500043609</v>
      </c>
      <c r="H9" s="17">
        <f t="shared" ref="H9:H57" si="4">I133*VLOOKUP($B9,$D$73:$G$75,4,FALSE)</f>
        <v>0.27849453869603014</v>
      </c>
      <c r="I9" s="17">
        <f t="shared" ref="I9:I57" si="5">J133*VLOOKUP($B9,$D$76:$G$78,4,FALSE)</f>
        <v>0.38141625494804332</v>
      </c>
      <c r="J9" s="17">
        <f t="shared" ref="J9:J57" si="6">K133*VLOOKUP($B9,$D$79:$G$81,4,FALSE)</f>
        <v>0.34041537193932836</v>
      </c>
      <c r="K9" s="17">
        <f t="shared" ref="K9:L57" si="7">L133*VLOOKUP($B9,$D$82:$G$84,4,FALSE)</f>
        <v>0.32337371390182162</v>
      </c>
      <c r="L9" s="17">
        <f t="shared" si="7"/>
        <v>0.32276335391211602</v>
      </c>
      <c r="M9" s="17">
        <f t="shared" ref="M9:M57" si="8">N133*VLOOKUP($B9,$D$88:$G$90,4,FALSE)</f>
        <v>0.31499250033871906</v>
      </c>
      <c r="N9" s="17">
        <f t="shared" ref="N9:N57" si="9">O133*VLOOKUP($B9,$D$91:$G$93,4,FALSE)</f>
        <v>0.33991804958710309</v>
      </c>
      <c r="O9" s="17">
        <f t="shared" ref="O9:O57" si="10">P133*VLOOKUP($B9,$D$94:$G$96,4,FALSE)</f>
        <v>0.36025370331031153</v>
      </c>
      <c r="U9" s="11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2:33" x14ac:dyDescent="0.25">
      <c r="B10">
        <v>1</v>
      </c>
      <c r="C10" s="16">
        <v>41185</v>
      </c>
      <c r="D10" s="8">
        <f t="shared" si="0"/>
        <v>7.4596820781675427E-2</v>
      </c>
      <c r="E10" s="17">
        <f t="shared" si="1"/>
        <v>7.7117467568081702E-2</v>
      </c>
      <c r="F10" s="17">
        <f t="shared" si="2"/>
        <v>9.646124296146158E-2</v>
      </c>
      <c r="G10" s="17" t="e">
        <f t="shared" si="3"/>
        <v>#N/A</v>
      </c>
      <c r="H10" s="17">
        <f t="shared" si="4"/>
        <v>7.5278320782349681E-2</v>
      </c>
      <c r="I10" s="17">
        <f t="shared" si="5"/>
        <v>8.1532592133545745E-2</v>
      </c>
      <c r="J10" s="17">
        <f t="shared" si="6"/>
        <v>0.10425931603868878</v>
      </c>
      <c r="K10" s="17">
        <f t="shared" si="7"/>
        <v>7.5692553547243926E-2</v>
      </c>
      <c r="L10" s="17">
        <f t="shared" si="7"/>
        <v>0.19057174110269773</v>
      </c>
      <c r="M10" s="17">
        <f t="shared" si="8"/>
        <v>7.9127276618476475E-2</v>
      </c>
      <c r="N10" s="17">
        <f t="shared" si="9"/>
        <v>0.12353636803453731</v>
      </c>
      <c r="O10" s="17">
        <f t="shared" si="10"/>
        <v>6.8065890566560053E-2</v>
      </c>
      <c r="U10" s="11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2:33" x14ac:dyDescent="0.25">
      <c r="B11">
        <v>1</v>
      </c>
      <c r="C11" s="16">
        <v>41362</v>
      </c>
      <c r="D11" s="8">
        <f t="shared" si="0"/>
        <v>0.29004754728109111</v>
      </c>
      <c r="E11" s="17">
        <f t="shared" si="1"/>
        <v>0.26915765509570228</v>
      </c>
      <c r="F11" s="17">
        <f t="shared" si="2"/>
        <v>0.35347326146126518</v>
      </c>
      <c r="G11" s="17">
        <f t="shared" si="3"/>
        <v>0.34059607077870707</v>
      </c>
      <c r="H11" s="17">
        <f t="shared" si="4"/>
        <v>0.29510377023905215</v>
      </c>
      <c r="I11" s="17">
        <f t="shared" si="5"/>
        <v>0.39331018830507014</v>
      </c>
      <c r="J11" s="17">
        <f t="shared" si="6"/>
        <v>0.33508112744730978</v>
      </c>
      <c r="K11" s="17">
        <f t="shared" si="7"/>
        <v>0.2560911471741284</v>
      </c>
      <c r="L11" s="17">
        <f t="shared" si="7"/>
        <v>0.35565076089982234</v>
      </c>
      <c r="M11" s="17">
        <f t="shared" si="8"/>
        <v>0.29355312504517195</v>
      </c>
      <c r="N11" s="17">
        <f t="shared" si="9"/>
        <v>0.35611605849560229</v>
      </c>
      <c r="O11" s="17">
        <f t="shared" si="10"/>
        <v>0.32245756801293896</v>
      </c>
      <c r="U11" s="11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2:33" x14ac:dyDescent="0.25">
      <c r="B12">
        <v>1</v>
      </c>
      <c r="C12" s="16">
        <v>41432</v>
      </c>
      <c r="D12" s="17">
        <f t="shared" si="0"/>
        <v>0.19192307958374039</v>
      </c>
      <c r="E12" s="17">
        <f t="shared" si="1"/>
        <v>0.1821786466618312</v>
      </c>
      <c r="F12" s="17">
        <f t="shared" si="2"/>
        <v>0.20563404497099469</v>
      </c>
      <c r="G12" s="17">
        <f t="shared" si="3"/>
        <v>0.18465480093156658</v>
      </c>
      <c r="H12" s="17">
        <f t="shared" si="4"/>
        <v>0.20767556976465743</v>
      </c>
      <c r="I12" s="17">
        <f t="shared" si="5"/>
        <v>0.29675842383361717</v>
      </c>
      <c r="J12" s="17">
        <f t="shared" si="6"/>
        <v>0.2079925907227701</v>
      </c>
      <c r="K12" s="17">
        <f t="shared" si="7"/>
        <v>0.13454403019461145</v>
      </c>
      <c r="L12" s="17">
        <f t="shared" si="7"/>
        <v>0.22263155485446753</v>
      </c>
      <c r="M12" s="17">
        <f t="shared" si="8"/>
        <v>0.15513752655138424</v>
      </c>
      <c r="N12" s="17">
        <f t="shared" si="9"/>
        <v>0.21739519629266141</v>
      </c>
      <c r="O12" s="17">
        <f t="shared" si="10"/>
        <v>0.19318025053875673</v>
      </c>
      <c r="U12" s="11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2:33" x14ac:dyDescent="0.25">
      <c r="B13">
        <v>1</v>
      </c>
      <c r="C13" s="16">
        <v>41527</v>
      </c>
      <c r="D13" s="17">
        <f t="shared" si="0"/>
        <v>0.11695564551392189</v>
      </c>
      <c r="E13" s="8">
        <f t="shared" si="1"/>
        <v>0.20246651262991291</v>
      </c>
      <c r="F13" s="17">
        <f t="shared" si="2"/>
        <v>0.15810499321465465</v>
      </c>
      <c r="G13" s="17">
        <f t="shared" si="3"/>
        <v>0.17886437495110594</v>
      </c>
      <c r="H13" s="17">
        <f t="shared" si="4"/>
        <v>0.13673987236476587</v>
      </c>
      <c r="I13" s="17">
        <f t="shared" si="5"/>
        <v>0.12671431007374695</v>
      </c>
      <c r="J13" s="17">
        <f t="shared" si="6"/>
        <v>0.14373750849967604</v>
      </c>
      <c r="K13" s="17">
        <f t="shared" si="7"/>
        <v>0.12040930298554216</v>
      </c>
      <c r="L13" s="17">
        <f t="shared" si="7"/>
        <v>0.13835620154500705</v>
      </c>
      <c r="M13" s="17">
        <f t="shared" si="8"/>
        <v>0.12349327703551982</v>
      </c>
      <c r="N13" s="17">
        <f t="shared" si="9"/>
        <v>0.13451638823878451</v>
      </c>
      <c r="O13" s="17">
        <f t="shared" si="10"/>
        <v>0.12006365368595794</v>
      </c>
      <c r="U13" s="11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2:33" x14ac:dyDescent="0.25">
      <c r="B14">
        <v>1</v>
      </c>
      <c r="C14" s="16">
        <v>41667</v>
      </c>
      <c r="D14" s="17" t="e">
        <f t="shared" si="0"/>
        <v>#N/A</v>
      </c>
      <c r="E14" s="17" t="e">
        <f t="shared" si="1"/>
        <v>#N/A</v>
      </c>
      <c r="F14" s="17" t="e">
        <f t="shared" si="2"/>
        <v>#N/A</v>
      </c>
      <c r="G14" s="8">
        <f t="shared" si="3"/>
        <v>0.34785202898772799</v>
      </c>
      <c r="H14" s="17" t="e">
        <f t="shared" si="4"/>
        <v>#N/A</v>
      </c>
      <c r="I14" s="17">
        <f t="shared" si="5"/>
        <v>0.32676193122782882</v>
      </c>
      <c r="J14" s="8">
        <f t="shared" si="6"/>
        <v>0.32236714759327501</v>
      </c>
      <c r="K14" s="17">
        <f t="shared" si="7"/>
        <v>0.31203523652485665</v>
      </c>
      <c r="L14" s="17">
        <f t="shared" si="7"/>
        <v>0.30791190937694157</v>
      </c>
      <c r="M14" s="8">
        <f t="shared" si="8"/>
        <v>0.29792738388901813</v>
      </c>
      <c r="N14" s="17">
        <f t="shared" si="9"/>
        <v>0.33213367183205533</v>
      </c>
      <c r="O14" s="17" t="e">
        <f t="shared" si="10"/>
        <v>#N/A</v>
      </c>
      <c r="U14" s="11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2:33" x14ac:dyDescent="0.25">
      <c r="B15">
        <v>1</v>
      </c>
      <c r="C15" s="16">
        <v>41674</v>
      </c>
      <c r="D15" s="8">
        <f t="shared" si="0"/>
        <v>0.30275878492017366</v>
      </c>
      <c r="E15" s="17">
        <f t="shared" si="1"/>
        <v>0.28910632657295859</v>
      </c>
      <c r="F15" s="8">
        <f t="shared" si="2"/>
        <v>0.3443411570535202</v>
      </c>
      <c r="G15" s="17" t="e">
        <f t="shared" si="3"/>
        <v>#N/A</v>
      </c>
      <c r="H15" s="8">
        <f t="shared" si="4"/>
        <v>0.28236577880081581</v>
      </c>
      <c r="I15" s="17" t="e">
        <f t="shared" si="5"/>
        <v>#N/A</v>
      </c>
      <c r="J15" s="17" t="e">
        <f t="shared" si="6"/>
        <v>#N/A</v>
      </c>
      <c r="K15" s="17" t="e">
        <f t="shared" si="7"/>
        <v>#N/A</v>
      </c>
      <c r="L15" s="17" t="e">
        <f t="shared" si="7"/>
        <v>#N/A</v>
      </c>
      <c r="M15" s="17" t="e">
        <f t="shared" si="8"/>
        <v>#N/A</v>
      </c>
      <c r="N15" s="17" t="e">
        <f t="shared" si="9"/>
        <v>#N/A</v>
      </c>
      <c r="O15" s="17">
        <f t="shared" si="10"/>
        <v>0.3185182168334475</v>
      </c>
      <c r="U15" s="11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2:33" x14ac:dyDescent="0.25">
      <c r="B16">
        <v>1</v>
      </c>
      <c r="C16" s="16">
        <v>41747</v>
      </c>
      <c r="D16" s="17">
        <f t="shared" si="0"/>
        <v>0.3151164447965043</v>
      </c>
      <c r="E16" s="17">
        <f t="shared" si="1"/>
        <v>0.28594947752048433</v>
      </c>
      <c r="F16" s="17">
        <f t="shared" si="2"/>
        <v>0.33884111393281113</v>
      </c>
      <c r="G16" s="17">
        <f t="shared" si="3"/>
        <v>0.33446866124216751</v>
      </c>
      <c r="H16" s="17">
        <f t="shared" si="4"/>
        <v>0.29966409548445078</v>
      </c>
      <c r="I16" s="17">
        <f t="shared" si="5"/>
        <v>0.41659430417296645</v>
      </c>
      <c r="J16" s="17">
        <f t="shared" si="6"/>
        <v>0.37365781533966508</v>
      </c>
      <c r="K16" s="17">
        <f t="shared" si="7"/>
        <v>0.30261251325426181</v>
      </c>
      <c r="L16" s="17">
        <f t="shared" si="7"/>
        <v>0.35841926367278865</v>
      </c>
      <c r="M16" s="17">
        <f t="shared" si="8"/>
        <v>0.31021009471191013</v>
      </c>
      <c r="N16" s="17">
        <f t="shared" si="9"/>
        <v>0.35408914289224303</v>
      </c>
      <c r="O16" s="17">
        <f t="shared" si="10"/>
        <v>0.38450460212313342</v>
      </c>
      <c r="U16" s="11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2:33" x14ac:dyDescent="0.25">
      <c r="B17">
        <v>1</v>
      </c>
      <c r="C17" s="16">
        <v>41823</v>
      </c>
      <c r="D17" s="17">
        <f t="shared" si="0"/>
        <v>0.25880990194567255</v>
      </c>
      <c r="E17" s="17">
        <f t="shared" si="1"/>
        <v>0.25182304317785215</v>
      </c>
      <c r="F17" s="8">
        <f t="shared" si="2"/>
        <v>0.32782277990702585</v>
      </c>
      <c r="G17" s="17">
        <f t="shared" si="3"/>
        <v>0.26661625634431041</v>
      </c>
      <c r="H17" s="8">
        <f t="shared" si="4"/>
        <v>0.26762083212514431</v>
      </c>
      <c r="I17" s="17">
        <f t="shared" si="5"/>
        <v>0.32593058747648346</v>
      </c>
      <c r="J17" s="8">
        <f t="shared" si="6"/>
        <v>0.30954418605656397</v>
      </c>
      <c r="K17" s="8">
        <f t="shared" si="7"/>
        <v>0.25469274075746523</v>
      </c>
      <c r="L17" s="17">
        <f t="shared" si="7"/>
        <v>0.32868057829817038</v>
      </c>
      <c r="M17" s="17">
        <f t="shared" si="8"/>
        <v>0.29339019626425417</v>
      </c>
      <c r="N17" s="17">
        <f t="shared" si="9"/>
        <v>0.30759287274702335</v>
      </c>
      <c r="O17" s="17">
        <f t="shared" si="10"/>
        <v>0.29826166468016041</v>
      </c>
      <c r="U17" s="11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2:33" x14ac:dyDescent="0.25">
      <c r="B18">
        <v>2</v>
      </c>
      <c r="C18" s="16">
        <v>40836</v>
      </c>
      <c r="D18" s="8">
        <f t="shared" si="0"/>
        <v>0.13895418244148661</v>
      </c>
      <c r="E18" s="8">
        <f t="shared" si="1"/>
        <v>0.17175611109325581</v>
      </c>
      <c r="F18" s="8">
        <f t="shared" si="2"/>
        <v>0.30330543485720801</v>
      </c>
      <c r="G18" s="8">
        <f t="shared" si="3"/>
        <v>0.2867414799651849</v>
      </c>
      <c r="H18" s="8">
        <f t="shared" si="4"/>
        <v>0.30378548810131834</v>
      </c>
      <c r="I18" s="8">
        <f t="shared" si="5"/>
        <v>0.20950173061134333</v>
      </c>
      <c r="J18" s="8">
        <f t="shared" si="6"/>
        <v>0.26429768557002509</v>
      </c>
      <c r="K18" s="8">
        <f t="shared" si="7"/>
        <v>0.12219134691704087</v>
      </c>
      <c r="L18" s="8">
        <f t="shared" si="7"/>
        <v>0.31193811976931074</v>
      </c>
      <c r="M18" s="8">
        <f t="shared" si="8"/>
        <v>0.11850469423162541</v>
      </c>
      <c r="N18" s="8">
        <f t="shared" si="9"/>
        <v>0.32976262110509413</v>
      </c>
      <c r="O18" s="8">
        <f t="shared" si="10"/>
        <v>0.24829631217606954</v>
      </c>
      <c r="U18" s="11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2:33" x14ac:dyDescent="0.25">
      <c r="B19">
        <v>2</v>
      </c>
      <c r="C19" s="16">
        <v>41028</v>
      </c>
      <c r="D19" s="10">
        <f t="shared" si="0"/>
        <v>0.34763144175527422</v>
      </c>
      <c r="E19" s="8">
        <f t="shared" si="1"/>
        <v>0.32624112726257526</v>
      </c>
      <c r="F19" s="17">
        <f t="shared" si="2"/>
        <v>0.34106543433695891</v>
      </c>
      <c r="G19" s="17">
        <f t="shared" si="3"/>
        <v>0.33391430419499124</v>
      </c>
      <c r="H19" s="17">
        <f t="shared" si="4"/>
        <v>0.33601768157251583</v>
      </c>
      <c r="I19" s="17">
        <f t="shared" si="5"/>
        <v>0.40473396304612091</v>
      </c>
      <c r="J19" s="8">
        <f t="shared" si="6"/>
        <v>0.32333358868676421</v>
      </c>
      <c r="K19" s="8">
        <f t="shared" si="7"/>
        <v>0.30960351174235318</v>
      </c>
      <c r="L19" s="17">
        <f t="shared" si="7"/>
        <v>0.34913875102531816</v>
      </c>
      <c r="M19" s="8">
        <f t="shared" si="8"/>
        <v>0.3390849211604236</v>
      </c>
      <c r="N19" s="8">
        <f t="shared" si="9"/>
        <v>0.34686872572180472</v>
      </c>
      <c r="O19" s="17">
        <f t="shared" si="10"/>
        <v>0.34706995086510217</v>
      </c>
      <c r="U19" s="11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2:33" x14ac:dyDescent="0.25">
      <c r="B20">
        <v>2</v>
      </c>
      <c r="C20" s="16">
        <v>41185</v>
      </c>
      <c r="D20" s="10">
        <f t="shared" si="0"/>
        <v>0.27506254959803067</v>
      </c>
      <c r="E20" s="10">
        <f t="shared" si="1"/>
        <v>0.12662276699297914</v>
      </c>
      <c r="F20" s="17">
        <f t="shared" si="2"/>
        <v>0.13269987345923404</v>
      </c>
      <c r="G20" s="17">
        <f t="shared" si="3"/>
        <v>0.12689398047392039</v>
      </c>
      <c r="H20" s="17">
        <f t="shared" si="4"/>
        <v>0.25878017036789924</v>
      </c>
      <c r="I20" s="17">
        <f t="shared" si="5"/>
        <v>0.12799670055919404</v>
      </c>
      <c r="J20" s="8">
        <f t="shared" si="6"/>
        <v>0.18522325769067313</v>
      </c>
      <c r="K20" s="17">
        <f t="shared" si="7"/>
        <v>0.12060544198540396</v>
      </c>
      <c r="L20" s="17">
        <f t="shared" si="7"/>
        <v>0.27657501647527877</v>
      </c>
      <c r="M20" s="17">
        <f t="shared" si="8"/>
        <v>0.11916360695047992</v>
      </c>
      <c r="N20" s="8">
        <f t="shared" si="9"/>
        <v>0.13754512298117463</v>
      </c>
      <c r="O20" s="17" t="e">
        <f t="shared" si="10"/>
        <v>#N/A</v>
      </c>
    </row>
    <row r="21" spans="2:33" x14ac:dyDescent="0.25">
      <c r="B21">
        <v>2</v>
      </c>
      <c r="C21" s="16">
        <v>41362</v>
      </c>
      <c r="D21" s="8">
        <f t="shared" si="0"/>
        <v>0.34661005907817743</v>
      </c>
      <c r="E21" s="8">
        <f t="shared" si="1"/>
        <v>0.32326780363817287</v>
      </c>
      <c r="F21" s="17">
        <f t="shared" si="2"/>
        <v>0.35502943329266512</v>
      </c>
      <c r="G21" s="17">
        <f t="shared" si="3"/>
        <v>0.32747234837080158</v>
      </c>
      <c r="H21" s="17">
        <f t="shared" si="4"/>
        <v>0.35637863598963743</v>
      </c>
      <c r="I21" s="17">
        <f t="shared" si="5"/>
        <v>0.41455762040028848</v>
      </c>
      <c r="J21" s="8">
        <f t="shared" si="6"/>
        <v>0.34375153896890337</v>
      </c>
      <c r="K21" s="17">
        <f t="shared" si="7"/>
        <v>0.28086425113940133</v>
      </c>
      <c r="L21" s="17">
        <f t="shared" si="7"/>
        <v>0.38882242262726391</v>
      </c>
      <c r="M21" s="17">
        <f t="shared" si="8"/>
        <v>0.32576463514805815</v>
      </c>
      <c r="N21" s="8">
        <f t="shared" si="9"/>
        <v>0.33537282699914123</v>
      </c>
      <c r="O21" s="17">
        <f t="shared" si="10"/>
        <v>0.33729631559839091</v>
      </c>
    </row>
    <row r="22" spans="2:33" x14ac:dyDescent="0.25">
      <c r="B22">
        <v>2</v>
      </c>
      <c r="C22" s="16">
        <v>41432</v>
      </c>
      <c r="D22" s="8">
        <f t="shared" si="0"/>
        <v>0.26090761480955116</v>
      </c>
      <c r="E22" s="10">
        <f t="shared" si="1"/>
        <v>0.24152451058831781</v>
      </c>
      <c r="F22" s="17">
        <f t="shared" si="2"/>
        <v>0.24762094518226599</v>
      </c>
      <c r="G22" s="17">
        <f t="shared" si="3"/>
        <v>0.23450453333851143</v>
      </c>
      <c r="H22" s="17">
        <f t="shared" si="4"/>
        <v>0.28992806900777657</v>
      </c>
      <c r="I22" s="17">
        <f t="shared" si="5"/>
        <v>0.35433719329833457</v>
      </c>
      <c r="J22" s="8">
        <f t="shared" si="6"/>
        <v>0.25340893514900109</v>
      </c>
      <c r="K22" s="17">
        <f t="shared" si="7"/>
        <v>0.15565884964733595</v>
      </c>
      <c r="L22" s="8">
        <f t="shared" si="7"/>
        <v>0.28892254783956545</v>
      </c>
      <c r="M22" s="17">
        <f t="shared" si="8"/>
        <v>0.17211581264579287</v>
      </c>
      <c r="N22" s="8">
        <f t="shared" si="9"/>
        <v>0.23935628703002274</v>
      </c>
      <c r="O22" s="17">
        <f t="shared" si="10"/>
        <v>0.21086401216405065</v>
      </c>
    </row>
    <row r="23" spans="2:33" x14ac:dyDescent="0.25">
      <c r="B23">
        <v>2</v>
      </c>
      <c r="C23" s="16">
        <v>41527</v>
      </c>
      <c r="D23" s="8">
        <f t="shared" si="0"/>
        <v>0.18266758432782376</v>
      </c>
      <c r="E23" s="10">
        <f t="shared" si="1"/>
        <v>0.1858715379508098</v>
      </c>
      <c r="F23" s="17">
        <f t="shared" si="2"/>
        <v>0.10130180817826202</v>
      </c>
      <c r="G23" s="17">
        <f t="shared" si="3"/>
        <v>0.22447646971858237</v>
      </c>
      <c r="H23" s="17">
        <f t="shared" si="4"/>
        <v>0.19143619297824893</v>
      </c>
      <c r="I23" s="17">
        <f t="shared" si="5"/>
        <v>0.16890313926587111</v>
      </c>
      <c r="J23" s="8">
        <f t="shared" si="6"/>
        <v>0.21870974007616217</v>
      </c>
      <c r="K23" s="8">
        <f t="shared" si="7"/>
        <v>0.24312048617102172</v>
      </c>
      <c r="L23" s="17">
        <f t="shared" si="7"/>
        <v>0.19120836225998827</v>
      </c>
      <c r="M23" s="17">
        <f t="shared" si="8"/>
        <v>0.10906026541476634</v>
      </c>
      <c r="N23" s="8" t="e">
        <f t="shared" si="9"/>
        <v>#N/A</v>
      </c>
      <c r="O23" s="17">
        <f t="shared" si="10"/>
        <v>0.14729705148792535</v>
      </c>
    </row>
    <row r="24" spans="2:33" x14ac:dyDescent="0.25">
      <c r="B24">
        <v>2</v>
      </c>
      <c r="C24" s="16">
        <v>41667</v>
      </c>
      <c r="D24" s="10" t="e">
        <f t="shared" si="0"/>
        <v>#N/A</v>
      </c>
      <c r="E24" s="10" t="e">
        <f t="shared" si="1"/>
        <v>#N/A</v>
      </c>
      <c r="F24" s="17" t="e">
        <f t="shared" si="2"/>
        <v>#N/A</v>
      </c>
      <c r="G24" s="8">
        <f t="shared" si="3"/>
        <v>0.3206810745074134</v>
      </c>
      <c r="H24" s="17" t="e">
        <f t="shared" si="4"/>
        <v>#N/A</v>
      </c>
      <c r="I24" s="8">
        <f t="shared" si="5"/>
        <v>0.205666152070964</v>
      </c>
      <c r="J24" s="8">
        <f t="shared" si="6"/>
        <v>0.2923824843453669</v>
      </c>
      <c r="K24" s="17">
        <f t="shared" si="7"/>
        <v>0.29452893852036793</v>
      </c>
      <c r="L24" s="17">
        <f t="shared" si="7"/>
        <v>0.31476971234030954</v>
      </c>
      <c r="M24" s="8">
        <f t="shared" si="8"/>
        <v>0.30834694465384366</v>
      </c>
      <c r="N24" s="8">
        <f t="shared" si="9"/>
        <v>0.33599058984825397</v>
      </c>
      <c r="O24" s="17" t="e">
        <f t="shared" si="10"/>
        <v>#N/A</v>
      </c>
    </row>
    <row r="25" spans="2:33" x14ac:dyDescent="0.25">
      <c r="B25">
        <v>2</v>
      </c>
      <c r="C25" s="16">
        <v>41674</v>
      </c>
      <c r="D25" s="10">
        <f t="shared" si="0"/>
        <v>0.31581379169481677</v>
      </c>
      <c r="E25" s="8">
        <f t="shared" si="1"/>
        <v>0.34249162471871136</v>
      </c>
      <c r="F25" s="17">
        <f t="shared" si="2"/>
        <v>0.23005698677442174</v>
      </c>
      <c r="G25" s="17" t="e">
        <f t="shared" si="3"/>
        <v>#N/A</v>
      </c>
      <c r="H25" s="17">
        <f t="shared" si="4"/>
        <v>0.26198000697166329</v>
      </c>
      <c r="I25" s="17" t="e">
        <f t="shared" si="5"/>
        <v>#N/A</v>
      </c>
      <c r="J25" s="17" t="e">
        <f t="shared" si="6"/>
        <v>#N/A</v>
      </c>
      <c r="K25" s="17" t="e">
        <f t="shared" si="7"/>
        <v>#N/A</v>
      </c>
      <c r="L25" s="17" t="e">
        <f t="shared" si="7"/>
        <v>#N/A</v>
      </c>
      <c r="M25" s="17" t="e">
        <f t="shared" si="8"/>
        <v>#N/A</v>
      </c>
      <c r="N25" s="17" t="e">
        <f t="shared" si="9"/>
        <v>#N/A</v>
      </c>
      <c r="O25" s="17">
        <f t="shared" si="10"/>
        <v>0.23485988660090715</v>
      </c>
    </row>
    <row r="26" spans="2:33" x14ac:dyDescent="0.25">
      <c r="B26">
        <v>2</v>
      </c>
      <c r="C26" s="16">
        <v>41747</v>
      </c>
      <c r="D26" s="10">
        <f t="shared" si="0"/>
        <v>0.34901207491449832</v>
      </c>
      <c r="E26" s="10">
        <f t="shared" si="1"/>
        <v>0.37576999598696387</v>
      </c>
      <c r="F26" s="17">
        <f t="shared" si="2"/>
        <v>0.34766823420588661</v>
      </c>
      <c r="G26" s="17">
        <f t="shared" si="3"/>
        <v>0.34095548694654815</v>
      </c>
      <c r="H26" s="17">
        <f t="shared" si="4"/>
        <v>0.34538071356033895</v>
      </c>
      <c r="I26" s="17">
        <f t="shared" si="5"/>
        <v>0.44313908573689942</v>
      </c>
      <c r="J26" s="8">
        <f t="shared" si="6"/>
        <v>0.34825412921853433</v>
      </c>
      <c r="K26" s="17">
        <f t="shared" si="7"/>
        <v>0.30253284692584109</v>
      </c>
      <c r="L26" s="17">
        <f t="shared" si="7"/>
        <v>0.4229402817029474</v>
      </c>
      <c r="M26" s="17">
        <f t="shared" si="8"/>
        <v>0.3178484282338172</v>
      </c>
      <c r="N26" s="8">
        <f t="shared" si="9"/>
        <v>0.43423244735386624</v>
      </c>
      <c r="O26" s="17">
        <f t="shared" si="10"/>
        <v>0.32303262064548888</v>
      </c>
    </row>
    <row r="27" spans="2:33" x14ac:dyDescent="0.25">
      <c r="B27">
        <v>2</v>
      </c>
      <c r="C27" s="16">
        <v>41823</v>
      </c>
      <c r="D27" s="10">
        <f t="shared" si="0"/>
        <v>0.30222832181407133</v>
      </c>
      <c r="E27" s="10">
        <f t="shared" si="1"/>
        <v>0.3234789931731783</v>
      </c>
      <c r="F27" s="8">
        <f t="shared" si="2"/>
        <v>0.32497773311716022</v>
      </c>
      <c r="G27" s="17">
        <f t="shared" si="3"/>
        <v>0.37670229337251893</v>
      </c>
      <c r="H27" s="8">
        <f t="shared" si="4"/>
        <v>0.3090016173732813</v>
      </c>
      <c r="I27" s="17">
        <f t="shared" si="5"/>
        <v>0.39060625770214219</v>
      </c>
      <c r="J27" s="8">
        <f t="shared" si="6"/>
        <v>0.34475391011962103</v>
      </c>
      <c r="K27" s="17">
        <f t="shared" si="7"/>
        <v>0.27656894956033884</v>
      </c>
      <c r="L27" s="17">
        <f t="shared" si="7"/>
        <v>0.34501703322557464</v>
      </c>
      <c r="M27" s="17">
        <f t="shared" si="8"/>
        <v>0.35079113424473374</v>
      </c>
      <c r="N27" s="8">
        <f t="shared" si="9"/>
        <v>0.34789746815277711</v>
      </c>
      <c r="O27" s="17">
        <f t="shared" si="10"/>
        <v>0.28850287040497474</v>
      </c>
    </row>
    <row r="28" spans="2:33" x14ac:dyDescent="0.25">
      <c r="B28">
        <v>3</v>
      </c>
      <c r="C28" s="16">
        <v>40836</v>
      </c>
      <c r="D28" s="8">
        <f t="shared" si="0"/>
        <v>0.19157268347558143</v>
      </c>
      <c r="E28" s="8">
        <f t="shared" si="1"/>
        <v>0.20734696491277349</v>
      </c>
      <c r="F28" s="8">
        <f t="shared" si="2"/>
        <v>0.27330100405699131</v>
      </c>
      <c r="G28" s="8">
        <f t="shared" si="3"/>
        <v>0.33754677019872725</v>
      </c>
      <c r="H28" s="8">
        <f t="shared" si="4"/>
        <v>0.34158838463894697</v>
      </c>
      <c r="I28" s="8" t="e">
        <f>NA()</f>
        <v>#N/A</v>
      </c>
      <c r="J28" s="8">
        <f t="shared" si="6"/>
        <v>0.32266623284347234</v>
      </c>
      <c r="K28" s="8">
        <f t="shared" si="7"/>
        <v>0.17816324226101962</v>
      </c>
      <c r="L28" s="8">
        <f t="shared" si="7"/>
        <v>0.3541261597529029</v>
      </c>
      <c r="M28" s="8">
        <f t="shared" si="8"/>
        <v>0.1410532446808031</v>
      </c>
      <c r="N28" s="8">
        <f t="shared" si="9"/>
        <v>0.35675088676081196</v>
      </c>
      <c r="O28" s="8">
        <f t="shared" si="10"/>
        <v>0.33960190272186019</v>
      </c>
    </row>
    <row r="29" spans="2:33" x14ac:dyDescent="0.25">
      <c r="B29">
        <v>3</v>
      </c>
      <c r="C29" s="1">
        <v>41037</v>
      </c>
      <c r="D29" s="10">
        <f t="shared" si="0"/>
        <v>0.35190390125436366</v>
      </c>
      <c r="E29" s="10">
        <f t="shared" si="1"/>
        <v>0.35642686360331155</v>
      </c>
      <c r="F29" s="8">
        <f t="shared" si="2"/>
        <v>0.31123170317626203</v>
      </c>
      <c r="G29" s="10">
        <f t="shared" si="3"/>
        <v>0.34759273334632501</v>
      </c>
      <c r="H29" s="10">
        <f t="shared" si="4"/>
        <v>0.33768031798652437</v>
      </c>
      <c r="I29" s="17">
        <f t="shared" si="5"/>
        <v>0.40997039252623185</v>
      </c>
      <c r="J29" s="10">
        <f t="shared" si="6"/>
        <v>0.3152173754329905</v>
      </c>
      <c r="K29" s="17">
        <f t="shared" si="7"/>
        <v>0.31343560172506751</v>
      </c>
      <c r="L29" s="10">
        <f t="shared" si="7"/>
        <v>0.34487681046664348</v>
      </c>
      <c r="M29" s="8">
        <f t="shared" si="8"/>
        <v>0.3041555041277938</v>
      </c>
      <c r="N29" s="10">
        <f t="shared" si="9"/>
        <v>0.34692749399211581</v>
      </c>
      <c r="O29" s="8">
        <f t="shared" si="10"/>
        <v>0.34278920910988675</v>
      </c>
    </row>
    <row r="30" spans="2:33" x14ac:dyDescent="0.25">
      <c r="B30">
        <v>3</v>
      </c>
      <c r="C30" s="16">
        <v>41185</v>
      </c>
      <c r="D30" s="10">
        <f t="shared" si="0"/>
        <v>0.18790273871134622</v>
      </c>
      <c r="E30" s="10">
        <f t="shared" si="1"/>
        <v>0.22748390935095236</v>
      </c>
      <c r="F30" s="8">
        <f t="shared" si="2"/>
        <v>0.14268204734484663</v>
      </c>
      <c r="G30" s="10">
        <f t="shared" si="3"/>
        <v>0.22002036333734759</v>
      </c>
      <c r="H30" s="10">
        <f t="shared" si="4"/>
        <v>0.16499500812533419</v>
      </c>
      <c r="I30" s="17">
        <f t="shared" si="5"/>
        <v>0.14061409666206667</v>
      </c>
      <c r="J30" s="10">
        <f t="shared" si="6"/>
        <v>0.28772500118786376</v>
      </c>
      <c r="K30" s="17">
        <f t="shared" si="7"/>
        <v>0.22296074461913312</v>
      </c>
      <c r="L30" s="10">
        <f t="shared" si="7"/>
        <v>0.33058676307012808</v>
      </c>
      <c r="M30" s="17">
        <f t="shared" si="8"/>
        <v>0.12926463011599529</v>
      </c>
      <c r="N30" s="8">
        <f t="shared" si="9"/>
        <v>0.18764458163284431</v>
      </c>
      <c r="O30" s="10">
        <f t="shared" si="10"/>
        <v>0.11935322140977303</v>
      </c>
    </row>
    <row r="31" spans="2:33" x14ac:dyDescent="0.25">
      <c r="B31">
        <v>3</v>
      </c>
      <c r="C31" s="16">
        <v>41362</v>
      </c>
      <c r="D31" s="10">
        <f t="shared" si="0"/>
        <v>0.35087769158815768</v>
      </c>
      <c r="E31" s="10">
        <f t="shared" si="1"/>
        <v>0.35401357503155412</v>
      </c>
      <c r="F31" s="8">
        <f t="shared" si="2"/>
        <v>0.3440977588557389</v>
      </c>
      <c r="G31" s="10">
        <f t="shared" si="3"/>
        <v>0.35929905195092204</v>
      </c>
      <c r="H31" s="10">
        <f t="shared" si="4"/>
        <v>0.34690259201343032</v>
      </c>
      <c r="I31" s="17">
        <f t="shared" si="5"/>
        <v>0.44618011624051218</v>
      </c>
      <c r="J31" s="10">
        <f t="shared" si="6"/>
        <v>0.35764421203767016</v>
      </c>
      <c r="K31" s="17">
        <f t="shared" si="7"/>
        <v>0.30712415995946052</v>
      </c>
      <c r="L31" s="10">
        <f t="shared" si="7"/>
        <v>0.4099495479184645</v>
      </c>
      <c r="M31" s="17">
        <f t="shared" si="8"/>
        <v>0.30814429100161955</v>
      </c>
      <c r="N31" s="8">
        <f t="shared" si="9"/>
        <v>0.36178566887662006</v>
      </c>
      <c r="O31" s="10">
        <f t="shared" si="10"/>
        <v>0.34646527901621882</v>
      </c>
    </row>
    <row r="32" spans="2:33" x14ac:dyDescent="0.25">
      <c r="B32">
        <v>3</v>
      </c>
      <c r="C32" s="16">
        <v>41432</v>
      </c>
      <c r="D32" s="10">
        <f t="shared" si="0"/>
        <v>0.29667460645304772</v>
      </c>
      <c r="E32" s="10" t="e">
        <f t="shared" si="1"/>
        <v>#N/A</v>
      </c>
      <c r="F32" s="8">
        <f t="shared" si="2"/>
        <v>0.27880039696555137</v>
      </c>
      <c r="G32" s="10" t="e">
        <f t="shared" si="3"/>
        <v>#N/A</v>
      </c>
      <c r="H32" s="10" t="e">
        <f t="shared" si="4"/>
        <v>#N/A</v>
      </c>
      <c r="I32" s="17">
        <f t="shared" si="5"/>
        <v>0.36865711314891825</v>
      </c>
      <c r="J32" s="10">
        <f t="shared" si="6"/>
        <v>0.29882105304111767</v>
      </c>
      <c r="K32" s="17" t="e">
        <f t="shared" si="7"/>
        <v>#N/A</v>
      </c>
      <c r="L32" s="10">
        <f t="shared" si="7"/>
        <v>0.34255379555343546</v>
      </c>
      <c r="M32" s="17">
        <f t="shared" si="8"/>
        <v>0.20957315758072839</v>
      </c>
      <c r="N32" s="10">
        <f t="shared" si="9"/>
        <v>0.30909064907615624</v>
      </c>
      <c r="O32" s="10" t="e">
        <f t="shared" si="10"/>
        <v>#N/A</v>
      </c>
    </row>
    <row r="33" spans="2:15" x14ac:dyDescent="0.25">
      <c r="B33">
        <v>3</v>
      </c>
      <c r="C33" s="16">
        <v>41527</v>
      </c>
      <c r="D33" s="10">
        <f t="shared" si="0"/>
        <v>0.22143011346836247</v>
      </c>
      <c r="E33" s="10">
        <f t="shared" si="1"/>
        <v>0.22950232271702503</v>
      </c>
      <c r="F33" s="8">
        <f t="shared" si="2"/>
        <v>0.17812250787185255</v>
      </c>
      <c r="G33" s="10">
        <f t="shared" si="3"/>
        <v>0.25814345547251327</v>
      </c>
      <c r="H33" s="8">
        <f t="shared" si="4"/>
        <v>0.25518752779277326</v>
      </c>
      <c r="I33" s="17">
        <f t="shared" si="5"/>
        <v>0.17525138115477049</v>
      </c>
      <c r="J33" s="10">
        <f t="shared" si="6"/>
        <v>0.23520854329165519</v>
      </c>
      <c r="K33" s="17">
        <f t="shared" si="7"/>
        <v>0.20941659641747437</v>
      </c>
      <c r="L33" s="10">
        <f t="shared" si="7"/>
        <v>0.25173022057950717</v>
      </c>
      <c r="M33" s="17">
        <f t="shared" si="8"/>
        <v>0.17490767501752866</v>
      </c>
      <c r="N33" s="10">
        <f t="shared" si="9"/>
        <v>0.2200068042124379</v>
      </c>
      <c r="O33" s="10">
        <f t="shared" si="10"/>
        <v>0.24549958297593971</v>
      </c>
    </row>
    <row r="34" spans="2:15" x14ac:dyDescent="0.25">
      <c r="B34">
        <v>3</v>
      </c>
      <c r="C34" s="16">
        <v>41667</v>
      </c>
      <c r="D34" s="10" t="e">
        <f t="shared" si="0"/>
        <v>#N/A</v>
      </c>
      <c r="E34" s="10" t="e">
        <f t="shared" si="1"/>
        <v>#N/A</v>
      </c>
      <c r="F34" s="8" t="e">
        <f t="shared" si="2"/>
        <v>#N/A</v>
      </c>
      <c r="G34" s="8">
        <f t="shared" si="3"/>
        <v>0.35907273158379088</v>
      </c>
      <c r="H34" s="10" t="e">
        <f t="shared" si="4"/>
        <v>#N/A</v>
      </c>
      <c r="I34" s="17">
        <f t="shared" si="5"/>
        <v>0.13528616150665201</v>
      </c>
      <c r="J34" s="10">
        <f t="shared" si="6"/>
        <v>0.22849793629902374</v>
      </c>
      <c r="K34" s="8">
        <f t="shared" si="7"/>
        <v>0.30735928031055382</v>
      </c>
      <c r="L34" s="8">
        <f t="shared" si="7"/>
        <v>9.7155831561323736E-2</v>
      </c>
      <c r="M34" s="8">
        <f t="shared" si="8"/>
        <v>0.29792780383958267</v>
      </c>
      <c r="N34" s="10">
        <f t="shared" si="9"/>
        <v>0.35679422376584646</v>
      </c>
      <c r="O34" s="10" t="e">
        <f t="shared" si="10"/>
        <v>#N/A</v>
      </c>
    </row>
    <row r="35" spans="2:15" x14ac:dyDescent="0.25">
      <c r="B35">
        <v>3</v>
      </c>
      <c r="C35" s="16">
        <v>41674</v>
      </c>
      <c r="D35" s="10">
        <f t="shared" si="0"/>
        <v>0.25067080072476899</v>
      </c>
      <c r="E35" s="8">
        <f t="shared" si="1"/>
        <v>0.35547947431916177</v>
      </c>
      <c r="F35" s="8">
        <f t="shared" si="2"/>
        <v>0.17443787133763355</v>
      </c>
      <c r="G35" s="10" t="e">
        <f t="shared" si="3"/>
        <v>#N/A</v>
      </c>
      <c r="H35" s="10" t="e">
        <f t="shared" si="4"/>
        <v>#N/A</v>
      </c>
      <c r="I35" s="17" t="e">
        <f t="shared" si="5"/>
        <v>#N/A</v>
      </c>
      <c r="J35" s="10" t="e">
        <f t="shared" si="6"/>
        <v>#N/A</v>
      </c>
      <c r="K35" s="17" t="e">
        <f t="shared" si="7"/>
        <v>#N/A</v>
      </c>
      <c r="L35" s="10" t="e">
        <f t="shared" si="7"/>
        <v>#N/A</v>
      </c>
      <c r="M35" s="17" t="e">
        <f t="shared" si="8"/>
        <v>#N/A</v>
      </c>
      <c r="N35" s="10" t="e">
        <f t="shared" si="9"/>
        <v>#N/A</v>
      </c>
      <c r="O35" s="10">
        <f t="shared" si="10"/>
        <v>0.16001309398571503</v>
      </c>
    </row>
    <row r="36" spans="2:15" x14ac:dyDescent="0.25">
      <c r="B36">
        <v>3</v>
      </c>
      <c r="C36" s="16">
        <v>41747</v>
      </c>
      <c r="D36" s="10">
        <f t="shared" si="0"/>
        <v>0.3619746052888676</v>
      </c>
      <c r="E36" s="10">
        <f t="shared" si="1"/>
        <v>0.40139815832701087</v>
      </c>
      <c r="F36" s="8">
        <f t="shared" si="2"/>
        <v>0.32596545566910112</v>
      </c>
      <c r="G36" s="8">
        <f t="shared" si="3"/>
        <v>0.34756061275464578</v>
      </c>
      <c r="H36" s="10">
        <f t="shared" si="4"/>
        <v>0.35061132898150121</v>
      </c>
      <c r="I36" s="17">
        <f t="shared" si="5"/>
        <v>0.47049632602095576</v>
      </c>
      <c r="J36" s="10">
        <f t="shared" si="6"/>
        <v>0.36274376610773174</v>
      </c>
      <c r="K36" s="17">
        <f t="shared" si="7"/>
        <v>0.29055626839613125</v>
      </c>
      <c r="L36" s="10">
        <f t="shared" si="7"/>
        <v>0.40944002548486541</v>
      </c>
      <c r="M36" s="17">
        <f t="shared" si="8"/>
        <v>0.28043050794016972</v>
      </c>
      <c r="N36" s="10">
        <f t="shared" si="9"/>
        <v>0.43841372626445818</v>
      </c>
      <c r="O36" s="10">
        <f t="shared" si="10"/>
        <v>0.3971034664570528</v>
      </c>
    </row>
    <row r="37" spans="2:15" x14ac:dyDescent="0.25">
      <c r="B37">
        <v>3</v>
      </c>
      <c r="C37" s="16">
        <v>41823</v>
      </c>
      <c r="D37" s="10">
        <f t="shared" si="0"/>
        <v>0.32024391741082092</v>
      </c>
      <c r="E37" s="10">
        <f t="shared" si="1"/>
        <v>0.32783717640180127</v>
      </c>
      <c r="F37" s="8">
        <f t="shared" si="2"/>
        <v>0.31111482037081306</v>
      </c>
      <c r="G37" s="8">
        <f t="shared" si="3"/>
        <v>0.35301492935108514</v>
      </c>
      <c r="H37" s="8">
        <f t="shared" si="4"/>
        <v>0.33583974482826157</v>
      </c>
      <c r="I37" s="8">
        <f t="shared" si="5"/>
        <v>0.33481877011040861</v>
      </c>
      <c r="J37" s="8">
        <f t="shared" si="6"/>
        <v>0.31468308118761296</v>
      </c>
      <c r="K37" s="17">
        <f t="shared" si="7"/>
        <v>0.28561857757036702</v>
      </c>
      <c r="L37" s="10">
        <f t="shared" si="7"/>
        <v>0.38659965522011192</v>
      </c>
      <c r="M37" s="17">
        <f t="shared" si="8"/>
        <v>0.29108452840150489</v>
      </c>
      <c r="N37" s="8">
        <f t="shared" si="9"/>
        <v>0.33783151541782636</v>
      </c>
      <c r="O37" s="8">
        <f t="shared" si="10"/>
        <v>0.3203985042455777</v>
      </c>
    </row>
    <row r="38" spans="2:15" x14ac:dyDescent="0.25">
      <c r="B38">
        <v>4</v>
      </c>
      <c r="C38" s="16">
        <v>40836</v>
      </c>
      <c r="D38" s="8" t="e">
        <f>E162*VLOOKUP(B38,$D$61:$G$63,4,FALSE)</f>
        <v>#N/A</v>
      </c>
      <c r="E38" s="8" t="e">
        <f t="shared" si="1"/>
        <v>#N/A</v>
      </c>
      <c r="F38" s="8" t="e">
        <f t="shared" si="2"/>
        <v>#N/A</v>
      </c>
      <c r="G38" s="8" t="e">
        <f t="shared" si="3"/>
        <v>#N/A</v>
      </c>
      <c r="H38" s="8" t="e">
        <f t="shared" si="4"/>
        <v>#N/A</v>
      </c>
      <c r="I38" s="8" t="e">
        <f t="shared" si="5"/>
        <v>#N/A</v>
      </c>
      <c r="J38" s="8" t="e">
        <f t="shared" si="6"/>
        <v>#N/A</v>
      </c>
      <c r="K38" s="8" t="e">
        <f t="shared" si="7"/>
        <v>#N/A</v>
      </c>
      <c r="L38" s="8" t="e">
        <f t="shared" si="7"/>
        <v>#N/A</v>
      </c>
      <c r="M38" s="8" t="e">
        <f t="shared" si="8"/>
        <v>#N/A</v>
      </c>
      <c r="N38" s="8" t="e">
        <f t="shared" si="9"/>
        <v>#N/A</v>
      </c>
      <c r="O38" s="8" t="e">
        <f t="shared" si="10"/>
        <v>#N/A</v>
      </c>
    </row>
    <row r="39" spans="2:15" x14ac:dyDescent="0.25">
      <c r="B39">
        <v>4</v>
      </c>
      <c r="C39" s="1">
        <v>41037</v>
      </c>
      <c r="D39" s="8" t="e">
        <f t="shared" si="0"/>
        <v>#N/A</v>
      </c>
      <c r="E39" s="10" t="e">
        <f t="shared" si="1"/>
        <v>#N/A</v>
      </c>
      <c r="F39" s="17" t="e">
        <f t="shared" si="2"/>
        <v>#N/A</v>
      </c>
      <c r="G39" s="8" t="e">
        <f t="shared" si="3"/>
        <v>#N/A</v>
      </c>
      <c r="H39" s="10" t="e">
        <f t="shared" si="4"/>
        <v>#N/A</v>
      </c>
      <c r="I39" s="10" t="e">
        <f t="shared" si="5"/>
        <v>#N/A</v>
      </c>
      <c r="J39" s="8" t="e">
        <f t="shared" si="6"/>
        <v>#N/A</v>
      </c>
      <c r="K39" s="10" t="e">
        <f t="shared" si="7"/>
        <v>#N/A</v>
      </c>
      <c r="L39" s="10" t="e">
        <f t="shared" si="7"/>
        <v>#N/A</v>
      </c>
      <c r="M39" s="10" t="e">
        <f t="shared" si="8"/>
        <v>#N/A</v>
      </c>
      <c r="N39" s="8" t="e">
        <f t="shared" si="9"/>
        <v>#N/A</v>
      </c>
      <c r="O39" s="17" t="e">
        <f t="shared" si="10"/>
        <v>#N/A</v>
      </c>
    </row>
    <row r="40" spans="2:15" x14ac:dyDescent="0.25">
      <c r="B40">
        <v>4</v>
      </c>
      <c r="C40" s="16">
        <v>41185</v>
      </c>
      <c r="D40" s="8" t="e">
        <f t="shared" si="0"/>
        <v>#N/A</v>
      </c>
      <c r="E40" s="10" t="e">
        <f t="shared" si="1"/>
        <v>#N/A</v>
      </c>
      <c r="F40" s="17" t="e">
        <f t="shared" si="2"/>
        <v>#N/A</v>
      </c>
      <c r="G40" s="8" t="e">
        <f t="shared" si="3"/>
        <v>#N/A</v>
      </c>
      <c r="H40" s="10" t="e">
        <f t="shared" si="4"/>
        <v>#N/A</v>
      </c>
      <c r="I40" s="8" t="e">
        <f t="shared" si="5"/>
        <v>#N/A</v>
      </c>
      <c r="J40" s="10" t="e">
        <f t="shared" si="6"/>
        <v>#N/A</v>
      </c>
      <c r="K40" s="10" t="e">
        <f t="shared" si="7"/>
        <v>#N/A</v>
      </c>
      <c r="L40" s="10" t="e">
        <f t="shared" si="7"/>
        <v>#N/A</v>
      </c>
      <c r="M40" s="10" t="e">
        <f t="shared" si="8"/>
        <v>#N/A</v>
      </c>
      <c r="N40" s="8" t="e">
        <f t="shared" si="9"/>
        <v>#N/A</v>
      </c>
      <c r="O40" s="17" t="e">
        <f t="shared" si="10"/>
        <v>#N/A</v>
      </c>
    </row>
    <row r="41" spans="2:15" x14ac:dyDescent="0.25">
      <c r="B41">
        <v>4</v>
      </c>
      <c r="C41" s="16">
        <v>41362</v>
      </c>
      <c r="D41" s="8" t="e">
        <f t="shared" si="0"/>
        <v>#N/A</v>
      </c>
      <c r="E41" s="10" t="e">
        <f t="shared" si="1"/>
        <v>#N/A</v>
      </c>
      <c r="F41" s="17" t="e">
        <f t="shared" si="2"/>
        <v>#N/A</v>
      </c>
      <c r="G41" s="8" t="e">
        <f t="shared" si="3"/>
        <v>#N/A</v>
      </c>
      <c r="H41" s="10" t="e">
        <f t="shared" si="4"/>
        <v>#N/A</v>
      </c>
      <c r="I41" s="8" t="e">
        <f t="shared" si="5"/>
        <v>#N/A</v>
      </c>
      <c r="J41" s="10" t="e">
        <f t="shared" si="6"/>
        <v>#N/A</v>
      </c>
      <c r="K41" s="10" t="e">
        <f t="shared" si="7"/>
        <v>#N/A</v>
      </c>
      <c r="L41" s="10" t="e">
        <f t="shared" si="7"/>
        <v>#N/A</v>
      </c>
      <c r="M41" s="10" t="e">
        <f t="shared" si="8"/>
        <v>#N/A</v>
      </c>
      <c r="N41" s="8" t="e">
        <f t="shared" si="9"/>
        <v>#N/A</v>
      </c>
      <c r="O41" s="17" t="e">
        <f t="shared" si="10"/>
        <v>#N/A</v>
      </c>
    </row>
    <row r="42" spans="2:15" x14ac:dyDescent="0.25">
      <c r="B42">
        <v>4</v>
      </c>
      <c r="C42" s="16">
        <v>41432</v>
      </c>
      <c r="D42" s="8" t="e">
        <f t="shared" si="0"/>
        <v>#N/A</v>
      </c>
      <c r="E42" s="10" t="e">
        <f t="shared" si="1"/>
        <v>#N/A</v>
      </c>
      <c r="F42" s="17" t="e">
        <f t="shared" si="2"/>
        <v>#N/A</v>
      </c>
      <c r="G42" s="8" t="e">
        <f t="shared" si="3"/>
        <v>#N/A</v>
      </c>
      <c r="H42" s="10" t="e">
        <f t="shared" si="4"/>
        <v>#N/A</v>
      </c>
      <c r="I42" s="10" t="e">
        <f t="shared" si="5"/>
        <v>#N/A</v>
      </c>
      <c r="J42" s="10" t="e">
        <f t="shared" si="6"/>
        <v>#N/A</v>
      </c>
      <c r="K42" s="10" t="e">
        <f t="shared" si="7"/>
        <v>#N/A</v>
      </c>
      <c r="L42" s="10" t="e">
        <f t="shared" si="7"/>
        <v>#N/A</v>
      </c>
      <c r="M42" s="10" t="e">
        <f t="shared" si="8"/>
        <v>#N/A</v>
      </c>
      <c r="N42" s="8" t="e">
        <f t="shared" si="9"/>
        <v>#N/A</v>
      </c>
      <c r="O42" s="17" t="e">
        <f t="shared" si="10"/>
        <v>#N/A</v>
      </c>
    </row>
    <row r="43" spans="2:15" x14ac:dyDescent="0.25">
      <c r="B43">
        <v>4</v>
      </c>
      <c r="C43" s="16">
        <v>41527</v>
      </c>
      <c r="D43" s="8" t="e">
        <f t="shared" si="0"/>
        <v>#N/A</v>
      </c>
      <c r="E43" s="10" t="e">
        <f t="shared" si="1"/>
        <v>#N/A</v>
      </c>
      <c r="F43" s="17" t="e">
        <f t="shared" si="2"/>
        <v>#N/A</v>
      </c>
      <c r="G43" s="8" t="e">
        <f t="shared" si="3"/>
        <v>#N/A</v>
      </c>
      <c r="H43" s="10" t="e">
        <f t="shared" si="4"/>
        <v>#N/A</v>
      </c>
      <c r="I43" s="10" t="e">
        <f t="shared" si="5"/>
        <v>#N/A</v>
      </c>
      <c r="J43" s="10" t="e">
        <f t="shared" si="6"/>
        <v>#N/A</v>
      </c>
      <c r="K43" s="10" t="e">
        <f t="shared" si="7"/>
        <v>#N/A</v>
      </c>
      <c r="L43" s="10" t="e">
        <f t="shared" si="7"/>
        <v>#N/A</v>
      </c>
      <c r="M43" s="8" t="e">
        <f t="shared" si="8"/>
        <v>#N/A</v>
      </c>
      <c r="N43" s="8" t="e">
        <f t="shared" si="9"/>
        <v>#N/A</v>
      </c>
      <c r="O43" s="17" t="e">
        <f t="shared" si="10"/>
        <v>#N/A</v>
      </c>
    </row>
    <row r="44" spans="2:15" x14ac:dyDescent="0.25">
      <c r="B44">
        <v>4</v>
      </c>
      <c r="C44" s="16">
        <v>41667</v>
      </c>
      <c r="D44" s="8" t="e">
        <f t="shared" si="0"/>
        <v>#N/A</v>
      </c>
      <c r="E44" s="10" t="e">
        <f t="shared" si="1"/>
        <v>#N/A</v>
      </c>
      <c r="F44" s="17" t="e">
        <f t="shared" si="2"/>
        <v>#N/A</v>
      </c>
      <c r="G44" s="8" t="e">
        <f t="shared" si="3"/>
        <v>#N/A</v>
      </c>
      <c r="H44" s="10" t="e">
        <f t="shared" si="4"/>
        <v>#N/A</v>
      </c>
      <c r="I44" s="10" t="e">
        <f t="shared" si="5"/>
        <v>#N/A</v>
      </c>
      <c r="J44" s="10" t="e">
        <f t="shared" si="6"/>
        <v>#N/A</v>
      </c>
      <c r="K44" s="10" t="e">
        <f t="shared" si="7"/>
        <v>#N/A</v>
      </c>
      <c r="L44" s="8" t="e">
        <f t="shared" si="7"/>
        <v>#N/A</v>
      </c>
      <c r="M44" s="8" t="e">
        <f t="shared" si="8"/>
        <v>#N/A</v>
      </c>
      <c r="N44" s="8" t="e">
        <f t="shared" si="9"/>
        <v>#N/A</v>
      </c>
      <c r="O44" s="17" t="e">
        <f t="shared" si="10"/>
        <v>#N/A</v>
      </c>
    </row>
    <row r="45" spans="2:15" x14ac:dyDescent="0.25">
      <c r="B45">
        <v>4</v>
      </c>
      <c r="C45" s="16">
        <v>41674</v>
      </c>
      <c r="D45" s="8" t="e">
        <f t="shared" si="0"/>
        <v>#N/A</v>
      </c>
      <c r="E45" s="10" t="e">
        <f t="shared" si="1"/>
        <v>#N/A</v>
      </c>
      <c r="F45" s="17" t="e">
        <f t="shared" si="2"/>
        <v>#N/A</v>
      </c>
      <c r="G45" s="8" t="e">
        <f t="shared" si="3"/>
        <v>#N/A</v>
      </c>
      <c r="H45" s="10" t="e">
        <f t="shared" si="4"/>
        <v>#N/A</v>
      </c>
      <c r="I45" s="10" t="e">
        <f t="shared" si="5"/>
        <v>#N/A</v>
      </c>
      <c r="J45" s="10" t="e">
        <f t="shared" si="6"/>
        <v>#N/A</v>
      </c>
      <c r="K45" s="10" t="e">
        <f t="shared" si="7"/>
        <v>#N/A</v>
      </c>
      <c r="L45" s="8" t="e">
        <f t="shared" si="7"/>
        <v>#N/A</v>
      </c>
      <c r="M45" s="8" t="e">
        <f t="shared" si="8"/>
        <v>#N/A</v>
      </c>
      <c r="N45" s="8" t="e">
        <f t="shared" si="9"/>
        <v>#N/A</v>
      </c>
      <c r="O45" s="17" t="e">
        <f t="shared" si="10"/>
        <v>#N/A</v>
      </c>
    </row>
    <row r="46" spans="2:15" x14ac:dyDescent="0.25">
      <c r="B46">
        <v>4</v>
      </c>
      <c r="C46" s="16">
        <v>41747</v>
      </c>
      <c r="D46" s="8" t="e">
        <f t="shared" si="0"/>
        <v>#N/A</v>
      </c>
      <c r="E46" s="10" t="e">
        <f t="shared" si="1"/>
        <v>#N/A</v>
      </c>
      <c r="F46" s="17" t="e">
        <f t="shared" si="2"/>
        <v>#N/A</v>
      </c>
      <c r="G46" s="8" t="e">
        <f t="shared" si="3"/>
        <v>#N/A</v>
      </c>
      <c r="H46" s="10" t="e">
        <f t="shared" si="4"/>
        <v>#N/A</v>
      </c>
      <c r="I46" s="10" t="e">
        <f t="shared" si="5"/>
        <v>#N/A</v>
      </c>
      <c r="J46" s="10" t="e">
        <f t="shared" si="6"/>
        <v>#N/A</v>
      </c>
      <c r="K46" s="10" t="e">
        <f t="shared" si="7"/>
        <v>#N/A</v>
      </c>
      <c r="L46" s="8" t="e">
        <f t="shared" si="7"/>
        <v>#N/A</v>
      </c>
      <c r="M46" s="10" t="e">
        <f t="shared" si="8"/>
        <v>#N/A</v>
      </c>
      <c r="N46" s="8" t="e">
        <f t="shared" si="9"/>
        <v>#N/A</v>
      </c>
      <c r="O46" s="17" t="e">
        <f t="shared" si="10"/>
        <v>#N/A</v>
      </c>
    </row>
    <row r="47" spans="2:15" x14ac:dyDescent="0.25">
      <c r="B47">
        <v>4</v>
      </c>
      <c r="C47" s="16">
        <v>41823</v>
      </c>
      <c r="D47" s="8" t="e">
        <f t="shared" si="0"/>
        <v>#N/A</v>
      </c>
      <c r="E47" s="10" t="e">
        <f t="shared" si="1"/>
        <v>#N/A</v>
      </c>
      <c r="F47" s="8" t="e">
        <f t="shared" si="2"/>
        <v>#N/A</v>
      </c>
      <c r="G47" s="8" t="e">
        <f t="shared" si="3"/>
        <v>#N/A</v>
      </c>
      <c r="H47" s="8" t="e">
        <f t="shared" si="4"/>
        <v>#N/A</v>
      </c>
      <c r="I47" s="10" t="e">
        <f t="shared" si="5"/>
        <v>#N/A</v>
      </c>
      <c r="J47" s="8" t="e">
        <f t="shared" si="6"/>
        <v>#N/A</v>
      </c>
      <c r="K47" s="10" t="e">
        <f t="shared" si="7"/>
        <v>#N/A</v>
      </c>
      <c r="L47" s="8" t="e">
        <f t="shared" si="7"/>
        <v>#N/A</v>
      </c>
      <c r="M47" s="10" t="e">
        <f t="shared" si="8"/>
        <v>#N/A</v>
      </c>
      <c r="N47" s="8" t="e">
        <f t="shared" si="9"/>
        <v>#N/A</v>
      </c>
      <c r="O47" s="8" t="e">
        <f t="shared" si="10"/>
        <v>#N/A</v>
      </c>
    </row>
    <row r="48" spans="2:15" x14ac:dyDescent="0.25">
      <c r="B48">
        <v>5</v>
      </c>
      <c r="C48" s="16">
        <v>40836</v>
      </c>
      <c r="D48" s="8" t="e">
        <f t="shared" si="0"/>
        <v>#N/A</v>
      </c>
      <c r="E48" s="8" t="e">
        <f t="shared" si="1"/>
        <v>#N/A</v>
      </c>
      <c r="F48" s="8" t="e">
        <f t="shared" si="2"/>
        <v>#N/A</v>
      </c>
      <c r="G48" s="8" t="e">
        <f t="shared" si="3"/>
        <v>#N/A</v>
      </c>
      <c r="H48" s="8" t="e">
        <f t="shared" si="4"/>
        <v>#N/A</v>
      </c>
      <c r="I48" s="8" t="e">
        <f t="shared" si="5"/>
        <v>#N/A</v>
      </c>
      <c r="J48" s="8" t="e">
        <f t="shared" si="6"/>
        <v>#N/A</v>
      </c>
      <c r="K48" s="8" t="e">
        <f t="shared" si="7"/>
        <v>#N/A</v>
      </c>
      <c r="L48" s="8" t="e">
        <f t="shared" si="7"/>
        <v>#N/A</v>
      </c>
      <c r="M48" s="8" t="e">
        <f t="shared" si="8"/>
        <v>#N/A</v>
      </c>
      <c r="N48" s="8" t="e">
        <f t="shared" si="9"/>
        <v>#N/A</v>
      </c>
      <c r="O48" s="8" t="e">
        <f t="shared" si="10"/>
        <v>#N/A</v>
      </c>
    </row>
    <row r="49" spans="2:18" x14ac:dyDescent="0.25">
      <c r="B49">
        <v>5</v>
      </c>
      <c r="C49" s="1">
        <v>41037</v>
      </c>
      <c r="D49" s="8" t="e">
        <f t="shared" si="0"/>
        <v>#N/A</v>
      </c>
      <c r="E49" s="8" t="e">
        <f t="shared" si="1"/>
        <v>#N/A</v>
      </c>
      <c r="F49" s="8" t="e">
        <f t="shared" si="2"/>
        <v>#N/A</v>
      </c>
      <c r="G49" s="8" t="e">
        <f t="shared" si="3"/>
        <v>#N/A</v>
      </c>
      <c r="H49" s="8" t="e">
        <f t="shared" si="4"/>
        <v>#N/A</v>
      </c>
      <c r="I49" s="8" t="e">
        <f t="shared" si="5"/>
        <v>#N/A</v>
      </c>
      <c r="J49" s="8" t="e">
        <f t="shared" si="6"/>
        <v>#N/A</v>
      </c>
      <c r="K49" s="10" t="e">
        <f t="shared" si="7"/>
        <v>#N/A</v>
      </c>
      <c r="L49" s="8" t="e">
        <f t="shared" si="7"/>
        <v>#N/A</v>
      </c>
      <c r="M49" s="8" t="e">
        <f t="shared" si="8"/>
        <v>#N/A</v>
      </c>
      <c r="N49" s="8" t="e">
        <f t="shared" si="9"/>
        <v>#N/A</v>
      </c>
      <c r="O49" s="10" t="e">
        <f t="shared" si="10"/>
        <v>#N/A</v>
      </c>
    </row>
    <row r="50" spans="2:18" x14ac:dyDescent="0.25">
      <c r="B50">
        <v>5</v>
      </c>
      <c r="C50" s="16">
        <v>41185</v>
      </c>
      <c r="D50" s="8" t="e">
        <f t="shared" si="0"/>
        <v>#N/A</v>
      </c>
      <c r="E50" s="8" t="e">
        <f t="shared" si="1"/>
        <v>#N/A</v>
      </c>
      <c r="F50" s="8" t="e">
        <f t="shared" si="2"/>
        <v>#N/A</v>
      </c>
      <c r="G50" s="8" t="e">
        <f t="shared" si="3"/>
        <v>#N/A</v>
      </c>
      <c r="H50" s="8" t="e">
        <f t="shared" si="4"/>
        <v>#N/A</v>
      </c>
      <c r="I50" s="8" t="e">
        <f t="shared" si="5"/>
        <v>#N/A</v>
      </c>
      <c r="J50" s="8" t="e">
        <f t="shared" si="6"/>
        <v>#N/A</v>
      </c>
      <c r="K50" s="10" t="e">
        <f t="shared" si="7"/>
        <v>#N/A</v>
      </c>
      <c r="L50" s="8" t="e">
        <f t="shared" si="7"/>
        <v>#N/A</v>
      </c>
      <c r="M50" s="8" t="e">
        <f t="shared" si="8"/>
        <v>#N/A</v>
      </c>
      <c r="N50" s="8" t="e">
        <f t="shared" si="9"/>
        <v>#N/A</v>
      </c>
      <c r="O50" s="10" t="e">
        <f t="shared" si="10"/>
        <v>#N/A</v>
      </c>
    </row>
    <row r="51" spans="2:18" x14ac:dyDescent="0.25">
      <c r="B51">
        <v>5</v>
      </c>
      <c r="C51" s="16">
        <v>41362</v>
      </c>
      <c r="D51" s="8" t="e">
        <f t="shared" si="0"/>
        <v>#N/A</v>
      </c>
      <c r="E51" s="8" t="e">
        <f t="shared" si="1"/>
        <v>#N/A</v>
      </c>
      <c r="F51" s="8" t="e">
        <f t="shared" si="2"/>
        <v>#N/A</v>
      </c>
      <c r="G51" s="8" t="e">
        <f t="shared" si="3"/>
        <v>#N/A</v>
      </c>
      <c r="H51" s="8" t="e">
        <f t="shared" si="4"/>
        <v>#N/A</v>
      </c>
      <c r="I51" s="8" t="e">
        <f t="shared" si="5"/>
        <v>#N/A</v>
      </c>
      <c r="J51" s="8" t="e">
        <f t="shared" si="6"/>
        <v>#N/A</v>
      </c>
      <c r="K51" s="10" t="e">
        <f t="shared" si="7"/>
        <v>#N/A</v>
      </c>
      <c r="L51" s="8" t="e">
        <f t="shared" si="7"/>
        <v>#N/A</v>
      </c>
      <c r="M51" s="8" t="e">
        <f t="shared" si="8"/>
        <v>#N/A</v>
      </c>
      <c r="N51" s="8" t="e">
        <f t="shared" si="9"/>
        <v>#N/A</v>
      </c>
      <c r="O51" s="10" t="e">
        <f t="shared" si="10"/>
        <v>#N/A</v>
      </c>
    </row>
    <row r="52" spans="2:18" x14ac:dyDescent="0.25">
      <c r="B52">
        <v>5</v>
      </c>
      <c r="C52" s="16">
        <v>41432</v>
      </c>
      <c r="D52" s="8" t="e">
        <f t="shared" si="0"/>
        <v>#N/A</v>
      </c>
      <c r="E52" s="8" t="e">
        <f t="shared" si="1"/>
        <v>#N/A</v>
      </c>
      <c r="F52" s="8" t="e">
        <f t="shared" si="2"/>
        <v>#N/A</v>
      </c>
      <c r="G52" s="8" t="e">
        <f t="shared" si="3"/>
        <v>#N/A</v>
      </c>
      <c r="H52" s="8" t="e">
        <f t="shared" si="4"/>
        <v>#N/A</v>
      </c>
      <c r="I52" s="8" t="e">
        <f t="shared" si="5"/>
        <v>#N/A</v>
      </c>
      <c r="J52" s="8" t="e">
        <f t="shared" si="6"/>
        <v>#N/A</v>
      </c>
      <c r="K52" s="10" t="e">
        <f t="shared" si="7"/>
        <v>#N/A</v>
      </c>
      <c r="L52" s="8" t="e">
        <f t="shared" si="7"/>
        <v>#N/A</v>
      </c>
      <c r="M52" s="8" t="e">
        <f t="shared" si="8"/>
        <v>#N/A</v>
      </c>
      <c r="N52" s="8" t="e">
        <f t="shared" si="9"/>
        <v>#N/A</v>
      </c>
      <c r="O52" s="10" t="e">
        <f t="shared" si="10"/>
        <v>#N/A</v>
      </c>
    </row>
    <row r="53" spans="2:18" x14ac:dyDescent="0.25">
      <c r="B53">
        <v>5</v>
      </c>
      <c r="C53" s="16">
        <v>41527</v>
      </c>
      <c r="D53" s="8" t="e">
        <f t="shared" si="0"/>
        <v>#N/A</v>
      </c>
      <c r="E53" s="8" t="e">
        <f t="shared" si="1"/>
        <v>#N/A</v>
      </c>
      <c r="F53" s="8" t="e">
        <f t="shared" si="2"/>
        <v>#N/A</v>
      </c>
      <c r="G53" s="8" t="e">
        <f t="shared" si="3"/>
        <v>#N/A</v>
      </c>
      <c r="H53" s="8" t="e">
        <f t="shared" si="4"/>
        <v>#N/A</v>
      </c>
      <c r="I53" s="8" t="e">
        <f t="shared" si="5"/>
        <v>#N/A</v>
      </c>
      <c r="J53" s="8" t="e">
        <f t="shared" si="6"/>
        <v>#N/A</v>
      </c>
      <c r="K53" s="10" t="e">
        <f t="shared" si="7"/>
        <v>#N/A</v>
      </c>
      <c r="L53" s="8" t="e">
        <f t="shared" si="7"/>
        <v>#N/A</v>
      </c>
      <c r="M53" s="8" t="e">
        <f t="shared" si="8"/>
        <v>#N/A</v>
      </c>
      <c r="N53" s="8" t="e">
        <f t="shared" si="9"/>
        <v>#N/A</v>
      </c>
      <c r="O53" s="10" t="e">
        <f t="shared" si="10"/>
        <v>#N/A</v>
      </c>
    </row>
    <row r="54" spans="2:18" x14ac:dyDescent="0.25">
      <c r="B54">
        <v>5</v>
      </c>
      <c r="C54" s="16">
        <v>41667</v>
      </c>
      <c r="D54" s="8" t="e">
        <f t="shared" si="0"/>
        <v>#N/A</v>
      </c>
      <c r="E54" s="8" t="e">
        <f t="shared" si="1"/>
        <v>#N/A</v>
      </c>
      <c r="F54" s="8" t="e">
        <f t="shared" si="2"/>
        <v>#N/A</v>
      </c>
      <c r="G54" s="8" t="e">
        <f t="shared" si="3"/>
        <v>#N/A</v>
      </c>
      <c r="H54" s="8" t="e">
        <f t="shared" si="4"/>
        <v>#N/A</v>
      </c>
      <c r="I54" s="8" t="e">
        <f t="shared" si="5"/>
        <v>#N/A</v>
      </c>
      <c r="J54" s="8" t="e">
        <f t="shared" si="6"/>
        <v>#N/A</v>
      </c>
      <c r="K54" s="10" t="e">
        <f t="shared" si="7"/>
        <v>#N/A</v>
      </c>
      <c r="L54" s="8" t="e">
        <f t="shared" si="7"/>
        <v>#N/A</v>
      </c>
      <c r="M54" s="8" t="e">
        <f t="shared" si="8"/>
        <v>#N/A</v>
      </c>
      <c r="N54" s="8" t="e">
        <f t="shared" si="9"/>
        <v>#N/A</v>
      </c>
      <c r="O54" s="10" t="e">
        <f t="shared" si="10"/>
        <v>#N/A</v>
      </c>
    </row>
    <row r="55" spans="2:18" x14ac:dyDescent="0.25">
      <c r="B55">
        <v>5</v>
      </c>
      <c r="C55" s="16">
        <v>41674</v>
      </c>
      <c r="D55" s="8" t="e">
        <f t="shared" si="0"/>
        <v>#N/A</v>
      </c>
      <c r="E55" s="8" t="e">
        <f t="shared" si="1"/>
        <v>#N/A</v>
      </c>
      <c r="F55" s="8" t="e">
        <f t="shared" si="2"/>
        <v>#N/A</v>
      </c>
      <c r="G55" s="8" t="e">
        <f t="shared" si="3"/>
        <v>#N/A</v>
      </c>
      <c r="H55" s="8" t="e">
        <f t="shared" si="4"/>
        <v>#N/A</v>
      </c>
      <c r="I55" s="8" t="e">
        <f t="shared" si="5"/>
        <v>#N/A</v>
      </c>
      <c r="J55" s="8" t="e">
        <f t="shared" si="6"/>
        <v>#N/A</v>
      </c>
      <c r="K55" s="10" t="e">
        <f t="shared" si="7"/>
        <v>#N/A</v>
      </c>
      <c r="L55" s="8" t="e">
        <f t="shared" si="7"/>
        <v>#N/A</v>
      </c>
      <c r="M55" s="8" t="e">
        <f t="shared" si="8"/>
        <v>#N/A</v>
      </c>
      <c r="N55" s="8" t="e">
        <f t="shared" si="9"/>
        <v>#N/A</v>
      </c>
      <c r="O55" s="10" t="e">
        <f t="shared" si="10"/>
        <v>#N/A</v>
      </c>
    </row>
    <row r="56" spans="2:18" x14ac:dyDescent="0.25">
      <c r="B56">
        <v>5</v>
      </c>
      <c r="C56" s="16">
        <v>41747</v>
      </c>
      <c r="D56" s="8" t="e">
        <f t="shared" si="0"/>
        <v>#N/A</v>
      </c>
      <c r="E56" s="8" t="e">
        <f t="shared" si="1"/>
        <v>#N/A</v>
      </c>
      <c r="F56" s="8" t="e">
        <f t="shared" si="2"/>
        <v>#N/A</v>
      </c>
      <c r="G56" s="8" t="e">
        <f t="shared" si="3"/>
        <v>#N/A</v>
      </c>
      <c r="H56" s="8" t="e">
        <f t="shared" si="4"/>
        <v>#N/A</v>
      </c>
      <c r="I56" s="8" t="e">
        <f t="shared" si="5"/>
        <v>#N/A</v>
      </c>
      <c r="J56" s="8" t="e">
        <f t="shared" si="6"/>
        <v>#N/A</v>
      </c>
      <c r="K56" s="8" t="e">
        <f t="shared" si="7"/>
        <v>#N/A</v>
      </c>
      <c r="L56" s="8" t="e">
        <f t="shared" si="7"/>
        <v>#N/A</v>
      </c>
      <c r="M56" s="8" t="e">
        <f t="shared" si="8"/>
        <v>#N/A</v>
      </c>
      <c r="N56" s="8" t="e">
        <f t="shared" si="9"/>
        <v>#N/A</v>
      </c>
      <c r="O56" s="10" t="e">
        <f t="shared" si="10"/>
        <v>#N/A</v>
      </c>
    </row>
    <row r="57" spans="2:18" x14ac:dyDescent="0.25">
      <c r="B57">
        <v>5</v>
      </c>
      <c r="C57" s="16">
        <v>41823</v>
      </c>
      <c r="D57" s="8" t="e">
        <f t="shared" si="0"/>
        <v>#N/A</v>
      </c>
      <c r="E57" s="8" t="e">
        <f t="shared" si="1"/>
        <v>#N/A</v>
      </c>
      <c r="F57" s="8" t="e">
        <f t="shared" si="2"/>
        <v>#N/A</v>
      </c>
      <c r="G57" s="8" t="e">
        <f t="shared" si="3"/>
        <v>#N/A</v>
      </c>
      <c r="H57" s="8" t="e">
        <f t="shared" si="4"/>
        <v>#N/A</v>
      </c>
      <c r="I57" s="8" t="e">
        <f t="shared" si="5"/>
        <v>#N/A</v>
      </c>
      <c r="J57" s="8" t="e">
        <f t="shared" si="6"/>
        <v>#N/A</v>
      </c>
      <c r="K57" s="10" t="e">
        <f t="shared" si="7"/>
        <v>#N/A</v>
      </c>
      <c r="L57" s="8" t="e">
        <f t="shared" si="7"/>
        <v>#N/A</v>
      </c>
      <c r="M57" s="8" t="e">
        <f t="shared" si="8"/>
        <v>#N/A</v>
      </c>
      <c r="N57" s="8" t="e">
        <f t="shared" si="9"/>
        <v>#N/A</v>
      </c>
      <c r="O57" s="8" t="e">
        <f t="shared" si="10"/>
        <v>#N/A</v>
      </c>
    </row>
    <row r="60" spans="2:18" x14ac:dyDescent="0.25">
      <c r="E60" t="s">
        <v>109</v>
      </c>
      <c r="F60" t="s">
        <v>110</v>
      </c>
      <c r="J60" t="s">
        <v>111</v>
      </c>
      <c r="K60" t="s">
        <v>137</v>
      </c>
      <c r="O60" t="s">
        <v>138</v>
      </c>
      <c r="Q60" t="s">
        <v>139</v>
      </c>
    </row>
    <row r="61" spans="2:18" x14ac:dyDescent="0.25">
      <c r="C61">
        <v>1</v>
      </c>
      <c r="D61">
        <v>1</v>
      </c>
      <c r="E61" s="5">
        <v>1.3758515614629172</v>
      </c>
      <c r="F61" s="5">
        <v>1.19008845525405</v>
      </c>
      <c r="G61">
        <f>F61/E61</f>
        <v>0.86498317739208097</v>
      </c>
      <c r="H61">
        <f>1-F61/2.65</f>
        <v>0.55091001688526409</v>
      </c>
      <c r="I61">
        <f>1-E61/2.65</f>
        <v>0.48081073152342746</v>
      </c>
      <c r="J61" s="5">
        <v>0.29071836467762852</v>
      </c>
      <c r="K61" s="5">
        <v>0.11076501696836233</v>
      </c>
      <c r="L61">
        <f t="shared" ref="L61:L96" si="11">IF(OR(Q61="",R61=""),"",Q61-R61)</f>
        <v>0.17081224131442707</v>
      </c>
      <c r="M61">
        <v>1</v>
      </c>
      <c r="N61">
        <v>1</v>
      </c>
      <c r="O61" s="5">
        <v>0.29071836467762852</v>
      </c>
      <c r="P61" s="5">
        <v>0.11076501696836233</v>
      </c>
      <c r="Q61" s="5">
        <v>0.3469614768844545</v>
      </c>
      <c r="R61" s="5">
        <v>0.17614923557002743</v>
      </c>
    </row>
    <row r="62" spans="2:18" x14ac:dyDescent="0.25">
      <c r="C62">
        <v>1</v>
      </c>
      <c r="D62">
        <v>2</v>
      </c>
      <c r="E62" s="5">
        <v>1.4476484884095171</v>
      </c>
      <c r="F62" s="5">
        <v>1.4458416068614428</v>
      </c>
      <c r="G62">
        <f t="shared" ref="G62:G96" si="12">F62/E62</f>
        <v>0.99875185063049421</v>
      </c>
      <c r="H62">
        <f t="shared" ref="H62:H96" si="13">1-F62/2.65</f>
        <v>0.4543993936371914</v>
      </c>
      <c r="I62">
        <f t="shared" ref="I62:I96" si="14">1-E62/2.65</f>
        <v>0.4537175515435784</v>
      </c>
      <c r="J62" s="5">
        <v>0.33514268711183265</v>
      </c>
      <c r="K62" s="5">
        <v>0.17153196579027885</v>
      </c>
      <c r="L62">
        <f t="shared" si="11"/>
        <v>0.15971122093630349</v>
      </c>
      <c r="M62">
        <v>2</v>
      </c>
      <c r="N62">
        <v>1</v>
      </c>
      <c r="O62" s="5">
        <v>0.33514268711183265</v>
      </c>
      <c r="P62" s="5">
        <v>0.17153196579027885</v>
      </c>
      <c r="Q62" s="5">
        <v>0.32061380893414781</v>
      </c>
      <c r="R62" s="5">
        <v>0.16090258799784432</v>
      </c>
    </row>
    <row r="63" spans="2:18" x14ac:dyDescent="0.25">
      <c r="C63">
        <v>1</v>
      </c>
      <c r="D63">
        <v>3</v>
      </c>
      <c r="E63" s="5">
        <v>1.6669182181244679</v>
      </c>
      <c r="F63" s="5">
        <v>1.5374162243325882</v>
      </c>
      <c r="G63">
        <f t="shared" si="12"/>
        <v>0.92231052946461356</v>
      </c>
      <c r="H63">
        <f t="shared" si="13"/>
        <v>0.41984293421411767</v>
      </c>
      <c r="I63">
        <f t="shared" si="14"/>
        <v>0.37097425731152156</v>
      </c>
      <c r="J63" s="5">
        <v>0.3510491981665706</v>
      </c>
      <c r="K63" s="5">
        <v>0.19329009490142296</v>
      </c>
      <c r="L63">
        <f t="shared" si="11"/>
        <v>0.15132493215810072</v>
      </c>
      <c r="M63">
        <v>3</v>
      </c>
      <c r="N63">
        <v>1</v>
      </c>
      <c r="O63" s="5">
        <v>0.3510491981665706</v>
      </c>
      <c r="P63" s="5">
        <v>0.19329009490142296</v>
      </c>
      <c r="Q63" s="5">
        <v>0.33258716734344895</v>
      </c>
      <c r="R63" s="5">
        <v>0.18126223518534823</v>
      </c>
    </row>
    <row r="64" spans="2:18" x14ac:dyDescent="0.25">
      <c r="C64">
        <v>2</v>
      </c>
      <c r="D64">
        <v>1</v>
      </c>
      <c r="E64" s="5">
        <v>1.4949014186193199</v>
      </c>
      <c r="F64" s="5">
        <v>1.2610818754711988</v>
      </c>
      <c r="G64">
        <f t="shared" si="12"/>
        <v>0.84358865391667415</v>
      </c>
      <c r="H64">
        <f t="shared" si="13"/>
        <v>0.52412004699200043</v>
      </c>
      <c r="I64">
        <f t="shared" si="14"/>
        <v>0.4358862571247849</v>
      </c>
      <c r="J64" s="5">
        <v>0.3030499217693472</v>
      </c>
      <c r="K64" s="5">
        <v>0.12763305361195687</v>
      </c>
      <c r="L64">
        <f t="shared" si="11"/>
        <v>0.16816072002004934</v>
      </c>
      <c r="M64">
        <v>4</v>
      </c>
      <c r="N64">
        <v>1</v>
      </c>
      <c r="O64" s="5">
        <v>0.3030499217693472</v>
      </c>
      <c r="P64" s="5">
        <v>0.12763305361195687</v>
      </c>
      <c r="Q64" s="5">
        <v>0.35442252178754952</v>
      </c>
      <c r="R64" s="5">
        <v>0.18626180176750018</v>
      </c>
    </row>
    <row r="65" spans="3:18" x14ac:dyDescent="0.25">
      <c r="C65">
        <v>2</v>
      </c>
      <c r="D65">
        <v>2</v>
      </c>
      <c r="E65" s="5">
        <v>1.5046411592413584</v>
      </c>
      <c r="F65" s="5">
        <v>1.4587913666986656</v>
      </c>
      <c r="G65">
        <f t="shared" si="12"/>
        <v>0.96952775599611385</v>
      </c>
      <c r="H65">
        <f t="shared" si="13"/>
        <v>0.44951269181182429</v>
      </c>
      <c r="I65">
        <f t="shared" si="14"/>
        <v>0.43221088330514779</v>
      </c>
      <c r="J65" s="5">
        <v>0.33739206039555825</v>
      </c>
      <c r="K65" s="5">
        <v>0.17460882872760297</v>
      </c>
      <c r="L65">
        <f t="shared" si="11"/>
        <v>0.15445364273746992</v>
      </c>
      <c r="M65">
        <v>5</v>
      </c>
      <c r="N65">
        <v>1</v>
      </c>
      <c r="O65" s="5">
        <v>0.33739206039555825</v>
      </c>
      <c r="P65" s="5">
        <v>0.17460882872760297</v>
      </c>
      <c r="Q65" s="5">
        <v>0.35441142974693041</v>
      </c>
      <c r="R65" s="5">
        <v>0.19995778700946049</v>
      </c>
    </row>
    <row r="66" spans="3:18" x14ac:dyDescent="0.25">
      <c r="C66">
        <v>2</v>
      </c>
      <c r="D66">
        <v>3</v>
      </c>
      <c r="E66" s="5">
        <v>1.6616014580978955</v>
      </c>
      <c r="F66" s="5">
        <v>1.5782128361506047</v>
      </c>
      <c r="G66">
        <f t="shared" si="12"/>
        <v>0.94981430622795116</v>
      </c>
      <c r="H66">
        <f t="shared" si="13"/>
        <v>0.4044479863582624</v>
      </c>
      <c r="I66">
        <f t="shared" si="14"/>
        <v>0.37298058184985072</v>
      </c>
      <c r="J66" s="5">
        <v>0.35813556963936005</v>
      </c>
      <c r="K66" s="5">
        <v>0.2029833698693837</v>
      </c>
      <c r="L66">
        <f t="shared" si="11"/>
        <v>0.14535089902039439</v>
      </c>
      <c r="M66">
        <v>6</v>
      </c>
      <c r="N66">
        <v>1</v>
      </c>
      <c r="O66" s="5">
        <v>0.35813556963936005</v>
      </c>
      <c r="P66" s="5">
        <v>0.2029833698693837</v>
      </c>
      <c r="Q66" s="5">
        <v>0.33609629355009257</v>
      </c>
      <c r="R66" s="5">
        <v>0.19074539452969819</v>
      </c>
    </row>
    <row r="67" spans="3:18" x14ac:dyDescent="0.25">
      <c r="C67">
        <v>3</v>
      </c>
      <c r="D67">
        <v>1</v>
      </c>
      <c r="E67" s="5">
        <v>1.215145898471234</v>
      </c>
      <c r="F67" s="5">
        <v>1.2779736674637066</v>
      </c>
      <c r="G67">
        <f t="shared" si="12"/>
        <v>1.0517038892790698</v>
      </c>
      <c r="H67">
        <f t="shared" si="13"/>
        <v>0.51774578586275222</v>
      </c>
      <c r="I67">
        <f t="shared" si="14"/>
        <v>0.54145437793538331</v>
      </c>
      <c r="J67" s="5">
        <v>0.30598402603844582</v>
      </c>
      <c r="K67" s="5">
        <v>0.1316465433893767</v>
      </c>
      <c r="L67">
        <f t="shared" si="11"/>
        <v>0.16745396378920302</v>
      </c>
      <c r="M67">
        <v>7</v>
      </c>
      <c r="N67">
        <v>1</v>
      </c>
      <c r="O67" s="5">
        <v>0.30598402603844582</v>
      </c>
      <c r="P67" s="5">
        <v>0.1316465433893767</v>
      </c>
      <c r="Q67" s="5">
        <v>0.34875745995795659</v>
      </c>
      <c r="R67" s="5">
        <v>0.18130349616875358</v>
      </c>
    </row>
    <row r="68" spans="3:18" x14ac:dyDescent="0.25">
      <c r="C68">
        <v>3</v>
      </c>
      <c r="D68">
        <v>2</v>
      </c>
      <c r="E68" s="5">
        <v>1.3990557617115598</v>
      </c>
      <c r="F68" s="5">
        <v>1.1529707225769472</v>
      </c>
      <c r="G68">
        <f t="shared" si="12"/>
        <v>0.82410633952605283</v>
      </c>
      <c r="H68">
        <f t="shared" si="13"/>
        <v>0.56491670846152942</v>
      </c>
      <c r="I68">
        <f t="shared" si="14"/>
        <v>0.47205442954280763</v>
      </c>
      <c r="J68" s="5">
        <v>0.28427101451161574</v>
      </c>
      <c r="K68" s="5">
        <v>0.10194584368428267</v>
      </c>
      <c r="L68">
        <f t="shared" si="11"/>
        <v>0.17377787726255162</v>
      </c>
      <c r="M68">
        <v>8</v>
      </c>
      <c r="N68">
        <v>1</v>
      </c>
      <c r="O68" s="5">
        <v>0.28427101451161574</v>
      </c>
      <c r="P68" s="5">
        <v>0.10194584368428267</v>
      </c>
      <c r="Q68" s="5">
        <v>0.38104977080071062</v>
      </c>
      <c r="R68" s="5">
        <v>0.207271893538159</v>
      </c>
    </row>
    <row r="69" spans="3:18" x14ac:dyDescent="0.25">
      <c r="C69">
        <v>3</v>
      </c>
      <c r="D69">
        <v>3</v>
      </c>
      <c r="E69" s="5">
        <v>1.4287654044110631</v>
      </c>
      <c r="F69" s="5">
        <v>1.249734717491499</v>
      </c>
      <c r="G69">
        <f t="shared" si="12"/>
        <v>0.87469553338369044</v>
      </c>
      <c r="H69">
        <f t="shared" si="13"/>
        <v>0.52840199339943439</v>
      </c>
      <c r="I69">
        <f t="shared" si="14"/>
        <v>0.46084324361846674</v>
      </c>
      <c r="J69" s="5">
        <v>0.30107892042827339</v>
      </c>
      <c r="K69" s="5">
        <v>0.12493696887598016</v>
      </c>
      <c r="L69">
        <f t="shared" si="11"/>
        <v>0.1706668649731693</v>
      </c>
      <c r="M69">
        <v>9</v>
      </c>
      <c r="N69">
        <v>1</v>
      </c>
      <c r="O69" s="5">
        <v>0.30107892042827339</v>
      </c>
      <c r="P69" s="5">
        <v>0.12493696887598016</v>
      </c>
      <c r="Q69" s="5">
        <v>0.34933040439347285</v>
      </c>
      <c r="R69" s="5">
        <v>0.17866353942030355</v>
      </c>
    </row>
    <row r="70" spans="3:18" x14ac:dyDescent="0.25">
      <c r="C70">
        <v>4</v>
      </c>
      <c r="D70">
        <v>1</v>
      </c>
      <c r="E70" s="5">
        <v>1.4502921258813342</v>
      </c>
      <c r="F70" s="5">
        <v>1.3743876688691443</v>
      </c>
      <c r="G70">
        <f t="shared" si="12"/>
        <v>0.94766264281683033</v>
      </c>
      <c r="H70">
        <f t="shared" si="13"/>
        <v>0.48136314382296441</v>
      </c>
      <c r="I70">
        <f t="shared" si="14"/>
        <v>0.45271995249760977</v>
      </c>
      <c r="J70" s="5">
        <v>0.32273113808257037</v>
      </c>
      <c r="K70" s="5">
        <v>0.15455451012330873</v>
      </c>
      <c r="L70">
        <f t="shared" si="11"/>
        <v>0.16387707954851488</v>
      </c>
      <c r="M70">
        <v>10</v>
      </c>
      <c r="N70">
        <v>1</v>
      </c>
      <c r="O70" s="5">
        <v>0.32273113808257037</v>
      </c>
      <c r="P70" s="5">
        <v>0.15455451012330873</v>
      </c>
      <c r="Q70" s="5">
        <v>0.33096777223183194</v>
      </c>
      <c r="R70" s="5">
        <v>0.16709069268331705</v>
      </c>
    </row>
    <row r="71" spans="3:18" x14ac:dyDescent="0.25">
      <c r="C71">
        <v>4</v>
      </c>
      <c r="D71">
        <v>2</v>
      </c>
      <c r="E71" s="5">
        <v>1.6693507336836697</v>
      </c>
      <c r="F71" s="5">
        <v>1.4973274941232309</v>
      </c>
      <c r="G71">
        <f t="shared" si="12"/>
        <v>0.89695200889219717</v>
      </c>
      <c r="H71">
        <f t="shared" si="13"/>
        <v>0.43497075693462983</v>
      </c>
      <c r="I71">
        <f t="shared" si="14"/>
        <v>0.37005632691182277</v>
      </c>
      <c r="J71" s="5">
        <v>0.34408578572920523</v>
      </c>
      <c r="K71" s="5">
        <v>0.18376501260367967</v>
      </c>
      <c r="L71">
        <f t="shared" si="11"/>
        <v>0.15390937149549747</v>
      </c>
      <c r="M71">
        <v>11</v>
      </c>
      <c r="N71">
        <v>1</v>
      </c>
      <c r="O71" s="5">
        <v>0.34408578572920523</v>
      </c>
      <c r="P71" s="5">
        <v>0.18376501260367967</v>
      </c>
      <c r="Q71" s="5">
        <v>0.32919242525871811</v>
      </c>
      <c r="R71" s="5">
        <v>0.17528305376322065</v>
      </c>
    </row>
    <row r="72" spans="3:18" x14ac:dyDescent="0.25">
      <c r="C72">
        <v>4</v>
      </c>
      <c r="D72">
        <v>3</v>
      </c>
      <c r="E72" s="5">
        <v>1.6581202074580823</v>
      </c>
      <c r="F72" s="5">
        <v>1.6398669558877084</v>
      </c>
      <c r="G72">
        <f t="shared" si="12"/>
        <v>0.98899159934950898</v>
      </c>
      <c r="H72">
        <f t="shared" si="13"/>
        <v>0.38118228079709116</v>
      </c>
      <c r="I72">
        <f t="shared" si="14"/>
        <v>0.37429426133657273</v>
      </c>
      <c r="J72" s="5">
        <v>0.35118228079709113</v>
      </c>
      <c r="K72" s="5">
        <v>0.21763238871891954</v>
      </c>
      <c r="L72">
        <f t="shared" si="11"/>
        <v>0.12536660105744529</v>
      </c>
      <c r="M72">
        <v>12</v>
      </c>
      <c r="N72">
        <v>1</v>
      </c>
      <c r="O72" s="5">
        <v>0.35118228079709113</v>
      </c>
      <c r="P72" s="5">
        <v>0.21763238871891954</v>
      </c>
      <c r="Q72" s="5">
        <v>0.34564668960677819</v>
      </c>
      <c r="R72" s="5">
        <v>0.2202800885493329</v>
      </c>
    </row>
    <row r="73" spans="3:18" x14ac:dyDescent="0.25">
      <c r="C73">
        <v>5</v>
      </c>
      <c r="D73">
        <v>1</v>
      </c>
      <c r="E73" s="5">
        <v>1.4704533285251284</v>
      </c>
      <c r="F73" s="5">
        <v>1.2202615798818885</v>
      </c>
      <c r="G73">
        <f t="shared" si="12"/>
        <v>0.82985400230676931</v>
      </c>
      <c r="H73">
        <f t="shared" si="13"/>
        <v>0.53952393212004202</v>
      </c>
      <c r="I73">
        <f t="shared" si="14"/>
        <v>0.44511195149995153</v>
      </c>
      <c r="J73" s="5">
        <v>0.29595943642548406</v>
      </c>
      <c r="K73" s="5">
        <v>0.11793415137993674</v>
      </c>
      <c r="L73">
        <f t="shared" si="11"/>
        <v>0.17052234850281817</v>
      </c>
      <c r="O73" s="5">
        <v>0.29595943642548406</v>
      </c>
      <c r="P73" s="5">
        <v>0.11793415137993674</v>
      </c>
      <c r="Q73" s="5">
        <v>0.35102271197084267</v>
      </c>
      <c r="R73" s="5">
        <v>0.18050036346802451</v>
      </c>
    </row>
    <row r="74" spans="3:18" x14ac:dyDescent="0.25">
      <c r="C74">
        <v>5</v>
      </c>
      <c r="D74">
        <v>2</v>
      </c>
      <c r="E74" s="5">
        <v>1.5680167295396312</v>
      </c>
      <c r="F74" s="5">
        <v>1.4843593135750022</v>
      </c>
      <c r="G74">
        <f t="shared" si="12"/>
        <v>0.94664762538012537</v>
      </c>
      <c r="H74">
        <f t="shared" si="13"/>
        <v>0.43986440997169729</v>
      </c>
      <c r="I74">
        <f t="shared" si="14"/>
        <v>0.40829557375862968</v>
      </c>
      <c r="J74" s="5">
        <v>0.3418332127679779</v>
      </c>
      <c r="K74" s="5">
        <v>0.18068377290542054</v>
      </c>
      <c r="L74">
        <f t="shared" si="11"/>
        <v>0.15477289605976691</v>
      </c>
      <c r="O74" s="5">
        <v>0.3418332127679779</v>
      </c>
      <c r="P74" s="5">
        <v>0.18068377290542054</v>
      </c>
      <c r="Q74" s="5">
        <v>0.34707610260905319</v>
      </c>
      <c r="R74" s="5">
        <v>0.19230320654928629</v>
      </c>
    </row>
    <row r="75" spans="3:18" x14ac:dyDescent="0.25">
      <c r="C75">
        <v>5</v>
      </c>
      <c r="D75">
        <v>3</v>
      </c>
      <c r="E75" s="5">
        <v>1.704938361176624</v>
      </c>
      <c r="F75" s="5">
        <v>1.5766654964261004</v>
      </c>
      <c r="G75">
        <f t="shared" si="12"/>
        <v>0.92476392832055287</v>
      </c>
      <c r="H75">
        <f t="shared" si="13"/>
        <v>0.40503188814109414</v>
      </c>
      <c r="I75">
        <f t="shared" si="14"/>
        <v>0.35662703351825509</v>
      </c>
      <c r="J75" s="5">
        <v>0.35786679672921368</v>
      </c>
      <c r="K75" s="5">
        <v>0.20261572195084149</v>
      </c>
      <c r="L75">
        <f t="shared" si="11"/>
        <v>0.12629322692645562</v>
      </c>
      <c r="O75" s="5">
        <v>0.35786679672921368</v>
      </c>
      <c r="P75" s="5">
        <v>0.20261572195084149</v>
      </c>
      <c r="Q75" s="5">
        <v>0.36871963058123208</v>
      </c>
      <c r="R75" s="5">
        <v>0.24242640365477647</v>
      </c>
    </row>
    <row r="76" spans="3:18" x14ac:dyDescent="0.25">
      <c r="C76">
        <v>6</v>
      </c>
      <c r="D76">
        <v>1</v>
      </c>
      <c r="E76" s="5">
        <v>1.428628420256133</v>
      </c>
      <c r="F76" s="5">
        <v>1.3871163801742945</v>
      </c>
      <c r="G76">
        <f t="shared" si="12"/>
        <v>0.97094273115860597</v>
      </c>
      <c r="H76">
        <f t="shared" si="13"/>
        <v>0.47655985653800204</v>
      </c>
      <c r="I76">
        <f t="shared" si="14"/>
        <v>0.46089493575240259</v>
      </c>
      <c r="J76" s="5">
        <v>0.32494211523627498</v>
      </c>
      <c r="K76" s="5">
        <v>0.1575788519294124</v>
      </c>
      <c r="L76">
        <f t="shared" si="11"/>
        <v>0.15867161863998172</v>
      </c>
      <c r="O76" s="5">
        <v>0.32494211523627498</v>
      </c>
      <c r="P76" s="5">
        <v>0.1575788519294124</v>
      </c>
      <c r="Q76" s="5">
        <v>0.32016198750105052</v>
      </c>
      <c r="R76" s="5">
        <v>0.16149036886106879</v>
      </c>
    </row>
    <row r="77" spans="3:18" x14ac:dyDescent="0.25">
      <c r="C77">
        <v>6</v>
      </c>
      <c r="D77">
        <v>2</v>
      </c>
      <c r="E77" s="5">
        <v>1.3724818280997935</v>
      </c>
      <c r="F77" s="5">
        <v>1.3965477842093701</v>
      </c>
      <c r="G77">
        <f t="shared" si="12"/>
        <v>1.017534626409514</v>
      </c>
      <c r="H77">
        <f t="shared" si="13"/>
        <v>0.47300083614740751</v>
      </c>
      <c r="I77">
        <f t="shared" si="14"/>
        <v>0.48208232901894588</v>
      </c>
      <c r="J77" s="5">
        <v>0.32658035011716757</v>
      </c>
      <c r="K77" s="5">
        <v>0.15981975352814637</v>
      </c>
      <c r="L77">
        <f t="shared" si="11"/>
        <v>0.1587685078275517</v>
      </c>
      <c r="O77" s="5">
        <v>0.32658035011716757</v>
      </c>
      <c r="P77" s="5">
        <v>0.15981975352814637</v>
      </c>
      <c r="Q77" s="5">
        <v>0.32479516241592582</v>
      </c>
      <c r="R77" s="5">
        <v>0.16602665458837412</v>
      </c>
    </row>
    <row r="78" spans="3:18" x14ac:dyDescent="0.25">
      <c r="C78">
        <v>6</v>
      </c>
      <c r="D78">
        <v>3</v>
      </c>
      <c r="E78" s="5">
        <v>1.4349089631279963</v>
      </c>
      <c r="F78" s="5">
        <v>1.2770342112024005</v>
      </c>
      <c r="G78">
        <f t="shared" si="12"/>
        <v>0.88997577129810346</v>
      </c>
      <c r="H78">
        <f t="shared" si="13"/>
        <v>0.51810029765947152</v>
      </c>
      <c r="I78">
        <f t="shared" si="14"/>
        <v>0.45852491957434094</v>
      </c>
      <c r="J78" s="5">
        <v>0.30582084248585695</v>
      </c>
      <c r="K78" s="5">
        <v>0.13142332858169037</v>
      </c>
      <c r="L78">
        <f t="shared" si="11"/>
        <v>0.16470688643917639</v>
      </c>
      <c r="O78" s="5">
        <v>0.30582084248585695</v>
      </c>
      <c r="P78" s="5">
        <v>0.13142332858169037</v>
      </c>
      <c r="Q78" s="5">
        <v>0.32729516916890444</v>
      </c>
      <c r="R78" s="5">
        <v>0.16258828272972806</v>
      </c>
    </row>
    <row r="79" spans="3:18" x14ac:dyDescent="0.25">
      <c r="C79">
        <v>7</v>
      </c>
      <c r="D79">
        <v>1</v>
      </c>
      <c r="E79" s="5">
        <v>1.5546200566856456</v>
      </c>
      <c r="F79" s="5">
        <v>1.500403752861234</v>
      </c>
      <c r="G79">
        <f t="shared" si="12"/>
        <v>0.96512568869078053</v>
      </c>
      <c r="H79">
        <f t="shared" si="13"/>
        <v>0.43380990458066637</v>
      </c>
      <c r="I79">
        <f t="shared" si="14"/>
        <v>0.41335092200541668</v>
      </c>
      <c r="J79" s="5">
        <v>0.34462013187199636</v>
      </c>
      <c r="K79" s="5">
        <v>0.18449593167982919</v>
      </c>
      <c r="L79">
        <f t="shared" si="11"/>
        <v>0.15353037742674164</v>
      </c>
      <c r="O79" s="5">
        <v>0.34462013187199636</v>
      </c>
      <c r="P79" s="5">
        <v>0.18449593167982919</v>
      </c>
      <c r="Q79" s="5">
        <v>0.34434258002417306</v>
      </c>
      <c r="R79" s="5">
        <v>0.19081220259743142</v>
      </c>
    </row>
    <row r="80" spans="3:18" x14ac:dyDescent="0.25">
      <c r="C80">
        <v>7</v>
      </c>
      <c r="D80">
        <v>2</v>
      </c>
      <c r="E80" s="5">
        <v>1.7878307861776574</v>
      </c>
      <c r="F80" s="5">
        <v>1.4664543824771641</v>
      </c>
      <c r="G80">
        <f t="shared" si="12"/>
        <v>0.82024227002624284</v>
      </c>
      <c r="H80">
        <f t="shared" si="13"/>
        <v>0.44662098774446635</v>
      </c>
      <c r="I80">
        <f t="shared" si="14"/>
        <v>0.32534687314050659</v>
      </c>
      <c r="J80" s="5">
        <v>0.33872312623628342</v>
      </c>
      <c r="K80" s="5">
        <v>0.17642956127657422</v>
      </c>
      <c r="L80">
        <f t="shared" si="11"/>
        <v>0.14843306896135994</v>
      </c>
      <c r="O80" s="5">
        <v>0.33872312623628342</v>
      </c>
      <c r="P80" s="5">
        <v>0.17642956127657422</v>
      </c>
      <c r="Q80" s="5">
        <v>0.37201617940770676</v>
      </c>
      <c r="R80" s="5">
        <v>0.22358311044634682</v>
      </c>
    </row>
    <row r="81" spans="3:18" x14ac:dyDescent="0.25">
      <c r="C81">
        <v>7</v>
      </c>
      <c r="D81">
        <v>3</v>
      </c>
      <c r="E81" s="5">
        <v>1.5888514078017506</v>
      </c>
      <c r="F81" s="5">
        <v>1.4884671321293419</v>
      </c>
      <c r="G81">
        <f t="shared" si="12"/>
        <v>0.93681959484726451</v>
      </c>
      <c r="H81">
        <f t="shared" si="13"/>
        <v>0.43831428976251252</v>
      </c>
      <c r="I81">
        <f t="shared" si="14"/>
        <v>0.40043343101820728</v>
      </c>
      <c r="J81" s="5">
        <v>0.34254674085086667</v>
      </c>
      <c r="K81" s="5">
        <v>0.18165979059393167</v>
      </c>
      <c r="L81">
        <f t="shared" si="11"/>
        <v>0.13886443889321276</v>
      </c>
      <c r="O81" s="5">
        <v>0.34254674085086667</v>
      </c>
      <c r="P81" s="5">
        <v>0.18165979059393167</v>
      </c>
      <c r="Q81" s="5">
        <v>0.3818026799771263</v>
      </c>
      <c r="R81" s="5">
        <v>0.24293824108391354</v>
      </c>
    </row>
    <row r="82" spans="3:18" x14ac:dyDescent="0.25">
      <c r="C82">
        <v>8</v>
      </c>
      <c r="D82">
        <v>1</v>
      </c>
      <c r="E82" s="5">
        <v>1.3900404489598561</v>
      </c>
      <c r="F82" s="5">
        <v>1.2837577707195926</v>
      </c>
      <c r="G82">
        <f t="shared" si="12"/>
        <v>0.92353986654144271</v>
      </c>
      <c r="H82">
        <f t="shared" si="13"/>
        <v>0.51556310538883299</v>
      </c>
      <c r="I82">
        <f t="shared" si="14"/>
        <v>0.47545643435477125</v>
      </c>
      <c r="J82" s="5">
        <v>0.30698872477399325</v>
      </c>
      <c r="K82" s="5">
        <v>0.13302084632297523</v>
      </c>
      <c r="L82">
        <f t="shared" si="11"/>
        <v>0.16696192917792213</v>
      </c>
      <c r="O82" s="5">
        <v>0.30698872477399325</v>
      </c>
      <c r="P82" s="5">
        <v>0.13302084632297523</v>
      </c>
      <c r="Q82" s="5">
        <v>0.35099817297699054</v>
      </c>
      <c r="R82" s="5">
        <v>0.18403624379906841</v>
      </c>
    </row>
    <row r="83" spans="3:18" x14ac:dyDescent="0.25">
      <c r="C83">
        <v>8</v>
      </c>
      <c r="D83">
        <v>2</v>
      </c>
      <c r="E83" s="5">
        <v>1.408430849803374</v>
      </c>
      <c r="F83" s="5">
        <v>1.4075449486799556</v>
      </c>
      <c r="G83">
        <f t="shared" si="12"/>
        <v>0.99937100133560552</v>
      </c>
      <c r="H83">
        <f t="shared" si="13"/>
        <v>0.46885096276228089</v>
      </c>
      <c r="I83">
        <f t="shared" si="14"/>
        <v>0.46851666045155693</v>
      </c>
      <c r="J83" s="5">
        <v>0.32849055758570828</v>
      </c>
      <c r="K83" s="5">
        <v>0.16243267980635745</v>
      </c>
      <c r="L83">
        <f t="shared" si="11"/>
        <v>0.1618606215347283</v>
      </c>
      <c r="O83" s="5">
        <v>0.32849055758570828</v>
      </c>
      <c r="P83" s="5">
        <v>0.16243267980635745</v>
      </c>
      <c r="Q83" s="5">
        <v>0.33232717586776461</v>
      </c>
      <c r="R83" s="5">
        <v>0.17046655433303631</v>
      </c>
    </row>
    <row r="84" spans="3:18" x14ac:dyDescent="0.25">
      <c r="C84">
        <v>8</v>
      </c>
      <c r="D84">
        <v>3</v>
      </c>
      <c r="E84" s="5">
        <v>1.5990282528349367</v>
      </c>
      <c r="F84" s="5">
        <v>1.5106272474695672</v>
      </c>
      <c r="G84">
        <f t="shared" si="12"/>
        <v>0.9447157952283568</v>
      </c>
      <c r="H84">
        <f t="shared" si="13"/>
        <v>0.42995198208695573</v>
      </c>
      <c r="I84">
        <f t="shared" si="14"/>
        <v>0.39659311213775972</v>
      </c>
      <c r="J84" s="5">
        <v>0.34639595288546382</v>
      </c>
      <c r="K84" s="5">
        <v>0.1869250339987692</v>
      </c>
      <c r="L84">
        <f t="shared" si="11"/>
        <v>0.14940232384112728</v>
      </c>
      <c r="O84" s="5">
        <v>0.34639595288546382</v>
      </c>
      <c r="P84" s="5">
        <v>0.1869250339987692</v>
      </c>
      <c r="Q84" s="5">
        <v>0.35509483239560591</v>
      </c>
      <c r="R84" s="5">
        <v>0.20569250855447863</v>
      </c>
    </row>
    <row r="85" spans="3:18" x14ac:dyDescent="0.25">
      <c r="C85">
        <v>9</v>
      </c>
      <c r="D85">
        <v>1</v>
      </c>
      <c r="E85" s="5">
        <v>1.4840727259911379</v>
      </c>
      <c r="I85">
        <f t="shared" si="14"/>
        <v>0.43997255622975928</v>
      </c>
      <c r="J85" s="5"/>
      <c r="K85" s="5"/>
      <c r="L85" t="str">
        <f t="shared" si="11"/>
        <v/>
      </c>
      <c r="O85" s="5"/>
      <c r="P85" s="5"/>
      <c r="Q85" s="5"/>
      <c r="R85" s="5"/>
    </row>
    <row r="86" spans="3:18" x14ac:dyDescent="0.25">
      <c r="C86">
        <v>9</v>
      </c>
      <c r="D86">
        <v>2</v>
      </c>
      <c r="E86" s="5">
        <v>1.5261779066266612</v>
      </c>
      <c r="I86">
        <f t="shared" si="14"/>
        <v>0.42408380882012786</v>
      </c>
      <c r="J86" s="5"/>
      <c r="K86" s="5"/>
      <c r="L86" t="str">
        <f t="shared" si="11"/>
        <v/>
      </c>
      <c r="O86" s="5"/>
      <c r="P86" s="5"/>
      <c r="Q86" s="5"/>
      <c r="R86" s="5"/>
    </row>
    <row r="87" spans="3:18" x14ac:dyDescent="0.25">
      <c r="C87">
        <v>9</v>
      </c>
      <c r="D87">
        <v>3</v>
      </c>
      <c r="E87" s="5">
        <v>1.6052459275394275</v>
      </c>
      <c r="I87">
        <f t="shared" si="14"/>
        <v>0.39424681979644238</v>
      </c>
      <c r="J87" s="5"/>
      <c r="K87" s="5"/>
      <c r="L87" t="str">
        <f t="shared" si="11"/>
        <v/>
      </c>
      <c r="O87" s="5"/>
      <c r="P87" s="5"/>
      <c r="Q87" s="5"/>
      <c r="R87" s="5"/>
    </row>
    <row r="88" spans="3:18" x14ac:dyDescent="0.25">
      <c r="C88">
        <v>10</v>
      </c>
      <c r="D88">
        <v>1</v>
      </c>
      <c r="E88" s="5">
        <v>1.1610560502114722</v>
      </c>
      <c r="F88" s="5">
        <v>1.1666388901434039</v>
      </c>
      <c r="G88">
        <f t="shared" si="12"/>
        <v>1.0048084155204349</v>
      </c>
      <c r="H88">
        <f t="shared" si="13"/>
        <v>0.55975890937984762</v>
      </c>
      <c r="I88">
        <f t="shared" si="14"/>
        <v>0.56186564142963313</v>
      </c>
      <c r="J88" s="5">
        <v>0.28664517521790928</v>
      </c>
      <c r="K88" s="5">
        <v>0.10519340029807278</v>
      </c>
      <c r="L88">
        <f t="shared" si="11"/>
        <v>0.17513375037223045</v>
      </c>
      <c r="O88" s="5">
        <v>0.28664517521790928</v>
      </c>
      <c r="P88" s="5">
        <v>0.10519340029807278</v>
      </c>
      <c r="Q88" s="5">
        <v>0.35004890849007869</v>
      </c>
      <c r="R88" s="5">
        <v>0.17491515811784825</v>
      </c>
    </row>
    <row r="89" spans="3:18" x14ac:dyDescent="0.25">
      <c r="C89">
        <v>10</v>
      </c>
      <c r="D89">
        <v>2</v>
      </c>
      <c r="E89" s="5">
        <v>1.0553045256080493</v>
      </c>
      <c r="F89" s="5">
        <v>1.3180018724797586</v>
      </c>
      <c r="G89">
        <f t="shared" si="12"/>
        <v>1.248930370804908</v>
      </c>
      <c r="H89">
        <f t="shared" si="13"/>
        <v>0.50264080283782686</v>
      </c>
      <c r="I89">
        <f t="shared" si="14"/>
        <v>0.6017718771290379</v>
      </c>
      <c r="J89" s="5">
        <v>0.3129369252497341</v>
      </c>
      <c r="K89" s="5">
        <v>0.14115724490119069</v>
      </c>
      <c r="L89">
        <f t="shared" si="11"/>
        <v>0.16850843881658389</v>
      </c>
      <c r="O89" s="5">
        <v>0.3129369252497341</v>
      </c>
      <c r="P89" s="5">
        <v>0.14115724490119069</v>
      </c>
      <c r="Q89" s="5">
        <v>0.33807248928252631</v>
      </c>
      <c r="R89" s="5">
        <v>0.16956405046594242</v>
      </c>
    </row>
    <row r="90" spans="3:18" x14ac:dyDescent="0.25">
      <c r="C90">
        <v>10</v>
      </c>
      <c r="D90">
        <v>3</v>
      </c>
      <c r="E90" s="5">
        <v>1.5776809774069704</v>
      </c>
      <c r="F90" s="5">
        <v>1.4752963237600472</v>
      </c>
      <c r="G90">
        <f t="shared" si="12"/>
        <v>0.93510433660980075</v>
      </c>
      <c r="H90">
        <f t="shared" si="13"/>
        <v>0.44328440612828413</v>
      </c>
      <c r="I90">
        <f t="shared" si="14"/>
        <v>0.40464868777095453</v>
      </c>
      <c r="J90" s="5">
        <v>0.34025897143712019</v>
      </c>
      <c r="K90" s="5">
        <v>0.17853040652538721</v>
      </c>
      <c r="L90">
        <f t="shared" si="11"/>
        <v>0.15847597254734364</v>
      </c>
      <c r="O90" s="5">
        <v>0.34025897143712019</v>
      </c>
      <c r="P90" s="5">
        <v>0.17853040652538721</v>
      </c>
      <c r="Q90" s="5">
        <v>0.3354720311318069</v>
      </c>
      <c r="R90" s="5">
        <v>0.17699605858446327</v>
      </c>
    </row>
    <row r="91" spans="3:18" x14ac:dyDescent="0.25">
      <c r="C91">
        <v>11</v>
      </c>
      <c r="D91">
        <v>1</v>
      </c>
      <c r="E91" s="5">
        <v>1.4880824951154701</v>
      </c>
      <c r="F91" s="5">
        <v>1.3876874222154809</v>
      </c>
      <c r="G91">
        <f t="shared" si="12"/>
        <v>0.93253393328022527</v>
      </c>
      <c r="H91">
        <f t="shared" si="13"/>
        <v>0.4763443689752902</v>
      </c>
      <c r="I91">
        <f t="shared" si="14"/>
        <v>0.43845943580548297</v>
      </c>
      <c r="J91" s="5">
        <v>0.32504130523882901</v>
      </c>
      <c r="K91" s="5">
        <v>0.15771453151839826</v>
      </c>
      <c r="L91">
        <f t="shared" si="11"/>
        <v>0.1593857882392877</v>
      </c>
      <c r="O91" s="5">
        <v>0.32504130523882901</v>
      </c>
      <c r="P91" s="5">
        <v>0.15771453151839826</v>
      </c>
      <c r="Q91" s="5">
        <v>0.36620962560969583</v>
      </c>
      <c r="R91" s="5">
        <v>0.20682383737040813</v>
      </c>
    </row>
    <row r="92" spans="3:18" x14ac:dyDescent="0.25">
      <c r="C92">
        <v>11</v>
      </c>
      <c r="D92">
        <v>2</v>
      </c>
      <c r="E92" s="5">
        <v>1.3957665341813295</v>
      </c>
      <c r="F92" s="5">
        <v>1.3698561739616666</v>
      </c>
      <c r="G92">
        <f t="shared" si="12"/>
        <v>0.98143646549395147</v>
      </c>
      <c r="H92">
        <f t="shared" si="13"/>
        <v>0.48307314190125783</v>
      </c>
      <c r="I92">
        <f t="shared" si="14"/>
        <v>0.47329564747874353</v>
      </c>
      <c r="J92" s="5">
        <v>0.32194401741714146</v>
      </c>
      <c r="K92" s="5">
        <v>0.15347782693329198</v>
      </c>
      <c r="L92">
        <f t="shared" si="11"/>
        <v>0.1642167600030775</v>
      </c>
      <c r="O92" s="5">
        <v>0.32194401741714146</v>
      </c>
      <c r="P92" s="5">
        <v>0.15347782693329198</v>
      </c>
      <c r="Q92" s="5">
        <v>0.35095591333064191</v>
      </c>
      <c r="R92" s="5">
        <v>0.18673915332756441</v>
      </c>
    </row>
    <row r="93" spans="3:18" x14ac:dyDescent="0.25">
      <c r="C93">
        <v>11</v>
      </c>
      <c r="D93">
        <v>3</v>
      </c>
      <c r="E93" s="5">
        <v>1.5229619770806453</v>
      </c>
      <c r="F93" s="5">
        <v>1.4524178006905872</v>
      </c>
      <c r="G93">
        <f t="shared" si="12"/>
        <v>0.95367962073138313</v>
      </c>
      <c r="H93">
        <f t="shared" si="13"/>
        <v>0.45191781106015572</v>
      </c>
      <c r="I93">
        <f t="shared" si="14"/>
        <v>0.42529736713937916</v>
      </c>
      <c r="J93" s="5">
        <v>0.33628497197995499</v>
      </c>
      <c r="K93" s="5">
        <v>0.17309446944408358</v>
      </c>
      <c r="L93">
        <f t="shared" si="11"/>
        <v>0.15243291184426769</v>
      </c>
      <c r="O93" s="5">
        <v>0.33628497197995499</v>
      </c>
      <c r="P93" s="5">
        <v>0.17309446944408358</v>
      </c>
      <c r="Q93" s="5">
        <v>0.3620300154827637</v>
      </c>
      <c r="R93" s="5">
        <v>0.20959710363849601</v>
      </c>
    </row>
    <row r="94" spans="3:18" x14ac:dyDescent="0.25">
      <c r="C94">
        <v>12</v>
      </c>
      <c r="D94">
        <v>1</v>
      </c>
      <c r="E94" s="5">
        <v>1.3511258537214357</v>
      </c>
      <c r="F94" s="5">
        <v>1.3288885126843084</v>
      </c>
      <c r="G94">
        <f t="shared" si="12"/>
        <v>0.98354162125172984</v>
      </c>
      <c r="H94">
        <f t="shared" si="13"/>
        <v>0.49853263672290249</v>
      </c>
      <c r="I94">
        <f t="shared" si="14"/>
        <v>0.49014118727492995</v>
      </c>
      <c r="J94" s="5">
        <v>0.31482793465326436</v>
      </c>
      <c r="K94" s="5">
        <v>0.14374391061379171</v>
      </c>
      <c r="L94">
        <f t="shared" si="11"/>
        <v>0.16573140413879595</v>
      </c>
      <c r="O94" s="5">
        <v>0.31482793465326436</v>
      </c>
      <c r="P94" s="5">
        <v>0.14374391061379171</v>
      </c>
      <c r="Q94" s="5">
        <v>0.31984716640494443</v>
      </c>
      <c r="R94" s="5">
        <v>0.15411576226614848</v>
      </c>
    </row>
    <row r="95" spans="3:18" x14ac:dyDescent="0.25">
      <c r="C95">
        <v>12</v>
      </c>
      <c r="D95">
        <v>2</v>
      </c>
      <c r="E95" s="5">
        <v>1.3451479371554795</v>
      </c>
      <c r="F95" s="5">
        <v>1.1775255303479537</v>
      </c>
      <c r="G95">
        <f t="shared" si="12"/>
        <v>0.87538738143405326</v>
      </c>
      <c r="H95">
        <f t="shared" si="13"/>
        <v>0.55565074326492314</v>
      </c>
      <c r="I95">
        <f t="shared" si="14"/>
        <v>0.49239700484698878</v>
      </c>
      <c r="J95" s="5">
        <v>0.28853618462143954</v>
      </c>
      <c r="K95" s="5">
        <v>0.1077800660106738</v>
      </c>
      <c r="L95">
        <f t="shared" si="11"/>
        <v>0.17427374667959161</v>
      </c>
      <c r="O95" s="5">
        <v>0.28853618462143954</v>
      </c>
      <c r="P95" s="5">
        <v>0.1077800660106738</v>
      </c>
      <c r="Q95" s="5">
        <v>0.3390267150223889</v>
      </c>
      <c r="R95" s="5">
        <v>0.16475296834279729</v>
      </c>
    </row>
    <row r="96" spans="3:18" x14ac:dyDescent="0.25">
      <c r="C96">
        <v>12</v>
      </c>
      <c r="D96">
        <v>3</v>
      </c>
      <c r="E96" s="5">
        <v>1.4913655013401093</v>
      </c>
      <c r="F96" s="5">
        <v>1.4228051919833602</v>
      </c>
      <c r="G96">
        <f t="shared" si="12"/>
        <v>0.95402849985792071</v>
      </c>
      <c r="H96">
        <f t="shared" si="13"/>
        <v>0.46309238038363765</v>
      </c>
      <c r="I96">
        <f t="shared" si="14"/>
        <v>0.43722056553203426</v>
      </c>
      <c r="J96" s="5">
        <v>0.33114126184750964</v>
      </c>
      <c r="K96" s="5">
        <v>0.16605851361524643</v>
      </c>
      <c r="L96">
        <f t="shared" si="11"/>
        <v>0.1443746203450933</v>
      </c>
      <c r="O96" s="5">
        <v>0.33114126184750964</v>
      </c>
      <c r="P96" s="5">
        <v>0.16605851361524643</v>
      </c>
      <c r="Q96" s="5">
        <v>0.39736203394562364</v>
      </c>
      <c r="R96" s="5">
        <v>0.25298741360053034</v>
      </c>
    </row>
    <row r="97" spans="11:11" x14ac:dyDescent="0.25">
      <c r="K97" s="16"/>
    </row>
    <row r="98" spans="11:11" x14ac:dyDescent="0.25">
      <c r="K98" s="16"/>
    </row>
    <row r="99" spans="11:11" x14ac:dyDescent="0.25">
      <c r="K99" s="16"/>
    </row>
    <row r="100" spans="11:11" x14ac:dyDescent="0.25">
      <c r="K100" s="16"/>
    </row>
    <row r="101" spans="11:11" x14ac:dyDescent="0.25">
      <c r="K101" s="16"/>
    </row>
    <row r="102" spans="11:11" x14ac:dyDescent="0.25">
      <c r="K102" s="16"/>
    </row>
    <row r="103" spans="11:11" x14ac:dyDescent="0.25">
      <c r="K103" s="16"/>
    </row>
    <row r="104" spans="11:11" x14ac:dyDescent="0.25">
      <c r="K104" s="16"/>
    </row>
    <row r="105" spans="11:11" x14ac:dyDescent="0.25">
      <c r="K105" s="16"/>
    </row>
    <row r="106" spans="11:11" x14ac:dyDescent="0.25">
      <c r="K106" s="16"/>
    </row>
    <row r="107" spans="11:11" x14ac:dyDescent="0.25">
      <c r="K107" s="16"/>
    </row>
    <row r="108" spans="11:11" x14ac:dyDescent="0.25">
      <c r="K108" s="16"/>
    </row>
    <row r="109" spans="11:11" x14ac:dyDescent="0.25">
      <c r="K109" s="16"/>
    </row>
    <row r="110" spans="11:11" x14ac:dyDescent="0.25">
      <c r="K110" s="16"/>
    </row>
    <row r="129" spans="2:16" x14ac:dyDescent="0.25">
      <c r="I129" t="s">
        <v>140</v>
      </c>
    </row>
    <row r="131" spans="2:16" x14ac:dyDescent="0.25">
      <c r="C131" t="s">
        <v>36</v>
      </c>
      <c r="D131" t="s">
        <v>37</v>
      </c>
      <c r="E131" t="s">
        <v>6</v>
      </c>
      <c r="F131" t="s">
        <v>7</v>
      </c>
      <c r="G131" t="s">
        <v>8</v>
      </c>
      <c r="H131" t="s">
        <v>9</v>
      </c>
      <c r="I131" t="s">
        <v>10</v>
      </c>
      <c r="J131" t="s">
        <v>2</v>
      </c>
      <c r="K131" t="s">
        <v>3</v>
      </c>
      <c r="L131" t="s">
        <v>11</v>
      </c>
      <c r="M131" t="s">
        <v>12</v>
      </c>
      <c r="N131" t="s">
        <v>13</v>
      </c>
      <c r="O131" t="s">
        <v>14</v>
      </c>
      <c r="P131" t="s">
        <v>15</v>
      </c>
    </row>
    <row r="132" spans="2:16" x14ac:dyDescent="0.25">
      <c r="C132">
        <v>1</v>
      </c>
      <c r="D132" s="1">
        <v>40836</v>
      </c>
      <c r="E132" s="8">
        <v>0.192</v>
      </c>
      <c r="F132" s="8">
        <v>0.18</v>
      </c>
      <c r="G132" s="8">
        <v>0.27</v>
      </c>
      <c r="H132" s="8">
        <v>0.314</v>
      </c>
      <c r="I132" s="8">
        <v>0.32200000000000001</v>
      </c>
      <c r="J132" s="8">
        <v>0.24199999999999999</v>
      </c>
      <c r="K132" s="8">
        <v>0.26100000000000001</v>
      </c>
      <c r="L132" s="8">
        <v>0.18099999999999999</v>
      </c>
      <c r="M132" s="8">
        <v>0.29699999999999999</v>
      </c>
      <c r="N132" s="8">
        <v>0.182</v>
      </c>
      <c r="O132" s="8">
        <v>0.315</v>
      </c>
      <c r="P132" s="8">
        <v>0.29199999999999998</v>
      </c>
    </row>
    <row r="133" spans="2:16" x14ac:dyDescent="0.25">
      <c r="C133">
        <v>1</v>
      </c>
      <c r="D133" s="1">
        <v>41037</v>
      </c>
      <c r="E133" s="17">
        <v>0.37604741252204388</v>
      </c>
      <c r="F133" s="17">
        <v>0.32404449912586447</v>
      </c>
      <c r="G133" s="17">
        <v>0.31152969833361499</v>
      </c>
      <c r="H133" s="17">
        <v>0.36307451560791376</v>
      </c>
      <c r="I133" s="17">
        <v>0.33559462016437924</v>
      </c>
      <c r="J133" s="17">
        <v>0.39283084646290845</v>
      </c>
      <c r="K133" s="17">
        <v>0.3527161031234296</v>
      </c>
      <c r="L133" s="17">
        <v>0.35014591748250279</v>
      </c>
      <c r="M133" s="17">
        <v>0.34948502561219152</v>
      </c>
      <c r="N133" s="17">
        <v>0.31348513355709751</v>
      </c>
      <c r="O133" s="17">
        <v>0.36451011320459709</v>
      </c>
      <c r="P133" s="17">
        <v>0.36628211305569897</v>
      </c>
    </row>
    <row r="134" spans="2:16" x14ac:dyDescent="0.25">
      <c r="C134">
        <v>1</v>
      </c>
      <c r="D134" s="1">
        <v>41185</v>
      </c>
      <c r="E134" s="8">
        <v>8.6240776388951737E-2</v>
      </c>
      <c r="F134" s="17">
        <v>9.1415961096720746E-2</v>
      </c>
      <c r="G134" s="17">
        <v>9.1719013255322834E-2</v>
      </c>
      <c r="H134" s="17" t="e">
        <v>#N/A</v>
      </c>
      <c r="I134" s="17">
        <v>9.0712728471630366E-2</v>
      </c>
      <c r="J134" s="17">
        <v>8.3972606742989453E-2</v>
      </c>
      <c r="K134" s="17">
        <v>0.10802667182149032</v>
      </c>
      <c r="L134" s="17">
        <v>8.1959162012901932E-2</v>
      </c>
      <c r="M134" s="17">
        <v>0.20634923083111545</v>
      </c>
      <c r="N134" s="17">
        <v>7.8748620529310503E-2</v>
      </c>
      <c r="O134" s="17">
        <v>0.13247385818979607</v>
      </c>
      <c r="P134" s="17">
        <v>6.9204890871760183E-2</v>
      </c>
    </row>
    <row r="135" spans="2:16" x14ac:dyDescent="0.25">
      <c r="C135">
        <v>1</v>
      </c>
      <c r="D135" s="1">
        <v>41362</v>
      </c>
      <c r="E135" s="8">
        <v>0.33532160493060997</v>
      </c>
      <c r="F135" s="17">
        <v>0.31906267805527933</v>
      </c>
      <c r="G135" s="17">
        <v>0.33609580136055861</v>
      </c>
      <c r="H135" s="17">
        <v>0.35940645477626942</v>
      </c>
      <c r="I135" s="17">
        <v>0.35560926309777818</v>
      </c>
      <c r="J135" s="17">
        <v>0.40508072791867056</v>
      </c>
      <c r="K135" s="17">
        <v>0.34718910850032031</v>
      </c>
      <c r="L135" s="17">
        <v>0.27729300753757619</v>
      </c>
      <c r="M135" s="17">
        <v>0.38509519056464353</v>
      </c>
      <c r="N135" s="17">
        <v>0.29214835436377962</v>
      </c>
      <c r="O135" s="17">
        <v>0.38188000005849637</v>
      </c>
      <c r="P135" s="17">
        <v>0.32785350517505801</v>
      </c>
    </row>
    <row r="136" spans="2:16" x14ac:dyDescent="0.25">
      <c r="C136">
        <v>1</v>
      </c>
      <c r="D136" s="1">
        <v>41432</v>
      </c>
      <c r="E136" s="17">
        <v>0.22188070774091503</v>
      </c>
      <c r="F136" s="17">
        <v>0.21595672940360097</v>
      </c>
      <c r="G136" s="17">
        <v>0.19552465961873958</v>
      </c>
      <c r="H136" s="17">
        <v>0.19485288602566317</v>
      </c>
      <c r="I136" s="17">
        <v>0.25025554999719901</v>
      </c>
      <c r="J136" s="17">
        <v>0.30563947214425452</v>
      </c>
      <c r="K136" s="17">
        <v>0.21550829405952063</v>
      </c>
      <c r="L136" s="17">
        <v>0.14568296948399675</v>
      </c>
      <c r="M136" s="17">
        <v>0.24106328586355316</v>
      </c>
      <c r="N136" s="17">
        <v>0.15439513060908394</v>
      </c>
      <c r="O136" s="17">
        <v>0.23312309454302124</v>
      </c>
      <c r="P136" s="17">
        <v>0.19641288824452682</v>
      </c>
    </row>
    <row r="137" spans="2:16" x14ac:dyDescent="0.25">
      <c r="B137" s="1">
        <v>41044</v>
      </c>
      <c r="C137">
        <v>1</v>
      </c>
      <c r="D137" s="1">
        <v>41527</v>
      </c>
      <c r="E137" s="17">
        <v>0.13521146835079781</v>
      </c>
      <c r="F137" s="8">
        <v>0.24000620644894499</v>
      </c>
      <c r="G137" s="17">
        <v>0.15033223212955285</v>
      </c>
      <c r="H137" s="17">
        <v>0.18874266734779147</v>
      </c>
      <c r="I137" s="17">
        <v>0.16477581837849317</v>
      </c>
      <c r="J137" s="17">
        <v>0.13050647170769936</v>
      </c>
      <c r="K137" s="17">
        <v>0.14893138809170017</v>
      </c>
      <c r="L137" s="17">
        <v>0.13037802410897759</v>
      </c>
      <c r="M137" s="17">
        <v>0.14981075160635579</v>
      </c>
      <c r="N137" s="17">
        <v>0.12290231165267179</v>
      </c>
      <c r="O137" s="17">
        <v>0.14424825031901814</v>
      </c>
      <c r="P137" s="17">
        <v>0.12207277362919915</v>
      </c>
    </row>
    <row r="138" spans="2:16" x14ac:dyDescent="0.25">
      <c r="C138">
        <v>1</v>
      </c>
      <c r="D138" s="1">
        <v>41667</v>
      </c>
      <c r="E138" s="17" t="e">
        <v>#N/A</v>
      </c>
      <c r="F138" s="17" t="e">
        <v>#N/A</v>
      </c>
      <c r="G138" s="17" t="e">
        <v>#N/A</v>
      </c>
      <c r="H138" s="8">
        <v>0.36706314385652411</v>
      </c>
      <c r="I138" s="17" t="e">
        <v>#N/A</v>
      </c>
      <c r="J138" s="17">
        <v>0.33654089035499607</v>
      </c>
      <c r="K138" s="8">
        <v>0.33401571564277277</v>
      </c>
      <c r="L138" s="17">
        <v>0.33786872427434561</v>
      </c>
      <c r="M138" s="17">
        <v>0.33340402567572797</v>
      </c>
      <c r="N138" s="8">
        <v>0.29650168060615645</v>
      </c>
      <c r="O138" s="17">
        <v>0.35616255878621156</v>
      </c>
      <c r="P138" s="17" t="e">
        <v>#N/A</v>
      </c>
    </row>
    <row r="139" spans="2:16" x14ac:dyDescent="0.25">
      <c r="C139">
        <v>1</v>
      </c>
      <c r="D139" s="1">
        <v>41674</v>
      </c>
      <c r="E139" s="8">
        <v>0.35001696314255448</v>
      </c>
      <c r="F139" s="17">
        <v>0.34271006992646819</v>
      </c>
      <c r="G139" s="8">
        <v>0.32741264966659189</v>
      </c>
      <c r="H139" s="17" t="e">
        <v>#N/A</v>
      </c>
      <c r="I139" s="8">
        <v>0.34025958544022861</v>
      </c>
      <c r="J139" s="17" t="e">
        <v>#N/A</v>
      </c>
      <c r="K139" s="17" t="e">
        <v>#N/A</v>
      </c>
      <c r="L139" s="17" t="e">
        <v>#N/A</v>
      </c>
      <c r="M139" s="17" t="e">
        <v>#N/A</v>
      </c>
      <c r="N139" s="17" t="e">
        <v>#N/A</v>
      </c>
      <c r="O139" s="17" t="e">
        <v>#N/A</v>
      </c>
      <c r="P139" s="17">
        <v>0.32384823372098581</v>
      </c>
    </row>
    <row r="140" spans="2:16" x14ac:dyDescent="0.25">
      <c r="C140">
        <v>1</v>
      </c>
      <c r="D140" s="1">
        <v>41747</v>
      </c>
      <c r="E140" s="17">
        <v>0.36430355298536377</v>
      </c>
      <c r="F140" s="17">
        <v>0.33896790360190066</v>
      </c>
      <c r="G140" s="17">
        <v>0.32218299978436193</v>
      </c>
      <c r="H140" s="17">
        <v>0.35294064166969125</v>
      </c>
      <c r="I140" s="17">
        <v>0.36110459749722934</v>
      </c>
      <c r="J140" s="17">
        <v>0.42906166430212939</v>
      </c>
      <c r="K140" s="17">
        <v>0.38715974480644294</v>
      </c>
      <c r="L140" s="17">
        <v>0.32766589101076171</v>
      </c>
      <c r="M140" s="17">
        <v>0.38809289848529244</v>
      </c>
      <c r="N140" s="17">
        <v>0.30872561367953766</v>
      </c>
      <c r="O140" s="17">
        <v>0.37970644311753926</v>
      </c>
      <c r="P140" s="17">
        <v>0.39093882131168339</v>
      </c>
    </row>
    <row r="141" spans="2:16" x14ac:dyDescent="0.25">
      <c r="C141">
        <v>1</v>
      </c>
      <c r="D141" s="1">
        <v>41823</v>
      </c>
      <c r="E141" s="17">
        <v>0.29920801780906636</v>
      </c>
      <c r="F141" s="17">
        <v>0.29851402340307681</v>
      </c>
      <c r="G141" s="8">
        <v>0.31170634933350333</v>
      </c>
      <c r="H141" s="17">
        <v>0.28134089527030509</v>
      </c>
      <c r="I141" s="8">
        <v>0.32249146401804524</v>
      </c>
      <c r="J141" s="17">
        <v>0.33568466709417272</v>
      </c>
      <c r="K141" s="8">
        <v>0.32072940310652093</v>
      </c>
      <c r="L141" s="8">
        <v>0.27577882664801695</v>
      </c>
      <c r="M141" s="17">
        <v>0.35589213872168152</v>
      </c>
      <c r="N141" s="17">
        <v>0.29198620526311414</v>
      </c>
      <c r="O141" s="17">
        <v>0.329846305608476</v>
      </c>
      <c r="P141" s="17">
        <v>0.30325271268191978</v>
      </c>
    </row>
    <row r="142" spans="2:16" x14ac:dyDescent="0.25">
      <c r="C142">
        <v>2</v>
      </c>
      <c r="D142" s="1">
        <v>40836</v>
      </c>
      <c r="E142" s="8">
        <v>0.13912783476072391</v>
      </c>
      <c r="F142" s="8">
        <v>0.17715440329688123</v>
      </c>
      <c r="G142" s="8">
        <v>0.36804162316193356</v>
      </c>
      <c r="H142" s="8">
        <v>0.31968430542826043</v>
      </c>
      <c r="I142" s="8">
        <v>0.3209066182142839</v>
      </c>
      <c r="J142" s="8">
        <v>0.20589150007660564</v>
      </c>
      <c r="K142" s="8">
        <v>0.32221905067336892</v>
      </c>
      <c r="L142" s="8">
        <v>0.12226825348518089</v>
      </c>
      <c r="M142" s="8">
        <v>0.31213445192268163</v>
      </c>
      <c r="N142" s="8">
        <v>9.4884948754390325E-2</v>
      </c>
      <c r="O142" s="8">
        <v>0.33599996810708116</v>
      </c>
      <c r="P142" s="8">
        <v>0.28364163962394834</v>
      </c>
    </row>
    <row r="143" spans="2:16" x14ac:dyDescent="0.25">
      <c r="C143">
        <v>2</v>
      </c>
      <c r="D143" s="1">
        <v>41037</v>
      </c>
      <c r="E143" s="10">
        <v>0.34806587996389765</v>
      </c>
      <c r="F143" s="8">
        <v>0.3364948813944868</v>
      </c>
      <c r="G143" s="17">
        <v>0.41386095213526342</v>
      </c>
      <c r="H143" s="17">
        <v>0.37227666685021465</v>
      </c>
      <c r="I143" s="17">
        <v>0.35495539476749682</v>
      </c>
      <c r="J143" s="17">
        <v>0.39775940055649062</v>
      </c>
      <c r="K143" s="8">
        <v>0.39419278974298588</v>
      </c>
      <c r="L143" s="8">
        <v>0.30979837450614911</v>
      </c>
      <c r="M143" s="17">
        <v>0.34935849705335958</v>
      </c>
      <c r="N143" s="8">
        <v>0.27150026061251986</v>
      </c>
      <c r="O143" s="8">
        <v>0.35342962883208912</v>
      </c>
      <c r="P143" s="17">
        <v>0.39647584398182056</v>
      </c>
    </row>
    <row r="144" spans="2:16" x14ac:dyDescent="0.25">
      <c r="C144">
        <v>2</v>
      </c>
      <c r="D144" s="1">
        <v>41185</v>
      </c>
      <c r="E144" s="10">
        <v>0.27540629779498138</v>
      </c>
      <c r="F144" s="10">
        <v>0.13060251881379525</v>
      </c>
      <c r="G144" s="17">
        <v>0.16102275531037696</v>
      </c>
      <c r="H144" s="17">
        <v>0.14147243020353337</v>
      </c>
      <c r="I144" s="17">
        <v>0.27336483336551587</v>
      </c>
      <c r="J144" s="17">
        <v>0.12579100232769952</v>
      </c>
      <c r="K144" s="8">
        <v>0.22581530415976622</v>
      </c>
      <c r="L144" s="17">
        <v>0.12068135039361887</v>
      </c>
      <c r="M144" s="17">
        <v>0.27674909128406883</v>
      </c>
      <c r="N144" s="17">
        <v>9.5412530382844016E-2</v>
      </c>
      <c r="O144" s="8">
        <v>0.1401467418595955</v>
      </c>
      <c r="P144" s="17" t="e">
        <v>#N/A</v>
      </c>
    </row>
    <row r="145" spans="3:30" x14ac:dyDescent="0.25">
      <c r="C145">
        <v>2</v>
      </c>
      <c r="D145" s="1">
        <v>41362</v>
      </c>
      <c r="E145" s="8">
        <v>0.34704322085547945</v>
      </c>
      <c r="F145" s="8">
        <v>0.33342810624956326</v>
      </c>
      <c r="G145" s="17">
        <v>0.43080536608521192</v>
      </c>
      <c r="H145" s="17">
        <v>0.3650946150120723</v>
      </c>
      <c r="I145" s="17">
        <v>0.37646387783050106</v>
      </c>
      <c r="J145" s="17">
        <v>0.40741377211221003</v>
      </c>
      <c r="K145" s="8">
        <v>0.41908537456610884</v>
      </c>
      <c r="L145" s="17">
        <v>0.28104102556912436</v>
      </c>
      <c r="M145" s="17">
        <v>0.38906714534204384</v>
      </c>
      <c r="N145" s="17">
        <v>0.26083490542239762</v>
      </c>
      <c r="O145" s="8">
        <v>0.34171628912356539</v>
      </c>
      <c r="P145" s="17">
        <v>0.38531091805988171</v>
      </c>
    </row>
    <row r="146" spans="3:30" x14ac:dyDescent="0.25">
      <c r="C146">
        <v>2</v>
      </c>
      <c r="D146" s="1">
        <v>41432</v>
      </c>
      <c r="E146" s="8">
        <v>0.26123367345436693</v>
      </c>
      <c r="F146" s="10">
        <v>0.24911562262616224</v>
      </c>
      <c r="G146" s="17">
        <v>0.30047207903372503</v>
      </c>
      <c r="H146" s="17">
        <v>0.26144602053809107</v>
      </c>
      <c r="I146" s="17">
        <v>0.30626820501594376</v>
      </c>
      <c r="J146" s="17">
        <v>0.34823109120979345</v>
      </c>
      <c r="K146" s="8">
        <v>0.30894400887300472</v>
      </c>
      <c r="L146" s="17">
        <v>0.15575682047938783</v>
      </c>
      <c r="M146" s="8">
        <v>0.28910439411733585</v>
      </c>
      <c r="N146" s="17">
        <v>0.13781057508823974</v>
      </c>
      <c r="O146" s="8">
        <v>0.24388362919606421</v>
      </c>
      <c r="P146" s="17">
        <v>0.24088079933093706</v>
      </c>
    </row>
    <row r="147" spans="3:30" x14ac:dyDescent="0.25">
      <c r="C147">
        <v>2</v>
      </c>
      <c r="D147" s="1">
        <v>41527</v>
      </c>
      <c r="E147" s="8">
        <v>0.18289586568726654</v>
      </c>
      <c r="F147" s="10">
        <v>0.19171347782595594</v>
      </c>
      <c r="G147" s="17">
        <v>0.12292322400592276</v>
      </c>
      <c r="H147" s="17">
        <v>0.25026586427497677</v>
      </c>
      <c r="I147" s="17">
        <v>0.20222539817957916</v>
      </c>
      <c r="J147" s="17">
        <v>0.16599252239883466</v>
      </c>
      <c r="K147" s="8">
        <v>0.26664041597022886</v>
      </c>
      <c r="L147" s="8">
        <v>0.24327350488067423</v>
      </c>
      <c r="M147" s="17">
        <v>0.19132870776163066</v>
      </c>
      <c r="N147" s="17">
        <v>8.7322934860235166E-2</v>
      </c>
      <c r="O147" s="8" t="e">
        <f>NA()</f>
        <v>#N/A</v>
      </c>
      <c r="P147" s="17">
        <v>0.16826499286135974</v>
      </c>
    </row>
    <row r="148" spans="3:30" x14ac:dyDescent="0.25">
      <c r="C148">
        <v>2</v>
      </c>
      <c r="D148" s="1">
        <v>41667</v>
      </c>
      <c r="E148" s="10" t="e">
        <v>#N/A</v>
      </c>
      <c r="F148" s="10" t="e">
        <v>#N/A</v>
      </c>
      <c r="G148" s="17" t="e">
        <v>#N/A</v>
      </c>
      <c r="H148" s="8">
        <v>0.3575231130854799</v>
      </c>
      <c r="I148" s="17" t="e">
        <v>#N/A</v>
      </c>
      <c r="J148" s="8">
        <v>0.20212201799626248</v>
      </c>
      <c r="K148" s="8">
        <v>0.35645868913340983</v>
      </c>
      <c r="L148" s="17">
        <v>0.29471431342989329</v>
      </c>
      <c r="M148" s="17">
        <v>0.31496782668262013</v>
      </c>
      <c r="N148" s="8">
        <v>0.24688881931433926</v>
      </c>
      <c r="O148" s="8">
        <v>0.34234573674532442</v>
      </c>
      <c r="P148" s="17" t="e">
        <v>#N/A</v>
      </c>
    </row>
    <row r="149" spans="3:30" x14ac:dyDescent="0.25">
      <c r="C149">
        <v>2</v>
      </c>
      <c r="D149" s="1">
        <v>41674</v>
      </c>
      <c r="E149" s="10">
        <v>0.31620846709365208</v>
      </c>
      <c r="F149" s="8">
        <v>0.35325613176162041</v>
      </c>
      <c r="G149" s="17">
        <v>0.27915934599742132</v>
      </c>
      <c r="H149" s="17" t="e">
        <v>#N/A</v>
      </c>
      <c r="I149" s="17">
        <v>0.27674501044299932</v>
      </c>
      <c r="J149" s="17" t="e">
        <v>#N/A</v>
      </c>
      <c r="K149" s="17" t="e">
        <v>#N/A</v>
      </c>
      <c r="L149" s="17" t="e">
        <v>#N/A</v>
      </c>
      <c r="M149" s="17" t="e">
        <v>#N/A</v>
      </c>
      <c r="N149" s="17" t="e">
        <v>#N/A</v>
      </c>
      <c r="O149" s="17" t="e">
        <v>#N/A</v>
      </c>
      <c r="P149" s="17">
        <v>0.26829252006827126</v>
      </c>
    </row>
    <row r="150" spans="3:30" x14ac:dyDescent="0.25">
      <c r="C150">
        <v>2</v>
      </c>
      <c r="D150" s="1">
        <v>41747</v>
      </c>
      <c r="E150" s="10">
        <v>0.34944823851307333</v>
      </c>
      <c r="F150" s="10">
        <v>0.3875804417800186</v>
      </c>
      <c r="G150" s="17">
        <v>0.42187302479171818</v>
      </c>
      <c r="H150" s="17">
        <v>0.38012678890998158</v>
      </c>
      <c r="I150" s="17">
        <v>0.36484612045760079</v>
      </c>
      <c r="J150" s="17">
        <v>0.43550270844400235</v>
      </c>
      <c r="K150" s="8">
        <v>0.42457471645224071</v>
      </c>
      <c r="L150" s="17">
        <v>0.30272325945171735</v>
      </c>
      <c r="M150" s="17">
        <v>0.42320647801238026</v>
      </c>
      <c r="N150" s="17">
        <v>0.25449651610999813</v>
      </c>
      <c r="O150" s="8">
        <v>0.44244580532813144</v>
      </c>
      <c r="P150" s="17">
        <v>0.36901676617305035</v>
      </c>
    </row>
    <row r="151" spans="3:30" x14ac:dyDescent="0.25">
      <c r="C151">
        <v>2</v>
      </c>
      <c r="D151" s="1">
        <v>41823</v>
      </c>
      <c r="E151" s="10">
        <v>0.3026060193263021</v>
      </c>
      <c r="F151" s="10">
        <v>0.33364593346874216</v>
      </c>
      <c r="G151" s="8">
        <v>0.39433956217841537</v>
      </c>
      <c r="H151" s="17">
        <v>0.41998043333196217</v>
      </c>
      <c r="I151" s="8">
        <v>0.32641672475458017</v>
      </c>
      <c r="J151" s="17">
        <v>0.38387515035280967</v>
      </c>
      <c r="K151" s="8">
        <v>0.42030741735437627</v>
      </c>
      <c r="L151" s="17">
        <v>0.2767430205506457</v>
      </c>
      <c r="M151" s="17">
        <v>0.34523418506688502</v>
      </c>
      <c r="N151" s="17">
        <v>0.28087325157979515</v>
      </c>
      <c r="O151" s="8">
        <v>0.35447782957369761</v>
      </c>
      <c r="P151" s="17">
        <v>0.3295716576726882</v>
      </c>
      <c r="X151" t="s">
        <v>141</v>
      </c>
    </row>
    <row r="152" spans="3:30" x14ac:dyDescent="0.25">
      <c r="C152">
        <v>3</v>
      </c>
      <c r="D152" s="1">
        <v>40836</v>
      </c>
      <c r="E152" s="8">
        <v>0.20770952662416886</v>
      </c>
      <c r="F152" s="8">
        <v>0.21830263405509409</v>
      </c>
      <c r="G152" s="8">
        <v>0.31245272626435855</v>
      </c>
      <c r="H152" s="8">
        <v>0.34130398116702149</v>
      </c>
      <c r="I152" s="8">
        <v>0.36937901033758908</v>
      </c>
      <c r="J152" s="8" t="e">
        <f>NA()</f>
        <v>#N/A</v>
      </c>
      <c r="K152" s="8">
        <v>0.34442728847497966</v>
      </c>
      <c r="L152" s="8">
        <v>0.18858924891581175</v>
      </c>
      <c r="M152" s="8">
        <v>0.37484941136958921</v>
      </c>
      <c r="N152" s="8">
        <v>0.15084225273961235</v>
      </c>
      <c r="O152" s="8">
        <v>0.374078337216871</v>
      </c>
      <c r="P152" s="8">
        <v>0.35596620307719906</v>
      </c>
    </row>
    <row r="153" spans="3:30" x14ac:dyDescent="0.25">
      <c r="C153">
        <v>3</v>
      </c>
      <c r="D153" s="1">
        <v>41037</v>
      </c>
      <c r="E153" s="10">
        <v>0.38154600865137928</v>
      </c>
      <c r="F153" s="10">
        <v>0.37525952311542748</v>
      </c>
      <c r="G153" s="8">
        <v>0.35581718586384775</v>
      </c>
      <c r="H153" s="10">
        <v>0.35146176527176543</v>
      </c>
      <c r="I153" s="10">
        <v>0.36515299488354774</v>
      </c>
      <c r="J153" s="17">
        <v>0.46065343096729033</v>
      </c>
      <c r="K153" s="10">
        <v>0.33647606985033479</v>
      </c>
      <c r="L153" s="17">
        <v>0.33177766615969817</v>
      </c>
      <c r="M153" s="10">
        <v>0.36505879568074739</v>
      </c>
      <c r="N153" s="8">
        <v>0.32526370825153328</v>
      </c>
      <c r="O153" s="10">
        <v>0.36377782061239272</v>
      </c>
      <c r="P153" s="8">
        <v>0.35930709529216043</v>
      </c>
      <c r="Z153" t="s">
        <v>142</v>
      </c>
    </row>
    <row r="154" spans="3:30" x14ac:dyDescent="0.25">
      <c r="C154">
        <v>3</v>
      </c>
      <c r="D154" s="1">
        <v>41185</v>
      </c>
      <c r="E154" s="10">
        <v>0.20373044946198407</v>
      </c>
      <c r="F154" s="10">
        <v>0.23950356175868892</v>
      </c>
      <c r="G154" s="8">
        <v>0.16312195718308109</v>
      </c>
      <c r="H154" s="10">
        <v>0.22246939557632434</v>
      </c>
      <c r="I154" s="10">
        <v>0.17841851641529602</v>
      </c>
      <c r="J154" s="17">
        <v>0.15799766824772021</v>
      </c>
      <c r="K154" s="10">
        <v>0.30712957197994278</v>
      </c>
      <c r="L154" s="17">
        <v>0.23600827438821326</v>
      </c>
      <c r="M154" s="10">
        <v>0.34993250323523872</v>
      </c>
      <c r="N154" s="17">
        <v>0.1382355156052866</v>
      </c>
      <c r="O154" s="8">
        <v>0.19675851046176121</v>
      </c>
      <c r="P154" s="10">
        <v>0.12510446116394613</v>
      </c>
      <c r="AA154" t="s">
        <v>143</v>
      </c>
    </row>
    <row r="155" spans="3:30" x14ac:dyDescent="0.25">
      <c r="C155">
        <v>3</v>
      </c>
      <c r="D155" s="1">
        <v>41362</v>
      </c>
      <c r="E155" s="10">
        <v>0.38043335772371217</v>
      </c>
      <c r="F155" s="10">
        <v>0.37271872271272405</v>
      </c>
      <c r="G155" s="8">
        <v>0.3933914667708705</v>
      </c>
      <c r="H155" s="10">
        <v>0.3632983861412416</v>
      </c>
      <c r="I155" s="10">
        <v>0.37512556598464419</v>
      </c>
      <c r="J155" s="17">
        <v>0.50133962140308774</v>
      </c>
      <c r="K155" s="10">
        <v>0.38176423081327532</v>
      </c>
      <c r="L155" s="17">
        <v>0.3250968825870244</v>
      </c>
      <c r="M155" s="10">
        <v>0.43393955090945785</v>
      </c>
      <c r="N155" s="17">
        <v>0.32952931447071415</v>
      </c>
      <c r="O155" s="8">
        <v>0.379357659545209</v>
      </c>
      <c r="P155" s="10">
        <v>0.36316030293415386</v>
      </c>
      <c r="Z155" t="s">
        <v>144</v>
      </c>
    </row>
    <row r="156" spans="3:30" x14ac:dyDescent="0.25">
      <c r="C156">
        <v>3</v>
      </c>
      <c r="D156" s="1">
        <v>41432</v>
      </c>
      <c r="E156" s="10">
        <v>0.32166455545646061</v>
      </c>
      <c r="F156" s="10" t="e">
        <v>#N/A</v>
      </c>
      <c r="G156" s="8">
        <v>0.31873993443985488</v>
      </c>
      <c r="H156" s="10" t="e">
        <v>#N/A</v>
      </c>
      <c r="I156" s="10" t="e">
        <v>#N/A</v>
      </c>
      <c r="J156" s="17">
        <v>0.41423275221436789</v>
      </c>
      <c r="K156" s="10">
        <v>0.31897395686929064</v>
      </c>
      <c r="L156" s="17" t="e">
        <v>#N/A</v>
      </c>
      <c r="M156" s="10">
        <v>0.36259983932060047</v>
      </c>
      <c r="N156" s="17">
        <v>0.22411740527322443</v>
      </c>
      <c r="O156" s="10">
        <v>0.32410323378737255</v>
      </c>
      <c r="P156" s="10" t="e">
        <v>#N/A</v>
      </c>
      <c r="Z156" t="s">
        <v>145</v>
      </c>
      <c r="AD156" t="s">
        <v>146</v>
      </c>
    </row>
    <row r="157" spans="3:30" x14ac:dyDescent="0.25">
      <c r="C157">
        <v>3</v>
      </c>
      <c r="D157" s="1">
        <v>41527</v>
      </c>
      <c r="E157" s="10">
        <v>0.24008195330579071</v>
      </c>
      <c r="F157" s="10">
        <v>0.24162862278676345</v>
      </c>
      <c r="G157" s="8">
        <v>0.20363943918039654</v>
      </c>
      <c r="H157" s="10">
        <v>0.2610168333505587</v>
      </c>
      <c r="I157" s="8">
        <v>0.27594883405131809</v>
      </c>
      <c r="J157" s="17">
        <v>0.19691702494232155</v>
      </c>
      <c r="K157" s="10">
        <v>0.25107133175411717</v>
      </c>
      <c r="L157" s="17">
        <v>0.22167153071348211</v>
      </c>
      <c r="M157" s="10">
        <v>0.26646132291951247</v>
      </c>
      <c r="N157" s="17">
        <v>0.18704615963139729</v>
      </c>
      <c r="O157" s="10">
        <v>0.23069257162453913</v>
      </c>
      <c r="P157" s="10">
        <v>0.25732940159806639</v>
      </c>
      <c r="X157">
        <f>1-$X$158/2.65</f>
        <v>0.37358490566037739</v>
      </c>
      <c r="AA157" t="s">
        <v>147</v>
      </c>
    </row>
    <row r="158" spans="3:30" x14ac:dyDescent="0.25">
      <c r="C158">
        <v>3</v>
      </c>
      <c r="D158" s="1">
        <v>41667</v>
      </c>
      <c r="E158" s="10" t="e">
        <v>#N/A</v>
      </c>
      <c r="F158" s="10" t="e">
        <v>#N/A</v>
      </c>
      <c r="G158" s="8" t="e">
        <v>#N/A</v>
      </c>
      <c r="H158" s="8">
        <v>0.3630695466169423</v>
      </c>
      <c r="I158" s="10" t="e">
        <v>#N/A</v>
      </c>
      <c r="J158" s="17">
        <v>0.15201106127791089</v>
      </c>
      <c r="K158" s="10">
        <v>0.24390815217339382</v>
      </c>
      <c r="L158" s="8">
        <v>0.3253457620408039</v>
      </c>
      <c r="M158" s="8">
        <v>0.10284133286650428</v>
      </c>
      <c r="N158" s="8">
        <v>0.31860380940988153</v>
      </c>
      <c r="O158" s="10">
        <v>0.37412377910751476</v>
      </c>
      <c r="P158" s="10" t="e">
        <v>#N/A</v>
      </c>
      <c r="T158" s="31">
        <v>4</v>
      </c>
      <c r="U158">
        <v>1</v>
      </c>
      <c r="V158" s="5">
        <v>1.6857010144345743</v>
      </c>
      <c r="W158">
        <f>1-V158/2.65</f>
        <v>0.36388640964733043</v>
      </c>
      <c r="X158">
        <v>1.66</v>
      </c>
      <c r="Y158">
        <f>E162*$X$158/$V$158</f>
        <v>0.25177213178030627</v>
      </c>
      <c r="Z158">
        <f>V158/E170/(1+V158/E170/2.65)</f>
        <v>1.6638954815872313</v>
      </c>
    </row>
    <row r="159" spans="3:30" x14ac:dyDescent="0.25">
      <c r="C159">
        <v>3</v>
      </c>
      <c r="D159" s="1">
        <v>41674</v>
      </c>
      <c r="E159" s="10">
        <v>0.27178568683399867</v>
      </c>
      <c r="F159" s="8">
        <v>0.37426207626930424</v>
      </c>
      <c r="G159" s="8">
        <v>0.19942696021647036</v>
      </c>
      <c r="H159" s="10" t="e">
        <v>#N/A</v>
      </c>
      <c r="I159" s="10" t="e">
        <v>#N/A</v>
      </c>
      <c r="J159" s="17" t="e">
        <v>#N/A</v>
      </c>
      <c r="K159" s="10" t="e">
        <v>#N/A</v>
      </c>
      <c r="L159" s="17" t="e">
        <v>#N/A</v>
      </c>
      <c r="M159" s="10" t="e">
        <v>#N/A</v>
      </c>
      <c r="N159" s="17" t="e">
        <v>#N/A</v>
      </c>
      <c r="O159" s="10" t="e">
        <v>#N/A</v>
      </c>
      <c r="P159" s="10">
        <v>0.16772359946222265</v>
      </c>
      <c r="T159" s="31">
        <v>4</v>
      </c>
      <c r="U159">
        <v>2</v>
      </c>
      <c r="V159" s="5">
        <v>1.7242589106364221</v>
      </c>
      <c r="W159">
        <f t="shared" ref="W159:W181" si="15">1-V159/2.65</f>
        <v>0.34933626013719921</v>
      </c>
      <c r="Y159">
        <f t="shared" ref="Y159:Y167" si="16">E163*$X$158/$V$158</f>
        <v>0.36130450194966324</v>
      </c>
    </row>
    <row r="160" spans="3:30" x14ac:dyDescent="0.25">
      <c r="C160">
        <v>3</v>
      </c>
      <c r="D160" s="1">
        <v>41747</v>
      </c>
      <c r="E160" s="10">
        <v>0.39246500362409181</v>
      </c>
      <c r="F160" s="10">
        <v>0.42260698295975879</v>
      </c>
      <c r="G160" s="8">
        <v>0.37266162136226938</v>
      </c>
      <c r="H160" s="8">
        <v>0.35142928714788618</v>
      </c>
      <c r="I160" s="10">
        <v>0.3791360348778311</v>
      </c>
      <c r="J160" s="17">
        <v>0.52866194922890752</v>
      </c>
      <c r="K160" s="10">
        <v>0.3872077058410292</v>
      </c>
      <c r="L160" s="17">
        <v>0.30755944789289563</v>
      </c>
      <c r="M160" s="10">
        <v>0.43340021152699743</v>
      </c>
      <c r="N160" s="17">
        <v>0.29989221198231641</v>
      </c>
      <c r="O160" s="10">
        <v>0.45970755454356449</v>
      </c>
      <c r="P160" s="10">
        <v>0.41623857831940209</v>
      </c>
      <c r="T160" s="31">
        <v>4</v>
      </c>
      <c r="U160">
        <v>3</v>
      </c>
      <c r="V160" s="5">
        <v>1.7072606654591924</v>
      </c>
      <c r="W160">
        <f t="shared" si="15"/>
        <v>0.35575069227955003</v>
      </c>
      <c r="Y160">
        <f t="shared" si="16"/>
        <v>0.3237103620474408</v>
      </c>
    </row>
    <row r="161" spans="2:48" x14ac:dyDescent="0.25">
      <c r="B161" t="s">
        <v>148</v>
      </c>
      <c r="C161">
        <v>3</v>
      </c>
      <c r="D161" s="1">
        <v>41823</v>
      </c>
      <c r="E161" s="10">
        <v>0.34721919264731521</v>
      </c>
      <c r="F161" s="10">
        <v>0.34515923191740366</v>
      </c>
      <c r="G161" s="8">
        <v>0.35568355901771898</v>
      </c>
      <c r="H161" s="8">
        <v>0.35694431538475574</v>
      </c>
      <c r="I161" s="8">
        <v>0.36316267810983294</v>
      </c>
      <c r="J161" s="8">
        <v>0.37621110698558419</v>
      </c>
      <c r="K161" s="8">
        <v>0.33590574206437013</v>
      </c>
      <c r="L161" s="17">
        <v>0.30233280634556053</v>
      </c>
      <c r="M161" s="10">
        <v>0.40922323641965042</v>
      </c>
      <c r="N161" s="17">
        <v>0.31128561488317458</v>
      </c>
      <c r="O161" s="8">
        <v>0.35424004883185106</v>
      </c>
      <c r="P161" s="8">
        <v>0.33583745589706515</v>
      </c>
      <c r="T161" s="31">
        <v>4</v>
      </c>
      <c r="U161">
        <v>4</v>
      </c>
      <c r="V161" s="5">
        <v>1.7192165185581281</v>
      </c>
      <c r="W161">
        <f t="shared" si="15"/>
        <v>0.3512390496007064</v>
      </c>
      <c r="Y161">
        <f t="shared" si="16"/>
        <v>0.36026711185308841</v>
      </c>
    </row>
    <row r="162" spans="2:48" x14ac:dyDescent="0.25">
      <c r="B162">
        <v>0.32832049211652525</v>
      </c>
      <c r="C162">
        <v>4</v>
      </c>
      <c r="D162" s="1">
        <v>40836</v>
      </c>
      <c r="E162" s="8">
        <v>0.25567020358338416</v>
      </c>
      <c r="F162" s="8">
        <v>0.32832049211652525</v>
      </c>
      <c r="G162" s="8">
        <v>0.39027214068607285</v>
      </c>
      <c r="H162" s="8">
        <v>0.34818286890444328</v>
      </c>
      <c r="I162" s="8">
        <v>0.35029202850570967</v>
      </c>
      <c r="J162" s="8">
        <v>0.32366886177783066</v>
      </c>
      <c r="K162" s="8">
        <v>0.33993711371033092</v>
      </c>
      <c r="L162" s="8">
        <v>0.23371493205876714</v>
      </c>
      <c r="M162" s="8">
        <v>0.37539523585437912</v>
      </c>
      <c r="N162" s="8">
        <v>0.20942895216142776</v>
      </c>
      <c r="O162" s="8">
        <v>0.39599487146861451</v>
      </c>
      <c r="P162" s="8">
        <v>0.37394109222265909</v>
      </c>
      <c r="T162" s="31">
        <v>4</v>
      </c>
      <c r="U162">
        <v>5</v>
      </c>
      <c r="V162" s="5">
        <v>1.7149228704544419</v>
      </c>
      <c r="W162">
        <f t="shared" si="15"/>
        <v>0.35285929416813511</v>
      </c>
      <c r="Y162" t="e">
        <f t="shared" si="16"/>
        <v>#N/A</v>
      </c>
    </row>
    <row r="163" spans="2:48" x14ac:dyDescent="0.25">
      <c r="B163">
        <v>0.36134977170407623</v>
      </c>
      <c r="C163">
        <v>4</v>
      </c>
      <c r="D163" s="1">
        <v>41037</v>
      </c>
      <c r="E163" s="8">
        <v>0.36689841292549757</v>
      </c>
      <c r="F163" s="10">
        <v>0.36134977170407623</v>
      </c>
      <c r="G163" s="17">
        <v>0.39055629604154907</v>
      </c>
      <c r="H163" s="8">
        <v>0.35130464122435506</v>
      </c>
      <c r="I163" s="10">
        <v>0.35614497903029352</v>
      </c>
      <c r="J163" s="10">
        <v>0.4810569815489425</v>
      </c>
      <c r="K163" s="8">
        <v>0.32742104053377469</v>
      </c>
      <c r="L163" s="10">
        <v>0.33160701040891621</v>
      </c>
      <c r="M163" s="10">
        <v>0.37389598772593508</v>
      </c>
      <c r="N163" s="10">
        <v>0.34695233025850697</v>
      </c>
      <c r="O163" s="8">
        <v>0.39008584308819289</v>
      </c>
      <c r="P163" s="17">
        <v>0.37535407651073127</v>
      </c>
      <c r="Q163" t="e">
        <f>#REF!*J163</f>
        <v>#REF!</v>
      </c>
      <c r="T163" s="31">
        <v>4</v>
      </c>
      <c r="U163">
        <v>6</v>
      </c>
      <c r="V163" s="5">
        <v>1.6197056167748796</v>
      </c>
      <c r="W163">
        <f t="shared" si="15"/>
        <v>0.38879033329249824</v>
      </c>
      <c r="Y163">
        <f t="shared" si="16"/>
        <v>0.23166730450312592</v>
      </c>
    </row>
    <row r="164" spans="2:48" x14ac:dyDescent="0.25">
      <c r="B164">
        <v>0.31708126601847686</v>
      </c>
      <c r="C164">
        <v>4</v>
      </c>
      <c r="D164" s="1">
        <v>41185</v>
      </c>
      <c r="E164" s="8">
        <v>0.32872222029298453</v>
      </c>
      <c r="F164" s="10">
        <v>0.31708126601847686</v>
      </c>
      <c r="G164" s="17">
        <v>0.33307761031812566</v>
      </c>
      <c r="H164" s="8">
        <v>0.3286737461949365</v>
      </c>
      <c r="I164" s="10">
        <v>0.30565810184113046</v>
      </c>
      <c r="J164" s="8">
        <v>0.20268861203016739</v>
      </c>
      <c r="K164" s="10">
        <v>0.35071571619442315</v>
      </c>
      <c r="L164" s="10">
        <v>0.2922712019177735</v>
      </c>
      <c r="M164" s="10">
        <v>0.38181549339030563</v>
      </c>
      <c r="N164" s="10">
        <v>0.23537430962620698</v>
      </c>
      <c r="O164" s="8">
        <v>0.35310207021178625</v>
      </c>
      <c r="P164" s="17">
        <v>0.33923250762488011</v>
      </c>
      <c r="Q164" t="e">
        <f>#REF!*J164</f>
        <v>#REF!</v>
      </c>
      <c r="T164" s="31">
        <v>4</v>
      </c>
      <c r="U164">
        <v>7</v>
      </c>
      <c r="V164" s="5">
        <v>1.6487296183091258</v>
      </c>
      <c r="W164">
        <f t="shared" si="15"/>
        <v>0.37783787988334872</v>
      </c>
      <c r="Y164" t="e">
        <f t="shared" si="16"/>
        <v>#N/A</v>
      </c>
    </row>
    <row r="165" spans="2:48" x14ac:dyDescent="0.25">
      <c r="B165">
        <v>0.36883885311925801</v>
      </c>
      <c r="C165">
        <v>4</v>
      </c>
      <c r="D165" s="1">
        <v>41362</v>
      </c>
      <c r="E165" s="8">
        <v>0.36584496139648515</v>
      </c>
      <c r="F165" s="10">
        <v>0.36883885311925801</v>
      </c>
      <c r="G165" s="17">
        <v>0.40612945555551883</v>
      </c>
      <c r="H165" s="8" t="e">
        <v>#N/A</v>
      </c>
      <c r="I165" s="10">
        <v>0.39118549213452031</v>
      </c>
      <c r="J165" s="8">
        <v>0.64099551800412236</v>
      </c>
      <c r="K165" s="10">
        <v>0.36949045629633187</v>
      </c>
      <c r="L165" s="10" t="e">
        <v>#N/A</v>
      </c>
      <c r="M165" s="10">
        <v>0.45848643133443995</v>
      </c>
      <c r="N165" s="10">
        <v>0.33530994850294166</v>
      </c>
      <c r="O165" s="8">
        <v>0.42890516345693919</v>
      </c>
      <c r="P165" s="17">
        <v>0.42115458759258112</v>
      </c>
      <c r="Q165" t="e">
        <f>#REF!*J165</f>
        <v>#REF!</v>
      </c>
      <c r="T165" s="31">
        <v>4</v>
      </c>
      <c r="U165">
        <v>8</v>
      </c>
      <c r="V165" s="5">
        <v>1.690433438119016</v>
      </c>
      <c r="W165">
        <f t="shared" si="15"/>
        <v>0.36210058938905054</v>
      </c>
      <c r="Y165">
        <f t="shared" si="16"/>
        <v>0.21435576379352125</v>
      </c>
    </row>
    <row r="166" spans="2:48" x14ac:dyDescent="0.25">
      <c r="B166" t="e">
        <v>#N/A</v>
      </c>
      <c r="C166">
        <v>4</v>
      </c>
      <c r="D166" s="1">
        <v>41432</v>
      </c>
      <c r="E166" s="8" t="e">
        <v>#N/A</v>
      </c>
      <c r="F166" s="10" t="e">
        <v>#N/A</v>
      </c>
      <c r="G166" s="17" t="e">
        <v>#N/A</v>
      </c>
      <c r="H166" s="8" t="e">
        <v>#N/A</v>
      </c>
      <c r="I166" s="10" t="e">
        <v>#N/A</v>
      </c>
      <c r="J166" s="10">
        <v>0.45806034493180325</v>
      </c>
      <c r="K166" s="10" t="e">
        <v>#N/A</v>
      </c>
      <c r="L166" s="10" t="e">
        <v>#N/A</v>
      </c>
      <c r="M166" s="10">
        <v>0.35582701934957195</v>
      </c>
      <c r="N166" s="10" t="e">
        <v>#N/A</v>
      </c>
      <c r="O166" s="8" t="e">
        <v>#N/A</v>
      </c>
      <c r="P166" s="17" t="e">
        <v>#N/A</v>
      </c>
      <c r="Q166" t="e">
        <f>#REF!*J166</f>
        <v>#REF!</v>
      </c>
      <c r="T166" s="31">
        <v>4</v>
      </c>
      <c r="U166">
        <v>9</v>
      </c>
      <c r="V166" s="5">
        <v>1.6199240686018264</v>
      </c>
      <c r="W166">
        <f t="shared" si="15"/>
        <v>0.38870789864082023</v>
      </c>
      <c r="Y166">
        <f t="shared" si="16"/>
        <v>0.37124372399942629</v>
      </c>
    </row>
    <row r="167" spans="2:48" x14ac:dyDescent="0.25">
      <c r="B167">
        <v>0.30049180934556374</v>
      </c>
      <c r="C167">
        <v>4</v>
      </c>
      <c r="D167" s="1">
        <v>41527</v>
      </c>
      <c r="E167" s="8">
        <v>0.23525410253749568</v>
      </c>
      <c r="F167" s="10">
        <v>0.30049180934556374</v>
      </c>
      <c r="G167" s="17">
        <v>0.3186913033913481</v>
      </c>
      <c r="H167" s="8">
        <v>0.33520252744850848</v>
      </c>
      <c r="I167" s="10">
        <v>0.31719552016297503</v>
      </c>
      <c r="J167" s="10">
        <v>0.33584517860297186</v>
      </c>
      <c r="K167" s="10">
        <v>0.30075348463558055</v>
      </c>
      <c r="L167" s="10">
        <v>0.24783544171927976</v>
      </c>
      <c r="M167" s="10">
        <v>0.28878049308823006</v>
      </c>
      <c r="N167" s="8">
        <v>0.23872795177874437</v>
      </c>
      <c r="O167" s="8">
        <v>0.30994474611706163</v>
      </c>
      <c r="P167" s="17">
        <v>0.29762507007907985</v>
      </c>
      <c r="Q167" t="e">
        <f>#REF!*J167</f>
        <v>#REF!</v>
      </c>
      <c r="T167" s="31">
        <v>4</v>
      </c>
      <c r="U167">
        <v>10</v>
      </c>
      <c r="V167" s="5">
        <v>1.6850278701633281</v>
      </c>
      <c r="W167">
        <f t="shared" si="15"/>
        <v>0.36414042635346111</v>
      </c>
      <c r="Y167">
        <f t="shared" si="16"/>
        <v>0.34539803483976234</v>
      </c>
    </row>
    <row r="168" spans="2:48" x14ac:dyDescent="0.25">
      <c r="B168" t="e">
        <v>#N/A</v>
      </c>
      <c r="C168">
        <v>4</v>
      </c>
      <c r="D168" s="1">
        <v>41667</v>
      </c>
      <c r="E168" s="8" t="e">
        <v>#N/A</v>
      </c>
      <c r="F168" s="10" t="e">
        <v>#N/A</v>
      </c>
      <c r="G168" s="17" t="e">
        <v>#N/A</v>
      </c>
      <c r="H168" s="8">
        <v>0.3350310435176917</v>
      </c>
      <c r="I168" s="10" t="e">
        <v>#N/A</v>
      </c>
      <c r="J168" s="10">
        <v>0.21988782350754624</v>
      </c>
      <c r="K168" s="10">
        <v>0.28033903910685654</v>
      </c>
      <c r="L168" s="10">
        <v>0.24138508282674739</v>
      </c>
      <c r="M168" s="8">
        <v>0.26308008334102201</v>
      </c>
      <c r="N168" s="8">
        <v>0.25721225230973993</v>
      </c>
      <c r="O168" s="8">
        <v>0.36670494972796397</v>
      </c>
      <c r="P168" s="17" t="e">
        <v>#N/A</v>
      </c>
      <c r="Q168" t="e">
        <f>#REF!*J168</f>
        <v>#REF!</v>
      </c>
      <c r="T168" s="31">
        <v>4</v>
      </c>
      <c r="U168">
        <v>11</v>
      </c>
      <c r="V168" s="5">
        <v>1.5735293726825132</v>
      </c>
      <c r="W168">
        <f t="shared" si="15"/>
        <v>0.40621533106320251</v>
      </c>
    </row>
    <row r="169" spans="2:48" x14ac:dyDescent="0.25">
      <c r="B169">
        <v>0.34831055791477089</v>
      </c>
      <c r="C169">
        <v>4</v>
      </c>
      <c r="D169" s="1">
        <v>41674</v>
      </c>
      <c r="E169" s="8">
        <v>0.21767453522688962</v>
      </c>
      <c r="F169" s="10">
        <v>0.34831055791477089</v>
      </c>
      <c r="G169" s="17">
        <v>0.14981969787717681</v>
      </c>
      <c r="H169" s="8" t="e">
        <v>#N/A</v>
      </c>
      <c r="I169" s="10" t="e">
        <v>#N/A</v>
      </c>
      <c r="J169" s="10" t="e">
        <v>#N/A</v>
      </c>
      <c r="K169" s="10" t="e">
        <v>#N/A</v>
      </c>
      <c r="L169" s="10" t="e">
        <v>#N/A</v>
      </c>
      <c r="M169" s="8" t="e">
        <v>#N/A</v>
      </c>
      <c r="N169" s="8" t="e">
        <v>#N/A</v>
      </c>
      <c r="O169" s="8" t="e">
        <v>#N/A</v>
      </c>
      <c r="P169" s="17">
        <v>0.24221139818077156</v>
      </c>
      <c r="Q169" t="e">
        <f>#REF!*J169</f>
        <v>#REF!</v>
      </c>
      <c r="T169" s="32">
        <v>4</v>
      </c>
      <c r="U169">
        <v>12</v>
      </c>
      <c r="V169" s="5">
        <v>1.6588427690531831</v>
      </c>
      <c r="W169">
        <f t="shared" si="15"/>
        <v>0.37402159658370449</v>
      </c>
    </row>
    <row r="170" spans="2:48" x14ac:dyDescent="0.25">
      <c r="B170">
        <v>0.37442848606885809</v>
      </c>
      <c r="C170">
        <v>4</v>
      </c>
      <c r="D170" s="1">
        <v>41747</v>
      </c>
      <c r="E170" s="8">
        <v>0.37699151936644698</v>
      </c>
      <c r="F170" s="10">
        <v>0.37442848606885809</v>
      </c>
      <c r="G170" s="17">
        <v>0.41195161390665214</v>
      </c>
      <c r="H170" s="8">
        <v>0.37721653820718076</v>
      </c>
      <c r="I170" s="10">
        <v>0.39296341636664595</v>
      </c>
      <c r="J170" s="10">
        <v>0.58352576364442721</v>
      </c>
      <c r="K170" s="10">
        <v>0.40055343391522619</v>
      </c>
      <c r="L170" s="10">
        <v>0.34343027050402353</v>
      </c>
      <c r="M170" s="8">
        <v>0.48972372822277999</v>
      </c>
      <c r="N170" s="10">
        <v>0.34402652349167973</v>
      </c>
      <c r="O170" s="8">
        <v>0.48679327412845974</v>
      </c>
      <c r="P170" s="17">
        <v>0.37363030110846746</v>
      </c>
      <c r="Q170" t="e">
        <f>#REF!*J170</f>
        <v>#REF!</v>
      </c>
      <c r="T170" s="31">
        <v>5</v>
      </c>
      <c r="U170">
        <v>1</v>
      </c>
      <c r="V170" s="5">
        <v>1.6803740352793837</v>
      </c>
      <c r="W170">
        <f t="shared" si="15"/>
        <v>0.36589659046060996</v>
      </c>
    </row>
    <row r="171" spans="2:48" x14ac:dyDescent="0.25">
      <c r="B171">
        <v>0.37147196201389954</v>
      </c>
      <c r="C171">
        <v>4</v>
      </c>
      <c r="D171" s="1">
        <v>41823</v>
      </c>
      <c r="E171" s="8">
        <v>0.35074567332114204</v>
      </c>
      <c r="F171" s="10">
        <v>0.37147196201389954</v>
      </c>
      <c r="G171" s="8">
        <v>0.37523016343497984</v>
      </c>
      <c r="H171" s="8">
        <v>0.3423921417464324</v>
      </c>
      <c r="I171" s="8">
        <v>0.33731151649472907</v>
      </c>
      <c r="J171" s="10">
        <v>0.40449148005141317</v>
      </c>
      <c r="K171" s="8">
        <v>0.34325188312770366</v>
      </c>
      <c r="L171" s="10">
        <v>0.33132246933056542</v>
      </c>
      <c r="M171" s="8">
        <v>0.3548565227268029</v>
      </c>
      <c r="N171" s="10">
        <v>0.33041833065718057</v>
      </c>
      <c r="O171" s="8">
        <v>0.38283484540257673</v>
      </c>
      <c r="P171" s="8">
        <v>0.35010437902936481</v>
      </c>
      <c r="Q171" t="e">
        <f>#REF!*J171</f>
        <v>#REF!</v>
      </c>
      <c r="T171" s="31">
        <v>5</v>
      </c>
      <c r="U171">
        <v>2</v>
      </c>
      <c r="V171" s="5">
        <v>1.7069378630388641</v>
      </c>
      <c r="W171">
        <f t="shared" si="15"/>
        <v>0.35587250451363617</v>
      </c>
    </row>
    <row r="172" spans="2:48" x14ac:dyDescent="0.25">
      <c r="C172">
        <v>5</v>
      </c>
      <c r="D172" s="1">
        <v>40836</v>
      </c>
      <c r="E172" s="8">
        <v>0.30829125097846322</v>
      </c>
      <c r="F172" s="8">
        <v>0.33390171165297278</v>
      </c>
      <c r="G172" s="8">
        <v>0.3183317908280428</v>
      </c>
      <c r="H172" s="8">
        <v>0.33883193509436077</v>
      </c>
      <c r="I172" s="8">
        <v>0.44309514238586994</v>
      </c>
      <c r="J172" s="8">
        <v>0.38176121104932004</v>
      </c>
      <c r="K172" s="8">
        <v>0.35404426749256679</v>
      </c>
      <c r="L172" s="8">
        <v>0.23176207253219369</v>
      </c>
      <c r="M172" s="8">
        <v>0.36387771881719394</v>
      </c>
      <c r="N172" s="8">
        <v>0.24794599359333272</v>
      </c>
      <c r="O172" s="8">
        <v>0.35521192707881521</v>
      </c>
      <c r="P172" s="8">
        <v>0.33826363487387839</v>
      </c>
      <c r="T172" s="31">
        <v>5</v>
      </c>
      <c r="U172">
        <v>3</v>
      </c>
      <c r="V172" s="5">
        <v>1.6517011736910341</v>
      </c>
      <c r="W172">
        <f t="shared" si="15"/>
        <v>0.37671653822979845</v>
      </c>
      <c r="Y172" s="31">
        <v>4</v>
      </c>
      <c r="Z172" s="31">
        <v>4</v>
      </c>
      <c r="AA172" s="31">
        <v>4</v>
      </c>
      <c r="AB172" s="31">
        <v>4</v>
      </c>
      <c r="AC172" s="31">
        <v>4</v>
      </c>
      <c r="AD172" s="31">
        <v>4</v>
      </c>
      <c r="AE172" s="31">
        <v>4</v>
      </c>
      <c r="AF172" s="31">
        <v>4</v>
      </c>
      <c r="AG172" s="31">
        <v>4</v>
      </c>
      <c r="AH172" s="31">
        <v>4</v>
      </c>
      <c r="AI172" s="31">
        <v>4</v>
      </c>
      <c r="AJ172" s="32">
        <v>4</v>
      </c>
      <c r="AK172" s="31">
        <v>5</v>
      </c>
      <c r="AL172" s="31">
        <v>5</v>
      </c>
      <c r="AM172" s="31">
        <v>5</v>
      </c>
      <c r="AN172" s="31">
        <v>5</v>
      </c>
      <c r="AO172" s="31">
        <v>5</v>
      </c>
      <c r="AP172" s="31">
        <v>5</v>
      </c>
      <c r="AQ172" s="31">
        <v>5</v>
      </c>
      <c r="AR172" s="31">
        <v>5</v>
      </c>
      <c r="AS172" s="31">
        <v>5</v>
      </c>
      <c r="AT172" s="31">
        <v>5</v>
      </c>
      <c r="AU172" s="31">
        <v>5</v>
      </c>
      <c r="AV172" s="32">
        <v>5</v>
      </c>
    </row>
    <row r="173" spans="2:48" x14ac:dyDescent="0.25">
      <c r="C173">
        <v>5</v>
      </c>
      <c r="D173" s="1">
        <v>41037</v>
      </c>
      <c r="E173" s="8">
        <v>0.35703721956841639</v>
      </c>
      <c r="F173" s="8">
        <v>0.34530406483654258</v>
      </c>
      <c r="G173" s="8" t="e">
        <v>#N/A</v>
      </c>
      <c r="H173" s="8" t="e">
        <v>#N/A</v>
      </c>
      <c r="I173" s="8" t="e">
        <v>#N/A</v>
      </c>
      <c r="J173" s="8">
        <v>0.41836830893719185</v>
      </c>
      <c r="K173" s="8" t="e">
        <v>#N/A</v>
      </c>
      <c r="L173" s="10">
        <v>0.32723466643317695</v>
      </c>
      <c r="M173" s="8" t="e">
        <v>#N/A</v>
      </c>
      <c r="N173" s="8">
        <v>0.34613610599827577</v>
      </c>
      <c r="O173" s="8" t="e">
        <v>#N/A</v>
      </c>
      <c r="P173" s="10" t="e">
        <v>#N/A</v>
      </c>
      <c r="T173" s="31">
        <v>5</v>
      </c>
      <c r="U173">
        <v>4</v>
      </c>
      <c r="V173" s="5">
        <v>1.6841632616062441</v>
      </c>
      <c r="W173">
        <f t="shared" si="15"/>
        <v>0.36446669373349283</v>
      </c>
      <c r="Y173">
        <v>1</v>
      </c>
      <c r="Z173">
        <v>2</v>
      </c>
      <c r="AA173">
        <v>3</v>
      </c>
      <c r="AB173">
        <v>4</v>
      </c>
      <c r="AC173">
        <v>5</v>
      </c>
      <c r="AD173">
        <v>6</v>
      </c>
      <c r="AE173">
        <v>7</v>
      </c>
      <c r="AF173">
        <v>8</v>
      </c>
      <c r="AG173">
        <v>9</v>
      </c>
      <c r="AH173">
        <v>10</v>
      </c>
      <c r="AI173">
        <v>11</v>
      </c>
      <c r="AJ173">
        <v>12</v>
      </c>
      <c r="AK173">
        <v>1</v>
      </c>
      <c r="AL173">
        <v>2</v>
      </c>
      <c r="AM173">
        <v>3</v>
      </c>
      <c r="AN173">
        <v>4</v>
      </c>
      <c r="AO173">
        <v>5</v>
      </c>
      <c r="AP173">
        <v>6</v>
      </c>
      <c r="AQ173">
        <v>7</v>
      </c>
      <c r="AR173">
        <v>8</v>
      </c>
      <c r="AS173">
        <v>9</v>
      </c>
      <c r="AT173">
        <v>10</v>
      </c>
      <c r="AU173">
        <v>11</v>
      </c>
      <c r="AV173">
        <v>12</v>
      </c>
    </row>
    <row r="174" spans="2:48" x14ac:dyDescent="0.25">
      <c r="C174">
        <v>5</v>
      </c>
      <c r="D174" s="1">
        <v>41185</v>
      </c>
      <c r="E174" s="8">
        <v>0.15565779627612689</v>
      </c>
      <c r="F174" s="8">
        <v>0.30134094678502615</v>
      </c>
      <c r="G174" s="8">
        <v>0.29437914589328801</v>
      </c>
      <c r="H174" s="8">
        <v>0.32211859312893937</v>
      </c>
      <c r="I174" s="8">
        <v>0.29408637947229516</v>
      </c>
      <c r="J174" s="8">
        <v>0.30257177228526072</v>
      </c>
      <c r="K174" s="8">
        <v>0.3607525941568453</v>
      </c>
      <c r="L174" s="10">
        <v>0.26786786875917451</v>
      </c>
      <c r="M174" s="8">
        <v>0.36103586131986126</v>
      </c>
      <c r="N174" s="8">
        <v>0.27845404209126895</v>
      </c>
      <c r="O174" s="8">
        <v>0.32646062871184689</v>
      </c>
      <c r="P174" s="10">
        <v>0.32570410851437642</v>
      </c>
      <c r="T174" s="31">
        <v>5</v>
      </c>
      <c r="U174">
        <v>5</v>
      </c>
      <c r="V174" s="5">
        <v>1.709005342281696</v>
      </c>
      <c r="W174">
        <f t="shared" si="15"/>
        <v>0.35509232366728449</v>
      </c>
      <c r="X174" t="s">
        <v>149</v>
      </c>
      <c r="Y174" s="5">
        <v>1.6857010144345743</v>
      </c>
      <c r="Z174" s="5">
        <v>1.7242589106364221</v>
      </c>
      <c r="AA174" s="5">
        <v>1.7072606654591924</v>
      </c>
      <c r="AB174" s="5">
        <v>1.7192165185581281</v>
      </c>
      <c r="AC174" s="5">
        <v>1.7149228704544419</v>
      </c>
      <c r="AD174" s="5">
        <v>1.6197056167748796</v>
      </c>
      <c r="AE174" s="5">
        <v>1.6487296183091258</v>
      </c>
      <c r="AF174" s="5">
        <v>1.690433438119016</v>
      </c>
      <c r="AG174" s="5">
        <v>1.6199240686018264</v>
      </c>
      <c r="AH174" s="5">
        <v>1.6850278701633281</v>
      </c>
      <c r="AI174" s="5">
        <v>1.5735293726825132</v>
      </c>
      <c r="AJ174" s="5">
        <v>1.6588427690531831</v>
      </c>
      <c r="AK174" s="5">
        <v>1.6803740352793837</v>
      </c>
      <c r="AL174" s="5">
        <v>1.7069378630388641</v>
      </c>
      <c r="AM174" s="5">
        <v>1.6517011736910341</v>
      </c>
      <c r="AN174" s="5">
        <v>1.6841632616062441</v>
      </c>
      <c r="AO174" s="5">
        <v>1.709005342281696</v>
      </c>
      <c r="AP174" s="5">
        <v>1.6507018550061883</v>
      </c>
      <c r="AQ174" s="5">
        <v>1.7178326318327042</v>
      </c>
      <c r="AR174" s="5">
        <v>1.6709491416648803</v>
      </c>
      <c r="AS174" s="5">
        <v>1.6559909341530819</v>
      </c>
      <c r="AT174" s="5">
        <v>1.7021699627019469</v>
      </c>
      <c r="AU174" s="5">
        <v>1.6707985010030511</v>
      </c>
      <c r="AV174" s="5">
        <v>1.6932588463239686</v>
      </c>
    </row>
    <row r="175" spans="2:48" x14ac:dyDescent="0.25">
      <c r="C175">
        <v>5</v>
      </c>
      <c r="D175" s="1">
        <v>41362</v>
      </c>
      <c r="E175" s="8" t="e">
        <v>#N/A</v>
      </c>
      <c r="F175" s="8" t="e">
        <v>#N/A</v>
      </c>
      <c r="G175" s="8" t="e">
        <v>#N/A</v>
      </c>
      <c r="H175" s="8" t="e">
        <v>#N/A</v>
      </c>
      <c r="I175" s="8" t="e">
        <v>#N/A</v>
      </c>
      <c r="J175" s="8" t="e">
        <v>#N/A</v>
      </c>
      <c r="K175" s="8" t="e">
        <v>#N/A</v>
      </c>
      <c r="L175" s="10" t="e">
        <v>#N/A</v>
      </c>
      <c r="M175" s="8" t="e">
        <v>#N/A</v>
      </c>
      <c r="N175" s="8" t="e">
        <v>#N/A</v>
      </c>
      <c r="O175" s="8" t="e">
        <v>#N/A</v>
      </c>
      <c r="P175" s="10" t="e">
        <v>#N/A</v>
      </c>
      <c r="T175" s="31">
        <v>5</v>
      </c>
      <c r="U175">
        <v>6</v>
      </c>
      <c r="V175" s="5">
        <v>1.6507018550061883</v>
      </c>
      <c r="W175">
        <f t="shared" si="15"/>
        <v>0.37709363962030629</v>
      </c>
      <c r="Y175">
        <f t="shared" ref="Y175:AV175" si="17">1-Y174/2.65</f>
        <v>0.36388640964733043</v>
      </c>
      <c r="Z175">
        <f t="shared" si="17"/>
        <v>0.34933626013719921</v>
      </c>
      <c r="AA175">
        <f t="shared" si="17"/>
        <v>0.35575069227955003</v>
      </c>
      <c r="AB175">
        <f t="shared" si="17"/>
        <v>0.3512390496007064</v>
      </c>
      <c r="AC175">
        <f t="shared" si="17"/>
        <v>0.35285929416813511</v>
      </c>
      <c r="AD175">
        <f t="shared" si="17"/>
        <v>0.38879033329249824</v>
      </c>
      <c r="AE175">
        <f t="shared" si="17"/>
        <v>0.37783787988334872</v>
      </c>
      <c r="AF175">
        <f t="shared" si="17"/>
        <v>0.36210058938905054</v>
      </c>
      <c r="AG175">
        <f t="shared" si="17"/>
        <v>0.38870789864082023</v>
      </c>
      <c r="AH175">
        <f t="shared" si="17"/>
        <v>0.36414042635346111</v>
      </c>
      <c r="AI175">
        <f t="shared" si="17"/>
        <v>0.40621533106320251</v>
      </c>
      <c r="AJ175">
        <f t="shared" si="17"/>
        <v>0.37402159658370449</v>
      </c>
      <c r="AK175">
        <f t="shared" si="17"/>
        <v>0.36589659046060996</v>
      </c>
      <c r="AL175">
        <f t="shared" si="17"/>
        <v>0.35587250451363617</v>
      </c>
      <c r="AM175">
        <f t="shared" si="17"/>
        <v>0.37671653822979845</v>
      </c>
      <c r="AN175">
        <f t="shared" si="17"/>
        <v>0.36446669373349283</v>
      </c>
      <c r="AO175">
        <f t="shared" si="17"/>
        <v>0.35509232366728449</v>
      </c>
      <c r="AP175">
        <f t="shared" si="17"/>
        <v>0.37709363962030629</v>
      </c>
      <c r="AQ175">
        <f t="shared" si="17"/>
        <v>0.35176127100652665</v>
      </c>
      <c r="AR175">
        <f t="shared" si="17"/>
        <v>0.36945315408872437</v>
      </c>
      <c r="AS175">
        <f t="shared" si="17"/>
        <v>0.37509776069695022</v>
      </c>
      <c r="AT175">
        <f t="shared" si="17"/>
        <v>0.35767171218794458</v>
      </c>
      <c r="AU175">
        <f t="shared" si="17"/>
        <v>0.36950999962149012</v>
      </c>
      <c r="AV175">
        <f t="shared" si="17"/>
        <v>0.36103439761359668</v>
      </c>
    </row>
    <row r="176" spans="2:48" x14ac:dyDescent="0.25">
      <c r="C176">
        <v>5</v>
      </c>
      <c r="D176" s="1">
        <v>41432</v>
      </c>
      <c r="E176" s="8" t="e">
        <v>#N/A</v>
      </c>
      <c r="F176" s="8" t="e">
        <v>#N/A</v>
      </c>
      <c r="G176" s="8" t="e">
        <v>#N/A</v>
      </c>
      <c r="H176" s="8" t="e">
        <v>#N/A</v>
      </c>
      <c r="I176" s="8" t="e">
        <v>#N/A</v>
      </c>
      <c r="J176" s="8" t="e">
        <v>#N/A</v>
      </c>
      <c r="K176" s="8" t="e">
        <v>#N/A</v>
      </c>
      <c r="L176" s="10" t="e">
        <v>#N/A</v>
      </c>
      <c r="M176" s="8" t="e">
        <v>#N/A</v>
      </c>
      <c r="N176" s="8" t="e">
        <v>#N/A</v>
      </c>
      <c r="O176" s="8" t="e">
        <v>#N/A</v>
      </c>
      <c r="P176" s="10" t="e">
        <v>#N/A</v>
      </c>
      <c r="T176" s="31">
        <v>5</v>
      </c>
      <c r="U176">
        <v>7</v>
      </c>
      <c r="V176" s="5">
        <v>1.7178326318327042</v>
      </c>
      <c r="W176">
        <f t="shared" si="15"/>
        <v>0.35176127100652665</v>
      </c>
      <c r="X176" t="s">
        <v>150</v>
      </c>
      <c r="Y176">
        <f>_xlfn.AGGREGATE(4,6,E162:E171)</f>
        <v>0.37699151936644698</v>
      </c>
      <c r="Z176">
        <f t="shared" ref="Z176:AJ176" si="18">_xlfn.AGGREGATE(4,6,F162:F171)</f>
        <v>0.37442848606885809</v>
      </c>
      <c r="AA176">
        <f t="shared" si="18"/>
        <v>0.41195161390665214</v>
      </c>
      <c r="AB176">
        <f t="shared" si="18"/>
        <v>0.37721653820718076</v>
      </c>
      <c r="AC176">
        <f t="shared" si="18"/>
        <v>0.39296341636664595</v>
      </c>
      <c r="AD176">
        <f t="shared" si="18"/>
        <v>0.64099551800412236</v>
      </c>
      <c r="AE176">
        <f t="shared" si="18"/>
        <v>0.40055343391522619</v>
      </c>
      <c r="AF176">
        <f t="shared" si="18"/>
        <v>0.34343027050402353</v>
      </c>
      <c r="AG176">
        <f t="shared" si="18"/>
        <v>0.48972372822277999</v>
      </c>
      <c r="AH176">
        <f t="shared" si="18"/>
        <v>0.34695233025850697</v>
      </c>
      <c r="AI176">
        <f t="shared" si="18"/>
        <v>0.48679327412845974</v>
      </c>
      <c r="AJ176">
        <f t="shared" si="18"/>
        <v>0.42115458759258112</v>
      </c>
    </row>
    <row r="177" spans="3:36" x14ac:dyDescent="0.25">
      <c r="C177">
        <v>5</v>
      </c>
      <c r="D177" s="1">
        <v>41527</v>
      </c>
      <c r="E177" s="8">
        <v>0.27060707241145243</v>
      </c>
      <c r="F177" s="8">
        <v>0.32844194531021786</v>
      </c>
      <c r="G177" s="8">
        <v>0.36416840859704008</v>
      </c>
      <c r="H177" s="8">
        <v>0.33788601399557533</v>
      </c>
      <c r="I177" s="8">
        <v>0.34430694139223555</v>
      </c>
      <c r="J177" s="8">
        <v>0.37448642178020464</v>
      </c>
      <c r="K177" s="8">
        <v>0.3335299048689489</v>
      </c>
      <c r="L177" s="10">
        <v>0.24796689454548079</v>
      </c>
      <c r="M177" s="8">
        <v>0.33668804347342335</v>
      </c>
      <c r="N177" s="8">
        <v>0.24717739017175422</v>
      </c>
      <c r="O177" s="8">
        <v>0.34465879537856525</v>
      </c>
      <c r="P177" s="10">
        <v>0.34568159669334753</v>
      </c>
      <c r="T177" s="31">
        <v>5</v>
      </c>
      <c r="U177">
        <v>8</v>
      </c>
      <c r="V177" s="5">
        <v>1.6709491416648803</v>
      </c>
      <c r="W177">
        <f t="shared" si="15"/>
        <v>0.36945315408872437</v>
      </c>
      <c r="X177" t="s">
        <v>151</v>
      </c>
      <c r="Y177">
        <f>1-Y178/2.65</f>
        <v>0.37211491260859197</v>
      </c>
      <c r="Z177">
        <f t="shared" ref="Z177:AJ177" si="19">1-Z178/2.65</f>
        <v>0.36526321885677893</v>
      </c>
      <c r="AA177">
        <f t="shared" si="19"/>
        <v>0.3900314849868064</v>
      </c>
      <c r="AB177">
        <f t="shared" si="19"/>
        <v>0.3676655115693932</v>
      </c>
      <c r="AC177">
        <f t="shared" si="19"/>
        <v>0.377811613260433</v>
      </c>
      <c r="AD177">
        <f t="shared" si="19"/>
        <v>0.51189335887611742</v>
      </c>
      <c r="AE177">
        <f t="shared" si="19"/>
        <v>0.39165673420738967</v>
      </c>
      <c r="AF177">
        <f t="shared" si="19"/>
        <v>0.34996421397732802</v>
      </c>
      <c r="AG177">
        <f t="shared" si="19"/>
        <v>0.4447926315543721</v>
      </c>
      <c r="AH177">
        <f t="shared" si="19"/>
        <v>0.35302007320011841</v>
      </c>
      <c r="AI177">
        <f t="shared" si="19"/>
        <v>0.45049343941593101</v>
      </c>
      <c r="AJ177">
        <f t="shared" si="19"/>
        <v>0.40219780219780221</v>
      </c>
    </row>
    <row r="178" spans="3:36" x14ac:dyDescent="0.25">
      <c r="C178">
        <v>5</v>
      </c>
      <c r="D178" s="1">
        <v>41667</v>
      </c>
      <c r="E178" s="8" t="e">
        <v>#N/A</v>
      </c>
      <c r="F178" s="8" t="e">
        <v>#N/A</v>
      </c>
      <c r="G178" s="8" t="e">
        <v>#N/A</v>
      </c>
      <c r="H178" s="8">
        <v>0.30554832018145778</v>
      </c>
      <c r="I178" s="8" t="e">
        <v>#N/A</v>
      </c>
      <c r="J178" s="8">
        <v>0.31737011439240231</v>
      </c>
      <c r="K178" s="8">
        <v>0.31382329720106417</v>
      </c>
      <c r="L178" s="10">
        <v>0.24347875161316479</v>
      </c>
      <c r="M178" s="8">
        <v>0.30384481971396887</v>
      </c>
      <c r="N178" s="8">
        <v>0.24683143127780496</v>
      </c>
      <c r="O178" s="8">
        <v>0.3505378251785205</v>
      </c>
      <c r="P178" s="10" t="e">
        <v>#N/A</v>
      </c>
      <c r="T178" s="31">
        <v>5</v>
      </c>
      <c r="U178">
        <v>9</v>
      </c>
      <c r="V178" s="5">
        <v>1.6559909341530819</v>
      </c>
      <c r="W178">
        <f t="shared" si="15"/>
        <v>0.37509776069695022</v>
      </c>
      <c r="X178" t="s">
        <v>152</v>
      </c>
      <c r="Y178">
        <f>Y174/Y176/(1+Y174/Y176/2.65)</f>
        <v>1.6638954815872313</v>
      </c>
      <c r="Z178">
        <f t="shared" ref="Z178:AJ178" si="20">Z174/Z176/(1+Z174/Z176/2.65)</f>
        <v>1.6820524700295358</v>
      </c>
      <c r="AA178">
        <f t="shared" si="20"/>
        <v>1.6164165647849629</v>
      </c>
      <c r="AB178">
        <f t="shared" si="20"/>
        <v>1.675686394341108</v>
      </c>
      <c r="AC178">
        <f t="shared" si="20"/>
        <v>1.6487992248598526</v>
      </c>
      <c r="AD178">
        <f t="shared" si="20"/>
        <v>1.2934825989782888</v>
      </c>
      <c r="AE178">
        <f t="shared" si="20"/>
        <v>1.6121096543504174</v>
      </c>
      <c r="AF178">
        <f t="shared" si="20"/>
        <v>1.7225948329600806</v>
      </c>
      <c r="AG178">
        <f t="shared" si="20"/>
        <v>1.4712995263809139</v>
      </c>
      <c r="AH178">
        <f t="shared" si="20"/>
        <v>1.7144968060196861</v>
      </c>
      <c r="AI178">
        <f t="shared" si="20"/>
        <v>1.4561923855477827</v>
      </c>
      <c r="AJ178">
        <f t="shared" si="20"/>
        <v>1.5841758241758241</v>
      </c>
    </row>
    <row r="179" spans="3:36" x14ac:dyDescent="0.25">
      <c r="C179">
        <v>5</v>
      </c>
      <c r="D179" s="1">
        <v>41674</v>
      </c>
      <c r="E179" s="8">
        <v>0.23737194561743902</v>
      </c>
      <c r="F179" s="8">
        <v>0.30811730864743286</v>
      </c>
      <c r="G179" s="8">
        <v>0.31304686677170235</v>
      </c>
      <c r="H179" s="8" t="e">
        <v>#N/A</v>
      </c>
      <c r="I179" s="8" t="e">
        <v>#N/A</v>
      </c>
      <c r="J179" s="8" t="e">
        <v>#N/A</v>
      </c>
      <c r="K179" s="8" t="e">
        <v>#N/A</v>
      </c>
      <c r="L179" s="10" t="e">
        <v>#N/A</v>
      </c>
      <c r="M179" s="8" t="e">
        <v>#N/A</v>
      </c>
      <c r="N179" s="8" t="e">
        <v>#N/A</v>
      </c>
      <c r="O179" s="8" t="e">
        <v>#N/A</v>
      </c>
      <c r="P179" s="10">
        <v>0.30143746471550148</v>
      </c>
      <c r="T179" s="31">
        <v>5</v>
      </c>
      <c r="U179">
        <v>10</v>
      </c>
      <c r="V179" s="5">
        <v>1.7021699627019469</v>
      </c>
      <c r="W179">
        <f t="shared" si="15"/>
        <v>0.35767171218794458</v>
      </c>
    </row>
    <row r="180" spans="3:36" x14ac:dyDescent="0.25">
      <c r="C180">
        <v>5</v>
      </c>
      <c r="D180" s="1">
        <v>41747</v>
      </c>
      <c r="E180" s="8">
        <v>0.37338766150155617</v>
      </c>
      <c r="F180" s="8" t="e">
        <v>#N/A</v>
      </c>
      <c r="G180" s="8" t="e">
        <v>#N/A</v>
      </c>
      <c r="H180" s="8" t="e">
        <v>#N/A</v>
      </c>
      <c r="I180" s="8" t="e">
        <v>#N/A</v>
      </c>
      <c r="J180" s="8">
        <v>0.441350310029057</v>
      </c>
      <c r="K180" s="8" t="e">
        <v>#N/A</v>
      </c>
      <c r="L180" s="8">
        <v>0.3418660508049392</v>
      </c>
      <c r="M180" s="8" t="e">
        <v>#N/A</v>
      </c>
      <c r="N180" s="8">
        <v>0.34355724017837441</v>
      </c>
      <c r="O180" s="8">
        <v>0.61168439026104637</v>
      </c>
      <c r="P180" s="10">
        <v>0.42095602587241249</v>
      </c>
      <c r="T180" s="31">
        <v>5</v>
      </c>
      <c r="U180">
        <v>11</v>
      </c>
      <c r="V180" s="5">
        <v>1.6707985010030511</v>
      </c>
      <c r="W180">
        <f t="shared" si="15"/>
        <v>0.36950999962149012</v>
      </c>
    </row>
    <row r="181" spans="3:36" x14ac:dyDescent="0.25">
      <c r="C181">
        <v>5</v>
      </c>
      <c r="D181" s="1">
        <v>41823</v>
      </c>
      <c r="E181" s="8">
        <v>0.36548928084402071</v>
      </c>
      <c r="F181" s="8">
        <v>0.34907462855582988</v>
      </c>
      <c r="G181" s="8">
        <v>0.35219021994987515</v>
      </c>
      <c r="H181" s="8">
        <v>0.33191939234718149</v>
      </c>
      <c r="I181" s="8">
        <v>0.33269315105237068</v>
      </c>
      <c r="J181" s="8">
        <v>0.36227565196178713</v>
      </c>
      <c r="K181" s="8">
        <v>0.35257503932742473</v>
      </c>
      <c r="L181" s="10">
        <v>0.322919942122527</v>
      </c>
      <c r="M181" s="8">
        <v>0.33961899121485423</v>
      </c>
      <c r="N181" s="8">
        <v>0.33678950770073807</v>
      </c>
      <c r="O181" s="8">
        <v>0.33768501034528853</v>
      </c>
      <c r="P181" s="8">
        <v>0.31219950920804013</v>
      </c>
      <c r="T181" s="32">
        <v>5</v>
      </c>
      <c r="U181">
        <v>12</v>
      </c>
      <c r="V181" s="5">
        <v>1.6932588463239686</v>
      </c>
      <c r="W181">
        <f t="shared" si="15"/>
        <v>0.36103439761359668</v>
      </c>
    </row>
    <row r="184" spans="3:36" x14ac:dyDescent="0.25">
      <c r="D184" s="1">
        <v>41037</v>
      </c>
      <c r="E184">
        <f>E162*Y$178/Y$174</f>
        <v>0.2523629593125522</v>
      </c>
      <c r="F184">
        <f t="shared" ref="F184:P192" si="21">F162*Z$178/Z$174</f>
        <v>0.32028385720916958</v>
      </c>
      <c r="G184">
        <f t="shared" si="21"/>
        <v>0.36950558619552187</v>
      </c>
      <c r="H184">
        <f t="shared" si="21"/>
        <v>0.33936696737601907</v>
      </c>
      <c r="I184">
        <f t="shared" si="21"/>
        <v>0.33678554005274308</v>
      </c>
      <c r="J184">
        <f t="shared" si="21"/>
        <v>0.25847909410498876</v>
      </c>
      <c r="K184">
        <f t="shared" si="21"/>
        <v>0.33238676420847241</v>
      </c>
      <c r="L184">
        <f t="shared" si="21"/>
        <v>0.23816148289046302</v>
      </c>
      <c r="M184">
        <f t="shared" si="21"/>
        <v>0.34095353197320644</v>
      </c>
      <c r="N184">
        <f t="shared" si="21"/>
        <v>0.21309159090289329</v>
      </c>
      <c r="O184">
        <f t="shared" si="21"/>
        <v>0.36646581027306785</v>
      </c>
      <c r="P184">
        <f t="shared" si="21"/>
        <v>0.35710945546886042</v>
      </c>
    </row>
    <row r="185" spans="3:36" x14ac:dyDescent="0.25">
      <c r="D185" s="1">
        <v>41185</v>
      </c>
      <c r="E185">
        <f t="shared" ref="E185:E192" si="22">E163*Y$178/Y$174</f>
        <v>0.36215236642841547</v>
      </c>
      <c r="F185">
        <f t="shared" si="21"/>
        <v>0.35250464549729865</v>
      </c>
      <c r="G185">
        <f t="shared" si="21"/>
        <v>0.36977462151792856</v>
      </c>
      <c r="H185">
        <f t="shared" si="21"/>
        <v>0.34240969721617559</v>
      </c>
      <c r="I185">
        <f t="shared" si="21"/>
        <v>0.34241281370705012</v>
      </c>
      <c r="J185">
        <f t="shared" si="21"/>
        <v>0.38416785637229833</v>
      </c>
      <c r="K185">
        <f t="shared" si="21"/>
        <v>0.32014868576406641</v>
      </c>
      <c r="L185">
        <f t="shared" si="21"/>
        <v>0.33791601007334154</v>
      </c>
      <c r="M185">
        <f t="shared" si="21"/>
        <v>0.33959183662954068</v>
      </c>
      <c r="N185">
        <f t="shared" si="21"/>
        <v>0.3530200732001183</v>
      </c>
      <c r="O185">
        <f t="shared" si="21"/>
        <v>0.36099741401498803</v>
      </c>
      <c r="P185">
        <f t="shared" si="21"/>
        <v>0.35845883926270961</v>
      </c>
    </row>
    <row r="186" spans="3:36" x14ac:dyDescent="0.25">
      <c r="D186" s="1">
        <v>41362</v>
      </c>
      <c r="E186">
        <f t="shared" si="22"/>
        <v>0.32447000527331543</v>
      </c>
      <c r="F186">
        <f t="shared" si="21"/>
        <v>0.30931974508956628</v>
      </c>
      <c r="G186">
        <f t="shared" si="21"/>
        <v>0.31535440227131389</v>
      </c>
      <c r="H186">
        <f t="shared" si="21"/>
        <v>0.32035181068285912</v>
      </c>
      <c r="I186">
        <f t="shared" si="21"/>
        <v>0.29387259921155623</v>
      </c>
      <c r="J186">
        <f t="shared" si="21"/>
        <v>0.16186533525401867</v>
      </c>
      <c r="K186">
        <f t="shared" si="21"/>
        <v>0.34292596295400773</v>
      </c>
      <c r="L186">
        <f t="shared" si="21"/>
        <v>0.29783181691365851</v>
      </c>
      <c r="M186">
        <f t="shared" si="21"/>
        <v>0.34678474471640941</v>
      </c>
      <c r="N186">
        <f t="shared" si="21"/>
        <v>0.2394906987705224</v>
      </c>
      <c r="O186">
        <f t="shared" si="21"/>
        <v>0.32677149527052857</v>
      </c>
      <c r="P186">
        <f t="shared" si="21"/>
        <v>0.32396315514616847</v>
      </c>
    </row>
    <row r="187" spans="3:36" x14ac:dyDescent="0.25">
      <c r="D187" s="1">
        <v>41432</v>
      </c>
      <c r="E187">
        <f t="shared" si="22"/>
        <v>0.3611125419137563</v>
      </c>
      <c r="F187">
        <f t="shared" si="21"/>
        <v>0.35981040904298872</v>
      </c>
      <c r="G187">
        <f t="shared" si="21"/>
        <v>0.38451912627558299</v>
      </c>
      <c r="H187" t="e">
        <f t="shared" si="21"/>
        <v>#N/A</v>
      </c>
      <c r="I187">
        <f t="shared" si="21"/>
        <v>0.37610224186753105</v>
      </c>
      <c r="J187">
        <f t="shared" si="21"/>
        <v>0.51189335887611753</v>
      </c>
      <c r="K187">
        <f t="shared" si="21"/>
        <v>0.36128369695726265</v>
      </c>
      <c r="L187" t="e">
        <f t="shared" si="21"/>
        <v>#N/A</v>
      </c>
      <c r="M187">
        <f t="shared" si="21"/>
        <v>0.41642128933652189</v>
      </c>
      <c r="N187">
        <f t="shared" si="21"/>
        <v>0.34117408139913763</v>
      </c>
      <c r="O187">
        <f t="shared" si="21"/>
        <v>0.39692200475633538</v>
      </c>
      <c r="P187">
        <f t="shared" si="21"/>
        <v>0.40219780219780216</v>
      </c>
    </row>
    <row r="188" spans="3:36" x14ac:dyDescent="0.25">
      <c r="D188" s="1">
        <v>41527</v>
      </c>
      <c r="E188" t="e">
        <f t="shared" si="22"/>
        <v>#N/A</v>
      </c>
      <c r="F188" t="e">
        <f t="shared" si="21"/>
        <v>#N/A</v>
      </c>
      <c r="G188" t="e">
        <f t="shared" si="21"/>
        <v>#N/A</v>
      </c>
      <c r="H188" t="e">
        <f t="shared" si="21"/>
        <v>#N/A</v>
      </c>
      <c r="I188" t="e">
        <f t="shared" si="21"/>
        <v>#N/A</v>
      </c>
      <c r="J188">
        <f t="shared" si="21"/>
        <v>0.3658029454951443</v>
      </c>
      <c r="K188" t="e">
        <f t="shared" si="21"/>
        <v>#N/A</v>
      </c>
      <c r="L188" t="e">
        <f t="shared" si="21"/>
        <v>#N/A</v>
      </c>
      <c r="M188">
        <f t="shared" si="21"/>
        <v>0.32318065716155464</v>
      </c>
      <c r="N188" t="e">
        <f t="shared" si="21"/>
        <v>#N/A</v>
      </c>
      <c r="O188" t="e">
        <f t="shared" si="21"/>
        <v>#N/A</v>
      </c>
      <c r="P188" t="e">
        <f t="shared" si="21"/>
        <v>#N/A</v>
      </c>
    </row>
    <row r="189" spans="3:36" x14ac:dyDescent="0.25">
      <c r="D189" s="1">
        <v>41667</v>
      </c>
      <c r="E189">
        <f t="shared" si="22"/>
        <v>0.2322109525266533</v>
      </c>
      <c r="F189">
        <f t="shared" si="21"/>
        <v>0.29313636543527638</v>
      </c>
      <c r="G189">
        <f t="shared" si="21"/>
        <v>0.30173359714588843</v>
      </c>
      <c r="H189">
        <f t="shared" si="21"/>
        <v>0.3267152848585349</v>
      </c>
      <c r="I189">
        <f t="shared" si="21"/>
        <v>0.30496516011541797</v>
      </c>
      <c r="J189">
        <f t="shared" si="21"/>
        <v>0.26820299317025681</v>
      </c>
      <c r="K189">
        <f t="shared" si="21"/>
        <v>0.29407344344173941</v>
      </c>
      <c r="L189">
        <f t="shared" si="21"/>
        <v>0.2525506427541177</v>
      </c>
      <c r="M189">
        <f t="shared" si="21"/>
        <v>0.26228550519375909</v>
      </c>
      <c r="N189">
        <f t="shared" si="21"/>
        <v>0.24290299174256741</v>
      </c>
      <c r="O189">
        <f t="shared" si="21"/>
        <v>0.28683238271350103</v>
      </c>
      <c r="P189">
        <f t="shared" si="21"/>
        <v>0.28422852936027571</v>
      </c>
    </row>
    <row r="190" spans="3:36" x14ac:dyDescent="0.25">
      <c r="D190" s="1">
        <v>41674</v>
      </c>
      <c r="E190" t="e">
        <f t="shared" si="22"/>
        <v>#N/A</v>
      </c>
      <c r="F190" t="e">
        <f t="shared" si="21"/>
        <v>#N/A</v>
      </c>
      <c r="G190" t="e">
        <f t="shared" si="21"/>
        <v>#N/A</v>
      </c>
      <c r="H190">
        <f t="shared" si="21"/>
        <v>0.32654814285715461</v>
      </c>
      <c r="I190" t="e">
        <f t="shared" si="21"/>
        <v>#N/A</v>
      </c>
      <c r="J190">
        <f t="shared" si="21"/>
        <v>0.17560047362220849</v>
      </c>
      <c r="K190">
        <f t="shared" si="21"/>
        <v>0.27411242353914417</v>
      </c>
      <c r="L190">
        <f t="shared" si="21"/>
        <v>0.24597756235446691</v>
      </c>
      <c r="M190">
        <f t="shared" si="21"/>
        <v>0.23894305265430182</v>
      </c>
      <c r="N190">
        <f t="shared" si="21"/>
        <v>0.26171055853897185</v>
      </c>
      <c r="O190">
        <f t="shared" si="21"/>
        <v>0.33936001755480794</v>
      </c>
      <c r="P190" t="e">
        <f t="shared" si="21"/>
        <v>#N/A</v>
      </c>
    </row>
    <row r="191" spans="3:36" x14ac:dyDescent="0.25">
      <c r="D191" s="1">
        <v>41747</v>
      </c>
      <c r="E191">
        <f t="shared" si="22"/>
        <v>0.21485878724591556</v>
      </c>
      <c r="F191">
        <f t="shared" si="21"/>
        <v>0.33978460581749848</v>
      </c>
      <c r="G191">
        <f t="shared" si="21"/>
        <v>0.1418477250013909</v>
      </c>
      <c r="H191" t="e">
        <f t="shared" si="21"/>
        <v>#N/A</v>
      </c>
      <c r="I191" t="e">
        <f t="shared" si="21"/>
        <v>#N/A</v>
      </c>
      <c r="J191" t="e">
        <f t="shared" si="21"/>
        <v>#N/A</v>
      </c>
      <c r="K191" t="e">
        <f t="shared" si="21"/>
        <v>#N/A</v>
      </c>
      <c r="L191" t="e">
        <f t="shared" si="21"/>
        <v>#N/A</v>
      </c>
      <c r="M191" t="e">
        <f t="shared" si="21"/>
        <v>#N/A</v>
      </c>
      <c r="N191" t="e">
        <f t="shared" si="21"/>
        <v>#N/A</v>
      </c>
      <c r="O191" t="e">
        <f t="shared" si="21"/>
        <v>#N/A</v>
      </c>
      <c r="P191">
        <f t="shared" si="21"/>
        <v>0.23130910806984431</v>
      </c>
      <c r="T191" s="31"/>
    </row>
    <row r="192" spans="3:36" x14ac:dyDescent="0.25">
      <c r="D192" s="1">
        <v>41823</v>
      </c>
      <c r="E192">
        <f t="shared" si="22"/>
        <v>0.37211491260859192</v>
      </c>
      <c r="F192">
        <f t="shared" si="21"/>
        <v>0.36526321885677876</v>
      </c>
      <c r="G192">
        <f t="shared" si="21"/>
        <v>0.39003148498680634</v>
      </c>
      <c r="H192">
        <f t="shared" si="21"/>
        <v>0.36766551156939331</v>
      </c>
      <c r="I192">
        <f t="shared" si="21"/>
        <v>0.37781161326043305</v>
      </c>
      <c r="J192">
        <f t="shared" si="21"/>
        <v>0.46599852066481418</v>
      </c>
      <c r="K192">
        <f t="shared" si="21"/>
        <v>0.39165673420738956</v>
      </c>
      <c r="L192">
        <f t="shared" si="21"/>
        <v>0.34996421397732808</v>
      </c>
      <c r="M192">
        <f t="shared" si="21"/>
        <v>0.44479263155437215</v>
      </c>
      <c r="N192">
        <f t="shared" si="21"/>
        <v>0.35004309789568616</v>
      </c>
      <c r="O192">
        <f t="shared" si="21"/>
        <v>0.4504934394159309</v>
      </c>
      <c r="P192">
        <f t="shared" si="21"/>
        <v>0.35681265351833436</v>
      </c>
      <c r="T192" s="31"/>
    </row>
    <row r="193" spans="2:43" x14ac:dyDescent="0.25">
      <c r="T193" s="31"/>
    </row>
    <row r="194" spans="2:43" x14ac:dyDescent="0.25">
      <c r="T194" s="31"/>
    </row>
    <row r="195" spans="2:43" x14ac:dyDescent="0.25">
      <c r="F195" t="s">
        <v>153</v>
      </c>
      <c r="T195" s="32"/>
      <c r="U195" t="s">
        <v>154</v>
      </c>
    </row>
    <row r="196" spans="2:43" x14ac:dyDescent="0.25">
      <c r="B196" t="s">
        <v>134</v>
      </c>
      <c r="D196" t="s">
        <v>21</v>
      </c>
      <c r="T196" s="31"/>
    </row>
    <row r="197" spans="2:43" x14ac:dyDescent="0.25">
      <c r="B197" t="s">
        <v>37</v>
      </c>
      <c r="C197" t="s">
        <v>22</v>
      </c>
      <c r="D197">
        <v>1</v>
      </c>
      <c r="E197">
        <v>2</v>
      </c>
      <c r="F197">
        <v>3</v>
      </c>
      <c r="G197">
        <v>4</v>
      </c>
      <c r="H197">
        <v>5</v>
      </c>
      <c r="I197">
        <v>6</v>
      </c>
      <c r="J197">
        <v>7</v>
      </c>
      <c r="K197">
        <v>8</v>
      </c>
      <c r="L197">
        <v>9</v>
      </c>
      <c r="M197">
        <v>10</v>
      </c>
      <c r="N197">
        <v>11</v>
      </c>
      <c r="O197">
        <v>12</v>
      </c>
      <c r="S197">
        <v>1</v>
      </c>
      <c r="T197">
        <v>2</v>
      </c>
      <c r="U197">
        <v>3</v>
      </c>
      <c r="V197">
        <v>4</v>
      </c>
      <c r="W197">
        <v>5</v>
      </c>
      <c r="X197">
        <v>6</v>
      </c>
      <c r="Y197">
        <v>7</v>
      </c>
      <c r="Z197">
        <v>8</v>
      </c>
      <c r="AA197">
        <v>9</v>
      </c>
      <c r="AB197">
        <v>10</v>
      </c>
      <c r="AC197">
        <v>11</v>
      </c>
      <c r="AD197">
        <v>12</v>
      </c>
    </row>
    <row r="198" spans="2:43" x14ac:dyDescent="0.25">
      <c r="B198" s="1">
        <v>40836</v>
      </c>
      <c r="C198">
        <v>1</v>
      </c>
      <c r="D198">
        <v>0.192</v>
      </c>
      <c r="E198">
        <v>0.18</v>
      </c>
      <c r="F198">
        <v>0.27</v>
      </c>
      <c r="G198">
        <v>0.314</v>
      </c>
      <c r="H198">
        <v>0.32200000000000001</v>
      </c>
      <c r="I198">
        <v>0.24199999999999999</v>
      </c>
      <c r="J198">
        <v>0.26100000000000001</v>
      </c>
      <c r="K198">
        <v>0.18099999999999999</v>
      </c>
      <c r="L198">
        <v>0.29699999999999999</v>
      </c>
      <c r="M198">
        <v>0.182</v>
      </c>
      <c r="N198">
        <v>0.315</v>
      </c>
      <c r="O198">
        <v>0.29199999999999998</v>
      </c>
      <c r="R198">
        <v>1</v>
      </c>
      <c r="S198" s="5">
        <v>1.3758515614629172</v>
      </c>
      <c r="T198" s="5">
        <v>1.4949014186193199</v>
      </c>
      <c r="U198" s="5">
        <v>1.215145898471234</v>
      </c>
      <c r="V198" s="5">
        <v>1.4502921258813342</v>
      </c>
      <c r="W198" s="5">
        <v>1.4704533285251284</v>
      </c>
      <c r="X198" s="5">
        <v>1.428628420256133</v>
      </c>
      <c r="Y198" s="5">
        <v>1.5546200566856456</v>
      </c>
      <c r="Z198" s="5">
        <v>1.3900404489598561</v>
      </c>
      <c r="AA198" s="5">
        <v>1.4840727259911379</v>
      </c>
      <c r="AB198" s="5">
        <v>1.1610560502114722</v>
      </c>
      <c r="AC198" s="5">
        <v>1.4880824951154701</v>
      </c>
      <c r="AD198" s="5">
        <v>1.3511258537214357</v>
      </c>
      <c r="AE198">
        <f>1-S198/2.65</f>
        <v>0.48081073152342746</v>
      </c>
      <c r="AF198">
        <f t="shared" ref="AF198:AQ202" si="23">1-T198/2.65</f>
        <v>0.4358862571247849</v>
      </c>
      <c r="AG198">
        <f t="shared" si="23"/>
        <v>0.54145437793538331</v>
      </c>
      <c r="AH198">
        <f t="shared" si="23"/>
        <v>0.45271995249760977</v>
      </c>
      <c r="AI198">
        <f t="shared" si="23"/>
        <v>0.44511195149995153</v>
      </c>
      <c r="AJ198">
        <f t="shared" si="23"/>
        <v>0.46089493575240259</v>
      </c>
      <c r="AK198">
        <f t="shared" si="23"/>
        <v>0.41335092200541668</v>
      </c>
      <c r="AL198">
        <f t="shared" si="23"/>
        <v>0.47545643435477125</v>
      </c>
      <c r="AM198">
        <f t="shared" si="23"/>
        <v>0.43997255622975928</v>
      </c>
      <c r="AN198">
        <f t="shared" si="23"/>
        <v>0.56186564142963313</v>
      </c>
      <c r="AO198">
        <f t="shared" si="23"/>
        <v>0.43845943580548297</v>
      </c>
      <c r="AP198">
        <f t="shared" si="23"/>
        <v>0.49014118727492995</v>
      </c>
      <c r="AQ198">
        <f t="shared" si="23"/>
        <v>0.81856198810436698</v>
      </c>
    </row>
    <row r="199" spans="2:43" x14ac:dyDescent="0.25">
      <c r="B199" s="1">
        <v>41037</v>
      </c>
      <c r="C199">
        <v>1</v>
      </c>
      <c r="D199">
        <v>0.37604741252204388</v>
      </c>
      <c r="E199">
        <v>0.32404449912586447</v>
      </c>
      <c r="F199">
        <v>0.31152969833361499</v>
      </c>
      <c r="G199">
        <v>0.36307451560791376</v>
      </c>
      <c r="H199">
        <v>0.33559462016437924</v>
      </c>
      <c r="I199">
        <v>0.39283084646290845</v>
      </c>
      <c r="J199">
        <v>0.3527161031234296</v>
      </c>
      <c r="K199">
        <v>0.35014591748250279</v>
      </c>
      <c r="L199">
        <v>0.34948502561219152</v>
      </c>
      <c r="M199">
        <v>0.31348513355709751</v>
      </c>
      <c r="N199">
        <v>0.36451011320459709</v>
      </c>
      <c r="O199">
        <v>0.36628211305569897</v>
      </c>
      <c r="R199">
        <v>2</v>
      </c>
      <c r="S199" s="5">
        <v>1.4476484884095171</v>
      </c>
      <c r="T199" s="5">
        <v>1.5046411592413584</v>
      </c>
      <c r="U199" s="5">
        <v>1.3990557617115598</v>
      </c>
      <c r="V199" s="5">
        <v>1.6693507336836697</v>
      </c>
      <c r="W199" s="5">
        <v>1.5680167295396312</v>
      </c>
      <c r="X199" s="5">
        <v>1.3724818280997935</v>
      </c>
      <c r="Y199" s="5">
        <v>1.7878307861776574</v>
      </c>
      <c r="Z199" s="5">
        <v>1.408430849803374</v>
      </c>
      <c r="AA199" s="5">
        <v>1.5261779066266612</v>
      </c>
      <c r="AB199" s="5">
        <v>1.0553045256080493</v>
      </c>
      <c r="AC199" s="5">
        <v>1.3957665341813295</v>
      </c>
      <c r="AD199" s="5">
        <v>1.3451479371554795</v>
      </c>
      <c r="AE199">
        <f t="shared" ref="AE199:AE202" si="24">1-S199/2.65</f>
        <v>0.4537175515435784</v>
      </c>
      <c r="AF199">
        <f t="shared" si="23"/>
        <v>0.43221088330514779</v>
      </c>
      <c r="AG199">
        <f t="shared" si="23"/>
        <v>0.47205442954280763</v>
      </c>
      <c r="AH199">
        <f t="shared" si="23"/>
        <v>0.37005632691182277</v>
      </c>
      <c r="AI199">
        <f t="shared" si="23"/>
        <v>0.40829557375862968</v>
      </c>
      <c r="AJ199">
        <f t="shared" si="23"/>
        <v>0.48208232901894588</v>
      </c>
      <c r="AK199">
        <f t="shared" si="23"/>
        <v>0.32534687314050659</v>
      </c>
      <c r="AL199">
        <f t="shared" si="23"/>
        <v>0.46851666045155693</v>
      </c>
      <c r="AM199">
        <f t="shared" si="23"/>
        <v>0.42408380882012786</v>
      </c>
      <c r="AN199">
        <f t="shared" si="23"/>
        <v>0.6017718771290379</v>
      </c>
      <c r="AO199">
        <f t="shared" si="23"/>
        <v>0.47329564747874353</v>
      </c>
      <c r="AP199">
        <f t="shared" si="23"/>
        <v>0.49239700484698878</v>
      </c>
      <c r="AQ199">
        <f t="shared" si="23"/>
        <v>0.82878582960619684</v>
      </c>
    </row>
    <row r="200" spans="2:43" x14ac:dyDescent="0.25">
      <c r="B200" s="1">
        <v>41185</v>
      </c>
      <c r="C200">
        <v>1</v>
      </c>
      <c r="D200">
        <v>8.6240776388951737E-2</v>
      </c>
      <c r="E200">
        <v>9.1415961096720746E-2</v>
      </c>
      <c r="F200">
        <v>9.1719013255322834E-2</v>
      </c>
      <c r="G200" t="e">
        <v>#N/A</v>
      </c>
      <c r="H200">
        <v>9.0712728471630366E-2</v>
      </c>
      <c r="I200">
        <v>8.3972606742989453E-2</v>
      </c>
      <c r="J200">
        <v>0.10802667182149032</v>
      </c>
      <c r="K200">
        <v>8.1959162012901932E-2</v>
      </c>
      <c r="L200">
        <v>0.20634923083111545</v>
      </c>
      <c r="M200">
        <v>7.8748620529310503E-2</v>
      </c>
      <c r="N200">
        <v>0.13247385818979607</v>
      </c>
      <c r="O200">
        <v>6.9204890871760183E-2</v>
      </c>
      <c r="R200">
        <v>3</v>
      </c>
      <c r="S200" s="5">
        <v>1.6669182181244679</v>
      </c>
      <c r="T200" s="5">
        <v>1.6616014580978955</v>
      </c>
      <c r="U200" s="5">
        <v>1.4287654044110631</v>
      </c>
      <c r="V200" s="5">
        <v>1.6581202074580823</v>
      </c>
      <c r="W200" s="5">
        <v>1.704938361176624</v>
      </c>
      <c r="X200" s="5">
        <v>1.4349089631279963</v>
      </c>
      <c r="Y200" s="5">
        <v>1.5888514078017506</v>
      </c>
      <c r="Z200" s="5">
        <v>1.5990282528349367</v>
      </c>
      <c r="AA200" s="5">
        <v>1.6052459275394275</v>
      </c>
      <c r="AB200" s="5">
        <v>1.5776809774069704</v>
      </c>
      <c r="AC200" s="5">
        <v>1.5229619770806453</v>
      </c>
      <c r="AD200" s="5">
        <v>1.4913655013401093</v>
      </c>
      <c r="AE200">
        <f t="shared" si="24"/>
        <v>0.37097425731152156</v>
      </c>
      <c r="AF200">
        <f t="shared" si="23"/>
        <v>0.37298058184985072</v>
      </c>
      <c r="AG200">
        <f t="shared" si="23"/>
        <v>0.46084324361846674</v>
      </c>
      <c r="AH200">
        <f t="shared" si="23"/>
        <v>0.37429426133657273</v>
      </c>
      <c r="AI200">
        <f t="shared" si="23"/>
        <v>0.35662703351825509</v>
      </c>
      <c r="AJ200">
        <f t="shared" si="23"/>
        <v>0.45852491957434094</v>
      </c>
      <c r="AK200">
        <f t="shared" si="23"/>
        <v>0.40043343101820728</v>
      </c>
      <c r="AL200">
        <f t="shared" si="23"/>
        <v>0.39659311213775972</v>
      </c>
      <c r="AM200">
        <f t="shared" si="23"/>
        <v>0.39424681979644238</v>
      </c>
      <c r="AN200">
        <f t="shared" si="23"/>
        <v>0.40464868777095453</v>
      </c>
      <c r="AO200">
        <f t="shared" si="23"/>
        <v>0.42529736713937916</v>
      </c>
      <c r="AP200">
        <f t="shared" si="23"/>
        <v>0.43722056553203426</v>
      </c>
      <c r="AQ200">
        <f t="shared" si="23"/>
        <v>0.86000971422206729</v>
      </c>
    </row>
    <row r="201" spans="2:43" x14ac:dyDescent="0.25">
      <c r="B201" s="1">
        <v>41362</v>
      </c>
      <c r="C201">
        <v>1</v>
      </c>
      <c r="D201">
        <v>0.33532160493060997</v>
      </c>
      <c r="E201">
        <v>0.31906267805527933</v>
      </c>
      <c r="F201">
        <v>0.33609580136055861</v>
      </c>
      <c r="G201">
        <v>0.35940645477626942</v>
      </c>
      <c r="H201">
        <v>0.35560926309777818</v>
      </c>
      <c r="I201">
        <v>0.40508072791867056</v>
      </c>
      <c r="J201">
        <v>0.34718910850032031</v>
      </c>
      <c r="K201">
        <v>0.27729300753757619</v>
      </c>
      <c r="L201">
        <v>0.38509519056464353</v>
      </c>
      <c r="M201">
        <v>0.29214835436377962</v>
      </c>
      <c r="N201">
        <v>0.38188000005849637</v>
      </c>
      <c r="O201">
        <v>0.32785350517505801</v>
      </c>
      <c r="R201">
        <v>4</v>
      </c>
      <c r="S201" s="5">
        <v>1.6857010144345743</v>
      </c>
      <c r="T201" s="5">
        <v>1.7242589106364221</v>
      </c>
      <c r="U201" s="5">
        <v>1.7072606654591924</v>
      </c>
      <c r="V201" s="5">
        <v>1.7192165185581281</v>
      </c>
      <c r="W201" s="5">
        <v>1.7149228704544419</v>
      </c>
      <c r="X201" s="5">
        <v>1.6197056167748796</v>
      </c>
      <c r="Y201" s="5">
        <v>1.6487296183091258</v>
      </c>
      <c r="Z201" s="5">
        <v>1.690433438119016</v>
      </c>
      <c r="AA201" s="5">
        <v>1.6199240686018264</v>
      </c>
      <c r="AB201" s="5">
        <v>1.6850278701633281</v>
      </c>
      <c r="AC201" s="5">
        <v>1.5735293726825132</v>
      </c>
      <c r="AD201" s="5">
        <v>1.6588427690531831</v>
      </c>
      <c r="AE201">
        <f t="shared" si="24"/>
        <v>0.36388640964733043</v>
      </c>
      <c r="AF201">
        <f t="shared" si="23"/>
        <v>0.34933626013719921</v>
      </c>
      <c r="AG201">
        <f t="shared" si="23"/>
        <v>0.35575069227955003</v>
      </c>
      <c r="AH201">
        <f t="shared" si="23"/>
        <v>0.3512390496007064</v>
      </c>
      <c r="AI201">
        <f t="shared" si="23"/>
        <v>0.35285929416813511</v>
      </c>
      <c r="AJ201">
        <f t="shared" si="23"/>
        <v>0.38879033329249824</v>
      </c>
      <c r="AK201">
        <f t="shared" si="23"/>
        <v>0.37783787988334872</v>
      </c>
      <c r="AL201">
        <f t="shared" si="23"/>
        <v>0.36210058938905054</v>
      </c>
      <c r="AM201">
        <f t="shared" si="23"/>
        <v>0.38870789864082023</v>
      </c>
      <c r="AN201">
        <f t="shared" si="23"/>
        <v>0.36414042635346111</v>
      </c>
      <c r="AO201">
        <f t="shared" si="23"/>
        <v>0.40621533106320251</v>
      </c>
      <c r="AP201">
        <f t="shared" si="23"/>
        <v>0.37402159658370449</v>
      </c>
      <c r="AQ201">
        <f t="shared" si="23"/>
        <v>0.86268437371798856</v>
      </c>
    </row>
    <row r="202" spans="2:43" x14ac:dyDescent="0.25">
      <c r="B202" s="1">
        <v>41432</v>
      </c>
      <c r="C202">
        <v>1</v>
      </c>
      <c r="D202">
        <v>0.22188070774091503</v>
      </c>
      <c r="E202">
        <v>0.21595672940360097</v>
      </c>
      <c r="F202">
        <v>0.19552465961873958</v>
      </c>
      <c r="G202">
        <v>0.19485288602566317</v>
      </c>
      <c r="H202">
        <v>0.25025554999719901</v>
      </c>
      <c r="I202">
        <v>0.30563947214425452</v>
      </c>
      <c r="J202">
        <v>0.21550829405952063</v>
      </c>
      <c r="K202">
        <v>0.14568296948399675</v>
      </c>
      <c r="L202">
        <v>0.24106328586355316</v>
      </c>
      <c r="M202">
        <v>0.15439513060908394</v>
      </c>
      <c r="N202">
        <v>0.23312309454302124</v>
      </c>
      <c r="O202">
        <v>0.19641288824452682</v>
      </c>
      <c r="R202">
        <v>5</v>
      </c>
      <c r="S202" s="5">
        <v>1.6803740352793837</v>
      </c>
      <c r="T202" s="5">
        <v>1.7069378630388641</v>
      </c>
      <c r="U202" s="5">
        <v>1.6517011736910341</v>
      </c>
      <c r="V202" s="5">
        <v>1.6841632616062441</v>
      </c>
      <c r="W202" s="5">
        <v>1.709005342281696</v>
      </c>
      <c r="X202" s="5">
        <v>1.6507018550061883</v>
      </c>
      <c r="Y202" s="5">
        <v>1.7178326318327042</v>
      </c>
      <c r="Z202" s="5">
        <v>1.6709491416648803</v>
      </c>
      <c r="AA202" s="5">
        <v>1.6559909341530819</v>
      </c>
      <c r="AB202" s="5">
        <v>1.7021699627019469</v>
      </c>
      <c r="AC202" s="5">
        <v>1.6707985010030511</v>
      </c>
      <c r="AD202" s="5">
        <v>1.6932588463239686</v>
      </c>
      <c r="AE202">
        <f t="shared" si="24"/>
        <v>0.36589659046060996</v>
      </c>
      <c r="AF202">
        <f t="shared" si="23"/>
        <v>0.35587250451363617</v>
      </c>
      <c r="AG202">
        <f t="shared" si="23"/>
        <v>0.37671653822979845</v>
      </c>
      <c r="AH202">
        <f t="shared" si="23"/>
        <v>0.36446669373349283</v>
      </c>
      <c r="AI202">
        <f t="shared" si="23"/>
        <v>0.35509232366728449</v>
      </c>
      <c r="AJ202">
        <f t="shared" si="23"/>
        <v>0.37709363962030629</v>
      </c>
      <c r="AK202">
        <f t="shared" si="23"/>
        <v>0.35176127100652665</v>
      </c>
      <c r="AL202">
        <f t="shared" si="23"/>
        <v>0.36945315408872437</v>
      </c>
      <c r="AM202">
        <f t="shared" si="23"/>
        <v>0.37509776069695022</v>
      </c>
      <c r="AN202">
        <f t="shared" si="23"/>
        <v>0.35767171218794458</v>
      </c>
      <c r="AO202">
        <f t="shared" si="23"/>
        <v>0.36950999962149012</v>
      </c>
      <c r="AP202">
        <f t="shared" si="23"/>
        <v>0.36103439761359668</v>
      </c>
      <c r="AQ202">
        <f t="shared" si="23"/>
        <v>0.86192581492052456</v>
      </c>
    </row>
    <row r="203" spans="2:43" x14ac:dyDescent="0.25">
      <c r="B203" s="1">
        <v>41527</v>
      </c>
      <c r="C203">
        <v>1</v>
      </c>
      <c r="D203">
        <v>0.13521146835079781</v>
      </c>
      <c r="E203">
        <v>0.24000620644894499</v>
      </c>
      <c r="F203">
        <v>0.15033223212955285</v>
      </c>
      <c r="G203">
        <v>0.18874266734779147</v>
      </c>
      <c r="H203">
        <v>0.16477581837849317</v>
      </c>
      <c r="I203">
        <v>0.13050647170769936</v>
      </c>
      <c r="J203">
        <v>0.14893138809170017</v>
      </c>
      <c r="K203">
        <v>0.13037802410897759</v>
      </c>
      <c r="L203">
        <v>0.14981075160635579</v>
      </c>
      <c r="M203">
        <v>0.12290231165267179</v>
      </c>
      <c r="N203">
        <v>0.14424825031901814</v>
      </c>
      <c r="O203">
        <v>0.12207277362919915</v>
      </c>
      <c r="T203" s="31"/>
    </row>
    <row r="204" spans="2:43" x14ac:dyDescent="0.25">
      <c r="B204" s="1">
        <v>41667</v>
      </c>
      <c r="C204">
        <v>1</v>
      </c>
      <c r="D204" t="e">
        <v>#N/A</v>
      </c>
      <c r="E204" t="e">
        <v>#N/A</v>
      </c>
      <c r="F204" t="e">
        <v>#N/A</v>
      </c>
      <c r="G204">
        <v>0.36706314385652411</v>
      </c>
      <c r="H204" t="e">
        <v>#N/A</v>
      </c>
      <c r="I204">
        <v>0.33654089035499607</v>
      </c>
      <c r="J204">
        <v>0.33401571564277277</v>
      </c>
      <c r="K204">
        <v>0.33786872427434561</v>
      </c>
      <c r="L204">
        <v>0.33340402567572797</v>
      </c>
      <c r="M204">
        <v>0.29650168060615645</v>
      </c>
      <c r="N204">
        <v>0.35616255878621156</v>
      </c>
      <c r="O204" t="e">
        <v>#N/A</v>
      </c>
      <c r="S204" t="s">
        <v>155</v>
      </c>
      <c r="T204" s="31"/>
    </row>
    <row r="205" spans="2:43" x14ac:dyDescent="0.25">
      <c r="B205" s="1">
        <v>41674</v>
      </c>
      <c r="C205">
        <v>1</v>
      </c>
      <c r="D205">
        <v>0.35001696314255448</v>
      </c>
      <c r="E205">
        <v>0.34271006992646819</v>
      </c>
      <c r="F205">
        <v>0.32741264966659189</v>
      </c>
      <c r="G205" t="e">
        <v>#N/A</v>
      </c>
      <c r="H205">
        <v>0.34025958544022861</v>
      </c>
      <c r="I205" t="e">
        <v>#N/A</v>
      </c>
      <c r="J205" t="e">
        <v>#N/A</v>
      </c>
      <c r="K205" t="e">
        <v>#N/A</v>
      </c>
      <c r="L205" t="e">
        <v>#N/A</v>
      </c>
      <c r="M205" t="e">
        <v>#N/A</v>
      </c>
      <c r="N205" t="e">
        <v>#N/A</v>
      </c>
      <c r="O205">
        <v>0.32384823372098581</v>
      </c>
      <c r="S205">
        <f>_xlfn.AGGREGATE(4,6,D$198:D$207)/VLOOKUP($C198,$R$198:$AD$202,D$197+1,FALSE)</f>
        <v>0.27331975560081473</v>
      </c>
      <c r="T205">
        <f t="shared" ref="T205:AD205" si="25">_xlfn.AGGREGATE(4,6,E$198:E$207)/VLOOKUP($C198,$R$198:$AD$202,E$197+1,FALSE)</f>
        <v>0.22925262205115352</v>
      </c>
      <c r="U205">
        <f t="shared" si="25"/>
        <v>0.27658884565499353</v>
      </c>
      <c r="V205">
        <f t="shared" si="25"/>
        <v>0.25309600549162603</v>
      </c>
      <c r="W205">
        <f t="shared" si="25"/>
        <v>0.24557365439093462</v>
      </c>
      <c r="X205">
        <f t="shared" si="25"/>
        <v>0.30033118354540689</v>
      </c>
      <c r="Y205">
        <f t="shared" si="25"/>
        <v>0.24903817697543651</v>
      </c>
      <c r="Z205">
        <f t="shared" si="25"/>
        <v>0.25189620758483044</v>
      </c>
      <c r="AA205">
        <f t="shared" si="25"/>
        <v>0.26150531014314315</v>
      </c>
      <c r="AB205">
        <f t="shared" si="25"/>
        <v>0.27</v>
      </c>
      <c r="AC205">
        <f t="shared" si="25"/>
        <v>0.25662555759643135</v>
      </c>
      <c r="AD205">
        <f t="shared" si="25"/>
        <v>0.28934300993124512</v>
      </c>
    </row>
    <row r="206" spans="2:43" x14ac:dyDescent="0.25">
      <c r="B206" s="1">
        <v>41747</v>
      </c>
      <c r="C206">
        <v>1</v>
      </c>
      <c r="D206">
        <v>0.36430355298536377</v>
      </c>
      <c r="E206">
        <v>0.33896790360190066</v>
      </c>
      <c r="F206">
        <v>0.32218299978436193</v>
      </c>
      <c r="G206">
        <v>0.35294064166969125</v>
      </c>
      <c r="H206">
        <v>0.36110459749722934</v>
      </c>
      <c r="I206">
        <v>0.42906166430212939</v>
      </c>
      <c r="J206">
        <v>0.38715974480644294</v>
      </c>
      <c r="K206">
        <v>0.32766589101076171</v>
      </c>
      <c r="L206">
        <v>0.38809289848529244</v>
      </c>
      <c r="M206">
        <v>0.30872561367953766</v>
      </c>
      <c r="N206">
        <v>0.37970644311753926</v>
      </c>
      <c r="O206">
        <v>0.39093882131168339</v>
      </c>
      <c r="S206">
        <f>_xlfn.AGGREGATE(4,6,D$208:D$217)/VLOOKUP($C208,$R$198:$AD$202,D$197+1,FALSE)</f>
        <v>0.24139025551499757</v>
      </c>
      <c r="T206">
        <f t="shared" ref="T206:AD206" si="26">_xlfn.AGGREGATE(4,6,E$208:E$217)/VLOOKUP($C208,$R$198:$AD$202,E$197+1,FALSE)</f>
        <v>0.25758995053374523</v>
      </c>
      <c r="U206">
        <f t="shared" si="26"/>
        <v>0.30792580101180422</v>
      </c>
      <c r="V206">
        <f t="shared" si="26"/>
        <v>0.25158310045799248</v>
      </c>
      <c r="W206">
        <f t="shared" si="26"/>
        <v>0.24008919722497515</v>
      </c>
      <c r="X206">
        <f t="shared" si="26"/>
        <v>0.31731036398999729</v>
      </c>
      <c r="Y206">
        <f t="shared" si="26"/>
        <v>0.23748036991798985</v>
      </c>
      <c r="Z206">
        <f t="shared" si="26"/>
        <v>0.21995994659546045</v>
      </c>
      <c r="AA206">
        <f t="shared" si="26"/>
        <v>0.27729826003562141</v>
      </c>
      <c r="AB206">
        <f t="shared" si="26"/>
        <v>0.26615374497513933</v>
      </c>
      <c r="AC206">
        <f t="shared" si="26"/>
        <v>0.31699126930826066</v>
      </c>
      <c r="AD206">
        <f t="shared" si="26"/>
        <v>0.29474516001580409</v>
      </c>
    </row>
    <row r="207" spans="2:43" x14ac:dyDescent="0.25">
      <c r="B207" s="1">
        <v>41823</v>
      </c>
      <c r="C207">
        <v>1</v>
      </c>
      <c r="D207">
        <v>0.29920801780906636</v>
      </c>
      <c r="E207">
        <v>0.29851402340307681</v>
      </c>
      <c r="F207">
        <v>0.31170634933350333</v>
      </c>
      <c r="G207">
        <v>0.28134089527030509</v>
      </c>
      <c r="H207">
        <v>0.32249146401804524</v>
      </c>
      <c r="I207">
        <v>0.33568466709417272</v>
      </c>
      <c r="J207">
        <v>0.32072940310652093</v>
      </c>
      <c r="K207">
        <v>0.27577882664801695</v>
      </c>
      <c r="L207">
        <v>0.35589213872168152</v>
      </c>
      <c r="M207">
        <v>0.29198620526311414</v>
      </c>
      <c r="N207">
        <v>0.329846305608476</v>
      </c>
      <c r="O207">
        <v>0.30325271268191978</v>
      </c>
      <c r="S207">
        <f>_xlfn.AGGREGATE(4,6,D$218:D$227)/VLOOKUP($C218,$R$198:$AD$202,D$197+1,FALSE)</f>
        <v>0.23544346648612047</v>
      </c>
      <c r="T207">
        <f t="shared" ref="T207:AD207" si="27">_xlfn.AGGREGATE(4,6,E$218:E$227)/VLOOKUP($C218,$R$198:$AD$202,E$197+1,FALSE)</f>
        <v>0.25433715220949232</v>
      </c>
      <c r="U207">
        <f t="shared" si="27"/>
        <v>0.27533664068036867</v>
      </c>
      <c r="V207">
        <f t="shared" si="27"/>
        <v>0.21910256235172618</v>
      </c>
      <c r="W207">
        <f t="shared" si="27"/>
        <v>0.22237521514629954</v>
      </c>
      <c r="X207">
        <f t="shared" si="27"/>
        <v>0.36842891278375128</v>
      </c>
      <c r="Y207">
        <f t="shared" si="27"/>
        <v>0.24370290635091482</v>
      </c>
      <c r="Z207">
        <f t="shared" si="27"/>
        <v>0.20748705694942257</v>
      </c>
      <c r="AA207">
        <f t="shared" si="27"/>
        <v>0.27032590051457994</v>
      </c>
      <c r="AB207">
        <f t="shared" si="27"/>
        <v>0.20886942239255413</v>
      </c>
      <c r="AC207">
        <f t="shared" si="27"/>
        <v>0.30185097294731844</v>
      </c>
      <c r="AD207">
        <f t="shared" si="27"/>
        <v>0.27909897201281575</v>
      </c>
    </row>
    <row r="208" spans="2:43" x14ac:dyDescent="0.25">
      <c r="B208" s="1">
        <v>40836</v>
      </c>
      <c r="C208">
        <v>2</v>
      </c>
      <c r="D208">
        <v>0.13912783476072391</v>
      </c>
      <c r="E208">
        <v>0.17715440329688123</v>
      </c>
      <c r="F208">
        <v>0.36804162316193356</v>
      </c>
      <c r="G208">
        <v>0.31968430542826043</v>
      </c>
      <c r="H208">
        <v>0.3209066182142839</v>
      </c>
      <c r="I208">
        <v>0.20589150007660564</v>
      </c>
      <c r="J208">
        <v>0.32221905067336892</v>
      </c>
      <c r="K208">
        <v>0.12226825348518089</v>
      </c>
      <c r="L208">
        <v>0.31213445192268163</v>
      </c>
      <c r="M208">
        <v>9.4884948754390325E-2</v>
      </c>
      <c r="N208">
        <v>0.33599996810708116</v>
      </c>
      <c r="O208">
        <v>0.28364163962394834</v>
      </c>
      <c r="S208">
        <f>_xlfn.AGGREGATE(4,6,D$228:D$237)/VLOOKUP($C228,$R$198:$AD$202,D$197+1,FALSE)</f>
        <v>0.22364079759001582</v>
      </c>
      <c r="T208">
        <f t="shared" ref="T208:AD208" si="28">_xlfn.AGGREGATE(4,6,E$228:E$237)/VLOOKUP($C228,$R$198:$AD$202,E$197+1,FALSE)</f>
        <v>0.21715328467153286</v>
      </c>
      <c r="U208">
        <f t="shared" si="28"/>
        <v>0.24129391735025524</v>
      </c>
      <c r="V208">
        <f t="shared" si="28"/>
        <v>0.21941188566728326</v>
      </c>
      <c r="W208">
        <f t="shared" si="28"/>
        <v>0.22914349276974394</v>
      </c>
      <c r="X208">
        <f t="shared" si="28"/>
        <v>0.39574816026165166</v>
      </c>
      <c r="Y208">
        <f t="shared" si="28"/>
        <v>0.24294670846394967</v>
      </c>
      <c r="Z208">
        <f t="shared" si="28"/>
        <v>0.20316107263363545</v>
      </c>
      <c r="AA208">
        <f t="shared" si="28"/>
        <v>0.30231276744067748</v>
      </c>
      <c r="AB208">
        <f t="shared" si="28"/>
        <v>0.20590302178496148</v>
      </c>
      <c r="AC208">
        <f t="shared" si="28"/>
        <v>0.30936395759717328</v>
      </c>
      <c r="AD208">
        <f t="shared" si="28"/>
        <v>0.25388457269700332</v>
      </c>
    </row>
    <row r="209" spans="2:33" x14ac:dyDescent="0.25">
      <c r="B209" s="1">
        <v>41037</v>
      </c>
      <c r="C209">
        <v>2</v>
      </c>
      <c r="D209">
        <v>0.34806587996389765</v>
      </c>
      <c r="E209">
        <v>0.3364948813944868</v>
      </c>
      <c r="F209">
        <v>0.41386095213526342</v>
      </c>
      <c r="G209">
        <v>0.37227666685021465</v>
      </c>
      <c r="H209">
        <v>0.35495539476749682</v>
      </c>
      <c r="I209">
        <v>0.39775940055649062</v>
      </c>
      <c r="J209">
        <v>0.39419278974298588</v>
      </c>
      <c r="K209">
        <v>0.30979837450614911</v>
      </c>
      <c r="L209">
        <v>0.34935849705335958</v>
      </c>
      <c r="M209">
        <v>0.27150026061251986</v>
      </c>
      <c r="N209">
        <v>0.35342962883208912</v>
      </c>
      <c r="O209">
        <v>0.39647584398182056</v>
      </c>
      <c r="S209">
        <f>_xlfn.AGGREGATE(4,6,D$238:D$247)/VLOOKUP($C238,$R$198:$AD$202,D$197+1,FALSE)</f>
        <v>0.22220508866615266</v>
      </c>
      <c r="T209">
        <f t="shared" ref="T209:AD209" si="29">_xlfn.AGGREGATE(4,6,E$238:E$247)/VLOOKUP($C238,$R$198:$AD$202,E$197+1,FALSE)</f>
        <v>0.20450341873275443</v>
      </c>
      <c r="U209">
        <f t="shared" si="29"/>
        <v>0.22048080754416244</v>
      </c>
      <c r="V209">
        <f t="shared" si="29"/>
        <v>0.20118710746083202</v>
      </c>
      <c r="W209">
        <f t="shared" si="29"/>
        <v>0.25927077664619402</v>
      </c>
      <c r="X209">
        <f t="shared" si="29"/>
        <v>0.26737130553924437</v>
      </c>
      <c r="Y209">
        <f t="shared" si="29"/>
        <v>0.21000450653447486</v>
      </c>
      <c r="Z209">
        <f t="shared" si="29"/>
        <v>0.20459392945036903</v>
      </c>
      <c r="AA209">
        <f t="shared" si="29"/>
        <v>0.21973412493546696</v>
      </c>
      <c r="AB209">
        <f t="shared" si="29"/>
        <v>0.203349908400942</v>
      </c>
      <c r="AC209">
        <f t="shared" si="29"/>
        <v>0.36610302791977989</v>
      </c>
      <c r="AD209">
        <f t="shared" si="29"/>
        <v>0.24860701409373981</v>
      </c>
    </row>
    <row r="210" spans="2:33" x14ac:dyDescent="0.25">
      <c r="B210" s="1">
        <v>41185</v>
      </c>
      <c r="C210">
        <v>2</v>
      </c>
      <c r="D210">
        <v>0.27540629779498138</v>
      </c>
      <c r="E210">
        <v>0.13060251881379525</v>
      </c>
      <c r="F210">
        <v>0.16102275531037696</v>
      </c>
      <c r="G210">
        <v>0.14147243020353337</v>
      </c>
      <c r="H210">
        <v>0.27336483336551587</v>
      </c>
      <c r="I210">
        <v>0.12579100232769952</v>
      </c>
      <c r="J210">
        <v>0.22581530415976622</v>
      </c>
      <c r="K210">
        <v>0.12068135039361887</v>
      </c>
      <c r="L210">
        <v>0.27674909128406883</v>
      </c>
      <c r="M210">
        <v>9.5412530382844016E-2</v>
      </c>
      <c r="N210">
        <v>0.1401467418595955</v>
      </c>
      <c r="O210" t="e">
        <v>#N/A</v>
      </c>
      <c r="T210" s="32"/>
    </row>
    <row r="211" spans="2:33" x14ac:dyDescent="0.25">
      <c r="B211" s="1">
        <v>41362</v>
      </c>
      <c r="C211">
        <v>2</v>
      </c>
      <c r="D211">
        <v>0.34704322085547945</v>
      </c>
      <c r="E211">
        <v>0.33342810624956326</v>
      </c>
      <c r="F211">
        <v>0.43080536608521192</v>
      </c>
      <c r="G211">
        <v>0.3650946150120723</v>
      </c>
      <c r="H211">
        <v>0.37646387783050106</v>
      </c>
      <c r="I211">
        <v>0.40741377211221003</v>
      </c>
      <c r="J211">
        <v>0.41908537456610884</v>
      </c>
      <c r="K211">
        <v>0.28104102556912436</v>
      </c>
      <c r="L211">
        <v>0.38906714534204384</v>
      </c>
      <c r="M211">
        <v>0.26083490542239762</v>
      </c>
      <c r="N211">
        <v>0.34171628912356539</v>
      </c>
      <c r="O211">
        <v>0.38531091805988171</v>
      </c>
      <c r="S211" t="s">
        <v>156</v>
      </c>
    </row>
    <row r="212" spans="2:33" x14ac:dyDescent="0.25">
      <c r="B212" s="1">
        <v>41432</v>
      </c>
      <c r="C212">
        <v>2</v>
      </c>
      <c r="D212">
        <v>0.26123367345436693</v>
      </c>
      <c r="E212">
        <v>0.24911562262616224</v>
      </c>
      <c r="F212">
        <v>0.30047207903372503</v>
      </c>
      <c r="G212">
        <v>0.26144602053809107</v>
      </c>
      <c r="H212">
        <v>0.30626820501594376</v>
      </c>
      <c r="I212">
        <v>0.34823109120979345</v>
      </c>
      <c r="J212">
        <v>0.30894400887300472</v>
      </c>
      <c r="K212">
        <v>0.15575682047938783</v>
      </c>
      <c r="L212">
        <v>0.28910439411733585</v>
      </c>
      <c r="M212">
        <v>0.13781057508823974</v>
      </c>
      <c r="N212">
        <v>0.24388362919606421</v>
      </c>
      <c r="O212">
        <v>0.24088079933093706</v>
      </c>
      <c r="S212">
        <f t="shared" ref="S212:AD216" si="30">(S205+1/2.65)^-1</f>
        <v>1.5368578954206675</v>
      </c>
      <c r="T212">
        <f t="shared" si="30"/>
        <v>1.6485026060362682</v>
      </c>
      <c r="U212">
        <f t="shared" si="30"/>
        <v>1.5291751255975825</v>
      </c>
      <c r="V212">
        <f t="shared" si="30"/>
        <v>1.5861572980336651</v>
      </c>
      <c r="W212">
        <f t="shared" si="30"/>
        <v>1.6053112816470128</v>
      </c>
      <c r="X212">
        <f t="shared" si="30"/>
        <v>1.4756016480716689</v>
      </c>
      <c r="Y212">
        <f t="shared" si="30"/>
        <v>1.5964325032648568</v>
      </c>
      <c r="Z212">
        <f t="shared" si="30"/>
        <v>1.5891816190464787</v>
      </c>
      <c r="AA212">
        <f t="shared" si="30"/>
        <v>1.5652788573870269</v>
      </c>
      <c r="AB212">
        <f t="shared" si="30"/>
        <v>1.5447391431069657</v>
      </c>
      <c r="AC212">
        <f t="shared" si="30"/>
        <v>1.5773267527761725</v>
      </c>
      <c r="AD212">
        <f t="shared" si="30"/>
        <v>1.4999216279761101</v>
      </c>
    </row>
    <row r="213" spans="2:33" x14ac:dyDescent="0.25">
      <c r="B213" s="1">
        <v>41527</v>
      </c>
      <c r="C213">
        <v>2</v>
      </c>
      <c r="D213">
        <v>0.18289586568726654</v>
      </c>
      <c r="E213">
        <v>0.19171347782595594</v>
      </c>
      <c r="F213">
        <v>0.12292322400592276</v>
      </c>
      <c r="G213">
        <v>0.25026586427497677</v>
      </c>
      <c r="H213">
        <v>0.20222539817957916</v>
      </c>
      <c r="I213">
        <v>0.16599252239883466</v>
      </c>
      <c r="J213">
        <v>0.26664041597022886</v>
      </c>
      <c r="K213">
        <v>0.24327350488067423</v>
      </c>
      <c r="L213">
        <v>0.19132870776163066</v>
      </c>
      <c r="M213">
        <v>8.7322934860235166E-2</v>
      </c>
      <c r="N213" t="e">
        <v>#N/A</v>
      </c>
      <c r="O213">
        <v>0.16826499286135974</v>
      </c>
      <c r="S213">
        <f t="shared" si="30"/>
        <v>1.6161648913774662</v>
      </c>
      <c r="T213">
        <f t="shared" si="30"/>
        <v>1.5749310263175347</v>
      </c>
      <c r="U213">
        <f t="shared" si="30"/>
        <v>1.4592483912005871</v>
      </c>
      <c r="V213">
        <f t="shared" si="30"/>
        <v>1.5899727641986909</v>
      </c>
      <c r="W213">
        <f t="shared" si="30"/>
        <v>1.6195704021139186</v>
      </c>
      <c r="X213">
        <f t="shared" si="30"/>
        <v>1.439534813517878</v>
      </c>
      <c r="Y213">
        <f t="shared" si="30"/>
        <v>1.6264424132410189</v>
      </c>
      <c r="Z213">
        <f t="shared" si="30"/>
        <v>1.6741488924267507</v>
      </c>
      <c r="AA213">
        <f t="shared" si="30"/>
        <v>1.5275180452671644</v>
      </c>
      <c r="AB213">
        <f t="shared" si="30"/>
        <v>1.553972006700115</v>
      </c>
      <c r="AC213">
        <f t="shared" si="30"/>
        <v>1.4401963646981528</v>
      </c>
      <c r="AD213">
        <f t="shared" si="30"/>
        <v>1.487865746800062</v>
      </c>
    </row>
    <row r="214" spans="2:33" x14ac:dyDescent="0.25">
      <c r="B214" s="1">
        <v>41667</v>
      </c>
      <c r="C214">
        <v>2</v>
      </c>
      <c r="D214" t="e">
        <v>#N/A</v>
      </c>
      <c r="E214" t="e">
        <v>#N/A</v>
      </c>
      <c r="F214" t="e">
        <v>#N/A</v>
      </c>
      <c r="G214">
        <v>0.3575231130854799</v>
      </c>
      <c r="H214" t="e">
        <v>#N/A</v>
      </c>
      <c r="I214">
        <v>0.20212201799626248</v>
      </c>
      <c r="J214">
        <v>0.35645868913340983</v>
      </c>
      <c r="K214">
        <v>0.29471431342989329</v>
      </c>
      <c r="L214">
        <v>0.31496782668262013</v>
      </c>
      <c r="M214">
        <v>0.24688881931433926</v>
      </c>
      <c r="N214">
        <v>0.34234573674532442</v>
      </c>
      <c r="O214" t="e">
        <v>#N/A</v>
      </c>
      <c r="S214">
        <f t="shared" si="30"/>
        <v>1.6318485743916866</v>
      </c>
      <c r="T214">
        <f t="shared" si="30"/>
        <v>1.5830408384743999</v>
      </c>
      <c r="U214">
        <f t="shared" si="30"/>
        <v>1.5321088700177212</v>
      </c>
      <c r="V214">
        <f t="shared" si="30"/>
        <v>1.6765554014100452</v>
      </c>
      <c r="W214">
        <f t="shared" si="30"/>
        <v>1.6674067014663516</v>
      </c>
      <c r="X214">
        <f t="shared" si="30"/>
        <v>1.3408646961699622</v>
      </c>
      <c r="Y214">
        <f t="shared" si="30"/>
        <v>1.6101467664294686</v>
      </c>
      <c r="Z214">
        <f t="shared" si="30"/>
        <v>1.7098531471226854</v>
      </c>
      <c r="AA214">
        <f t="shared" si="30"/>
        <v>1.5439618644067792</v>
      </c>
      <c r="AB214">
        <f t="shared" si="30"/>
        <v>1.7058211966625254</v>
      </c>
      <c r="AC214">
        <f t="shared" si="30"/>
        <v>1.4722998628836621</v>
      </c>
      <c r="AD214">
        <f t="shared" si="30"/>
        <v>1.5233279488842435</v>
      </c>
    </row>
    <row r="215" spans="2:33" x14ac:dyDescent="0.25">
      <c r="B215" s="1">
        <v>41674</v>
      </c>
      <c r="C215">
        <v>2</v>
      </c>
      <c r="D215">
        <v>0.31620846709365208</v>
      </c>
      <c r="E215">
        <v>0.35325613176162041</v>
      </c>
      <c r="F215">
        <v>0.27915934599742132</v>
      </c>
      <c r="G215" t="e">
        <v>#N/A</v>
      </c>
      <c r="H215">
        <v>0.27674501044299932</v>
      </c>
      <c r="I215" t="e">
        <v>#N/A</v>
      </c>
      <c r="J215" t="e">
        <v>#N/A</v>
      </c>
      <c r="K215" t="e">
        <v>#N/A</v>
      </c>
      <c r="L215" t="e">
        <v>#N/A</v>
      </c>
      <c r="M215" t="e">
        <v>#N/A</v>
      </c>
      <c r="N215" t="e">
        <v>#N/A</v>
      </c>
      <c r="O215">
        <v>0.26829252006827126</v>
      </c>
      <c r="S215">
        <f t="shared" si="30"/>
        <v>1.6638954815872316</v>
      </c>
      <c r="T215">
        <f t="shared" si="30"/>
        <v>1.6820524700295361</v>
      </c>
      <c r="U215">
        <f t="shared" si="30"/>
        <v>1.6164165647849631</v>
      </c>
      <c r="V215">
        <f t="shared" si="30"/>
        <v>1.675686394341108</v>
      </c>
      <c r="W215">
        <f t="shared" si="30"/>
        <v>1.6487992248598526</v>
      </c>
      <c r="X215">
        <f t="shared" si="30"/>
        <v>1.2934825989782888</v>
      </c>
      <c r="Y215">
        <f t="shared" si="30"/>
        <v>1.6121096543504174</v>
      </c>
      <c r="Z215">
        <f t="shared" si="30"/>
        <v>1.7225948329600804</v>
      </c>
      <c r="AA215">
        <f t="shared" si="30"/>
        <v>1.4712995263809139</v>
      </c>
      <c r="AB215">
        <f t="shared" si="30"/>
        <v>1.7144968060196863</v>
      </c>
      <c r="AC215">
        <f t="shared" si="30"/>
        <v>1.456192385547783</v>
      </c>
      <c r="AD215">
        <f t="shared" si="30"/>
        <v>1.5841758241758244</v>
      </c>
    </row>
    <row r="216" spans="2:33" x14ac:dyDescent="0.25">
      <c r="B216" s="1">
        <v>41747</v>
      </c>
      <c r="C216">
        <v>2</v>
      </c>
      <c r="D216">
        <v>0.34944823851307333</v>
      </c>
      <c r="E216">
        <v>0.3875804417800186</v>
      </c>
      <c r="F216">
        <v>0.42187302479171818</v>
      </c>
      <c r="G216">
        <v>0.38012678890998158</v>
      </c>
      <c r="H216">
        <v>0.36484612045760079</v>
      </c>
      <c r="I216">
        <v>0.43550270844400235</v>
      </c>
      <c r="J216">
        <v>0.42457471645224071</v>
      </c>
      <c r="K216">
        <v>0.30272325945171735</v>
      </c>
      <c r="L216">
        <v>0.42320647801238026</v>
      </c>
      <c r="M216">
        <v>0.25449651610999813</v>
      </c>
      <c r="N216">
        <v>0.44244580532813144</v>
      </c>
      <c r="O216">
        <v>0.36901676617305035</v>
      </c>
      <c r="S216">
        <f t="shared" si="30"/>
        <v>1.6678798289926386</v>
      </c>
      <c r="T216">
        <f t="shared" si="30"/>
        <v>1.7186208342888611</v>
      </c>
      <c r="U216">
        <f t="shared" si="30"/>
        <v>1.6726903085177736</v>
      </c>
      <c r="V216">
        <f t="shared" si="30"/>
        <v>1.7284722300377029</v>
      </c>
      <c r="W216">
        <f t="shared" si="30"/>
        <v>1.5707728995541641</v>
      </c>
      <c r="X216">
        <f t="shared" si="30"/>
        <v>1.5510373586591668</v>
      </c>
      <c r="Y216">
        <f t="shared" si="30"/>
        <v>1.7025246822432614</v>
      </c>
      <c r="Z216">
        <f t="shared" si="30"/>
        <v>1.7183535382012971</v>
      </c>
      <c r="AA216">
        <f t="shared" si="30"/>
        <v>1.6747820589944642</v>
      </c>
      <c r="AB216">
        <f t="shared" si="30"/>
        <v>1.7220346765758798</v>
      </c>
      <c r="AC216">
        <f t="shared" si="30"/>
        <v>1.3450595291558134</v>
      </c>
      <c r="AD216">
        <f t="shared" si="30"/>
        <v>1.5975321204696673</v>
      </c>
    </row>
    <row r="217" spans="2:33" x14ac:dyDescent="0.25">
      <c r="B217" s="1">
        <v>41823</v>
      </c>
      <c r="C217">
        <v>2</v>
      </c>
      <c r="D217">
        <v>0.3026060193263021</v>
      </c>
      <c r="E217">
        <v>0.33364593346874216</v>
      </c>
      <c r="F217">
        <v>0.39433956217841537</v>
      </c>
      <c r="G217">
        <v>0.41998043333196217</v>
      </c>
      <c r="H217">
        <v>0.32641672475458017</v>
      </c>
      <c r="I217">
        <v>0.38387515035280967</v>
      </c>
      <c r="J217">
        <v>0.42030741735437627</v>
      </c>
      <c r="K217">
        <v>0.2767430205506457</v>
      </c>
      <c r="L217">
        <v>0.34523418506688502</v>
      </c>
      <c r="M217">
        <v>0.28087325157979515</v>
      </c>
      <c r="N217">
        <v>0.35447782957369761</v>
      </c>
      <c r="O217">
        <v>0.3295716576726882</v>
      </c>
    </row>
    <row r="218" spans="2:33" x14ac:dyDescent="0.25">
      <c r="B218" s="1">
        <v>40836</v>
      </c>
      <c r="C218">
        <v>3</v>
      </c>
      <c r="D218">
        <v>0.20770952662416886</v>
      </c>
      <c r="E218">
        <v>0.21830263405509409</v>
      </c>
      <c r="F218">
        <v>0.31245272626435855</v>
      </c>
      <c r="G218">
        <v>0.34130398116702149</v>
      </c>
      <c r="H218">
        <v>0.36937901033758908</v>
      </c>
      <c r="I218" t="e">
        <f>NA()</f>
        <v>#N/A</v>
      </c>
      <c r="J218">
        <v>0.34442728847497966</v>
      </c>
      <c r="K218">
        <v>0.18858924891581175</v>
      </c>
      <c r="L218">
        <v>0.37484941136958921</v>
      </c>
      <c r="M218">
        <v>0.15084225273961235</v>
      </c>
      <c r="N218">
        <v>0.374078337216871</v>
      </c>
      <c r="O218">
        <v>0.35596620307719906</v>
      </c>
    </row>
    <row r="219" spans="2:33" x14ac:dyDescent="0.25">
      <c r="B219" s="1">
        <v>41037</v>
      </c>
      <c r="C219">
        <v>3</v>
      </c>
      <c r="D219">
        <v>0.38154600865137928</v>
      </c>
      <c r="E219">
        <v>0.37525952311542748</v>
      </c>
      <c r="F219">
        <v>0.35581718586384775</v>
      </c>
      <c r="G219">
        <v>0.35146176527176543</v>
      </c>
      <c r="H219">
        <v>0.36515299488354774</v>
      </c>
      <c r="I219">
        <v>0.46065343096729033</v>
      </c>
      <c r="J219">
        <v>0.33647606985033479</v>
      </c>
      <c r="K219">
        <v>0.33177766615969817</v>
      </c>
      <c r="L219">
        <v>0.36505879568074739</v>
      </c>
      <c r="M219">
        <v>0.32526370825153328</v>
      </c>
      <c r="N219">
        <v>0.36377782061239272</v>
      </c>
      <c r="O219">
        <v>0.35930709529216043</v>
      </c>
      <c r="U219" t="s">
        <v>157</v>
      </c>
    </row>
    <row r="220" spans="2:33" x14ac:dyDescent="0.25">
      <c r="B220" s="1">
        <v>41185</v>
      </c>
      <c r="C220">
        <v>3</v>
      </c>
      <c r="D220">
        <v>0.20373044946198407</v>
      </c>
      <c r="E220">
        <v>0.23950356175868892</v>
      </c>
      <c r="F220">
        <v>0.16312195718308109</v>
      </c>
      <c r="G220">
        <v>0.22246939557632434</v>
      </c>
      <c r="H220">
        <v>0.17841851641529602</v>
      </c>
      <c r="I220">
        <v>0.15799766824772021</v>
      </c>
      <c r="J220">
        <v>0.30712957197994278</v>
      </c>
      <c r="K220">
        <v>0.23600827438821326</v>
      </c>
      <c r="L220">
        <v>0.34993250323523872</v>
      </c>
      <c r="M220">
        <v>0.1382355156052866</v>
      </c>
      <c r="N220">
        <v>0.19675851046176121</v>
      </c>
      <c r="O220">
        <v>0.12510446116394613</v>
      </c>
      <c r="T220" s="31"/>
      <c r="AF220" s="9" t="s">
        <v>124</v>
      </c>
      <c r="AG220" s="9" t="s">
        <v>125</v>
      </c>
    </row>
    <row r="221" spans="2:33" x14ac:dyDescent="0.25">
      <c r="B221" s="1">
        <v>41362</v>
      </c>
      <c r="C221">
        <v>3</v>
      </c>
      <c r="D221">
        <v>0.38043335772371217</v>
      </c>
      <c r="E221">
        <v>0.37271872271272405</v>
      </c>
      <c r="F221">
        <v>0.3933914667708705</v>
      </c>
      <c r="G221">
        <v>0.3632983861412416</v>
      </c>
      <c r="H221">
        <v>0.37512556598464419</v>
      </c>
      <c r="I221">
        <v>0.50133962140308774</v>
      </c>
      <c r="J221">
        <v>0.38176423081327532</v>
      </c>
      <c r="K221">
        <v>0.3250968825870244</v>
      </c>
      <c r="L221">
        <v>0.43393955090945785</v>
      </c>
      <c r="M221">
        <v>0.32952931447071415</v>
      </c>
      <c r="N221">
        <v>0.379357659545209</v>
      </c>
      <c r="O221">
        <v>0.36316030293415386</v>
      </c>
      <c r="R221">
        <v>1</v>
      </c>
      <c r="S221" s="26">
        <v>1.19008845525405</v>
      </c>
      <c r="T221" s="26">
        <v>1.2610818754711988</v>
      </c>
      <c r="U221" s="26">
        <v>1.2779736674637066</v>
      </c>
      <c r="V221" s="26">
        <v>1.3743876688691443</v>
      </c>
      <c r="W221" s="26">
        <v>1.2202615798818885</v>
      </c>
      <c r="X221" s="26">
        <v>1.3871163801742945</v>
      </c>
      <c r="Y221" s="26">
        <v>1.500403752861234</v>
      </c>
      <c r="Z221" s="26">
        <v>1.2837577707195926</v>
      </c>
      <c r="AA221" s="9">
        <f>0.51*AA198+0.6</f>
        <v>1.3568770902554803</v>
      </c>
      <c r="AB221" s="26">
        <v>1.1666388901434039</v>
      </c>
      <c r="AC221" s="26">
        <v>1.3876874222154809</v>
      </c>
      <c r="AD221" s="26">
        <v>1.3288885126843084</v>
      </c>
      <c r="AF221" s="9" t="s">
        <v>127</v>
      </c>
      <c r="AG221" s="28" t="s">
        <v>128</v>
      </c>
    </row>
    <row r="222" spans="2:33" x14ac:dyDescent="0.25">
      <c r="B222" s="1">
        <v>41432</v>
      </c>
      <c r="C222">
        <v>3</v>
      </c>
      <c r="D222">
        <v>0.32166455545646061</v>
      </c>
      <c r="E222" t="e">
        <v>#N/A</v>
      </c>
      <c r="F222">
        <v>0.31873993443985488</v>
      </c>
      <c r="G222" t="e">
        <v>#N/A</v>
      </c>
      <c r="H222" t="e">
        <v>#N/A</v>
      </c>
      <c r="I222">
        <v>0.41423275221436789</v>
      </c>
      <c r="J222">
        <v>0.31897395686929064</v>
      </c>
      <c r="K222" t="e">
        <v>#N/A</v>
      </c>
      <c r="L222">
        <v>0.36259983932060047</v>
      </c>
      <c r="M222">
        <v>0.22411740527322443</v>
      </c>
      <c r="N222">
        <v>0.32410323378737255</v>
      </c>
      <c r="O222" t="e">
        <v>#N/A</v>
      </c>
      <c r="R222">
        <v>2</v>
      </c>
      <c r="S222" s="26">
        <v>1.4458416068614428</v>
      </c>
      <c r="T222" s="26">
        <v>1.4587913666986656</v>
      </c>
      <c r="U222" s="26">
        <v>1.1529707225769472</v>
      </c>
      <c r="V222" s="26">
        <v>1.4973274941232309</v>
      </c>
      <c r="W222" s="26">
        <v>1.4843593135750022</v>
      </c>
      <c r="X222" s="26">
        <v>1.3965477842093701</v>
      </c>
      <c r="Y222" s="26">
        <v>1.4664543824771641</v>
      </c>
      <c r="Z222" s="26">
        <v>1.4075449486799556</v>
      </c>
      <c r="AA222" s="9">
        <f>0.25*AA199+1.06</f>
        <v>1.4415444766566654</v>
      </c>
      <c r="AB222" s="26">
        <v>1.3180018724797586</v>
      </c>
      <c r="AC222" s="26">
        <v>1.3698561739616666</v>
      </c>
      <c r="AD222" s="26">
        <v>1.1775255303479537</v>
      </c>
      <c r="AF222" s="9" t="s">
        <v>130</v>
      </c>
      <c r="AG222" s="28" t="s">
        <v>131</v>
      </c>
    </row>
    <row r="223" spans="2:33" x14ac:dyDescent="0.25">
      <c r="B223" s="1">
        <v>41527</v>
      </c>
      <c r="C223">
        <v>3</v>
      </c>
      <c r="D223">
        <v>0.24008195330579071</v>
      </c>
      <c r="E223">
        <v>0.24162862278676345</v>
      </c>
      <c r="F223">
        <v>0.20363943918039654</v>
      </c>
      <c r="G223">
        <v>0.2610168333505587</v>
      </c>
      <c r="H223">
        <v>0.27594883405131809</v>
      </c>
      <c r="I223">
        <v>0.19691702494232155</v>
      </c>
      <c r="J223">
        <v>0.25107133175411717</v>
      </c>
      <c r="K223">
        <v>0.22167153071348211</v>
      </c>
      <c r="L223">
        <v>0.26646132291951247</v>
      </c>
      <c r="M223">
        <v>0.18704615963139729</v>
      </c>
      <c r="N223">
        <v>0.23069257162453913</v>
      </c>
      <c r="O223">
        <v>0.25732940159806639</v>
      </c>
      <c r="R223">
        <v>3</v>
      </c>
      <c r="S223" s="26">
        <v>1.5374162243325882</v>
      </c>
      <c r="T223" s="26">
        <v>1.5782128361506047</v>
      </c>
      <c r="U223" s="26">
        <v>1.249734717491499</v>
      </c>
      <c r="V223" s="26">
        <v>1.6398669558877084</v>
      </c>
      <c r="W223" s="26">
        <v>1.5766654964261004</v>
      </c>
      <c r="X223" s="26">
        <v>1.2770342112024005</v>
      </c>
      <c r="Y223" s="26">
        <v>1.4884671321293419</v>
      </c>
      <c r="Z223" s="26">
        <v>1.5106272474695672</v>
      </c>
      <c r="AA223" s="9">
        <f>1.19*AA200-0.4</f>
        <v>1.5102426537719187</v>
      </c>
      <c r="AB223" s="26">
        <v>1.4752963237600472</v>
      </c>
      <c r="AC223" s="26">
        <v>1.4524178006905872</v>
      </c>
      <c r="AD223" s="26">
        <v>1.4228051919833602</v>
      </c>
    </row>
    <row r="224" spans="2:33" x14ac:dyDescent="0.25">
      <c r="B224" s="1">
        <v>41667</v>
      </c>
      <c r="C224">
        <v>3</v>
      </c>
      <c r="D224" t="e">
        <v>#N/A</v>
      </c>
      <c r="E224" t="e">
        <v>#N/A</v>
      </c>
      <c r="F224" t="e">
        <v>#N/A</v>
      </c>
      <c r="G224">
        <v>0.3630695466169423</v>
      </c>
      <c r="H224" t="e">
        <v>#N/A</v>
      </c>
      <c r="I224">
        <v>0.15201106127791089</v>
      </c>
      <c r="J224">
        <v>0.24390815217339382</v>
      </c>
      <c r="K224">
        <v>0.3253457620408039</v>
      </c>
      <c r="L224">
        <v>0.10284133286650428</v>
      </c>
      <c r="M224">
        <v>0.31860380940988153</v>
      </c>
      <c r="N224">
        <v>0.37412377910751476</v>
      </c>
      <c r="O224" t="e">
        <v>#N/A</v>
      </c>
      <c r="R224">
        <v>4</v>
      </c>
      <c r="S224" s="29">
        <f>MIN(S201,S215)</f>
        <v>1.6638954815872316</v>
      </c>
      <c r="T224" s="29">
        <f t="shared" ref="T224:AD224" si="31">MIN(T201,T215)</f>
        <v>1.6820524700295361</v>
      </c>
      <c r="U224" s="29">
        <f t="shared" si="31"/>
        <v>1.6164165647849631</v>
      </c>
      <c r="V224" s="29">
        <f t="shared" si="31"/>
        <v>1.675686394341108</v>
      </c>
      <c r="W224" s="29">
        <f t="shared" si="31"/>
        <v>1.6487992248598526</v>
      </c>
      <c r="X224" s="29">
        <f t="shared" si="31"/>
        <v>1.2934825989782888</v>
      </c>
      <c r="Y224" s="29">
        <f t="shared" si="31"/>
        <v>1.6121096543504174</v>
      </c>
      <c r="Z224" s="29">
        <f t="shared" si="31"/>
        <v>1.690433438119016</v>
      </c>
      <c r="AA224" s="29">
        <f t="shared" si="31"/>
        <v>1.4712995263809139</v>
      </c>
      <c r="AB224" s="29">
        <f t="shared" si="31"/>
        <v>1.6850278701633281</v>
      </c>
      <c r="AC224" s="29">
        <f t="shared" si="31"/>
        <v>1.456192385547783</v>
      </c>
      <c r="AD224" s="29">
        <f t="shared" si="31"/>
        <v>1.5841758241758244</v>
      </c>
    </row>
    <row r="225" spans="2:30" x14ac:dyDescent="0.25">
      <c r="B225" s="1">
        <v>41674</v>
      </c>
      <c r="C225">
        <v>3</v>
      </c>
      <c r="D225">
        <v>0.27178568683399867</v>
      </c>
      <c r="E225">
        <v>0.37426207626930424</v>
      </c>
      <c r="F225">
        <v>0.19942696021647036</v>
      </c>
      <c r="G225" t="e">
        <v>#N/A</v>
      </c>
      <c r="H225" t="e">
        <v>#N/A</v>
      </c>
      <c r="I225" t="e">
        <v>#N/A</v>
      </c>
      <c r="J225" t="e">
        <v>#N/A</v>
      </c>
      <c r="K225" t="e">
        <v>#N/A</v>
      </c>
      <c r="L225" t="e">
        <v>#N/A</v>
      </c>
      <c r="M225" t="e">
        <v>#N/A</v>
      </c>
      <c r="N225" t="e">
        <v>#N/A</v>
      </c>
      <c r="O225">
        <v>0.16772359946222265</v>
      </c>
      <c r="R225">
        <v>5</v>
      </c>
      <c r="S225" s="29">
        <f>MIN(S216,S202)</f>
        <v>1.6678798289926386</v>
      </c>
      <c r="T225" s="29">
        <f t="shared" ref="T225:AD225" si="32">MIN(T216,T202)</f>
        <v>1.7069378630388641</v>
      </c>
      <c r="U225" s="29">
        <f t="shared" si="32"/>
        <v>1.6517011736910341</v>
      </c>
      <c r="V225" s="29">
        <f t="shared" si="32"/>
        <v>1.6841632616062441</v>
      </c>
      <c r="W225" s="29">
        <f t="shared" si="32"/>
        <v>1.5707728995541641</v>
      </c>
      <c r="X225" s="29">
        <f t="shared" si="32"/>
        <v>1.5510373586591668</v>
      </c>
      <c r="Y225" s="29">
        <f t="shared" si="32"/>
        <v>1.7025246822432614</v>
      </c>
      <c r="Z225" s="29">
        <f t="shared" si="32"/>
        <v>1.6709491416648803</v>
      </c>
      <c r="AA225" s="29">
        <f t="shared" si="32"/>
        <v>1.6559909341530819</v>
      </c>
      <c r="AB225" s="29">
        <f t="shared" si="32"/>
        <v>1.7021699627019469</v>
      </c>
      <c r="AC225" s="29">
        <f t="shared" si="32"/>
        <v>1.3450595291558134</v>
      </c>
      <c r="AD225" s="29">
        <f t="shared" si="32"/>
        <v>1.5975321204696673</v>
      </c>
    </row>
    <row r="226" spans="2:30" x14ac:dyDescent="0.25">
      <c r="B226" s="1">
        <v>41747</v>
      </c>
      <c r="C226">
        <v>3</v>
      </c>
      <c r="D226">
        <v>0.39246500362409181</v>
      </c>
      <c r="E226">
        <v>0.42260698295975879</v>
      </c>
      <c r="F226">
        <v>0.37266162136226938</v>
      </c>
      <c r="G226">
        <v>0.35142928714788618</v>
      </c>
      <c r="H226">
        <v>0.3791360348778311</v>
      </c>
      <c r="I226">
        <v>0.52866194922890752</v>
      </c>
      <c r="J226">
        <v>0.3872077058410292</v>
      </c>
      <c r="K226">
        <v>0.30755944789289563</v>
      </c>
      <c r="L226">
        <v>0.43340021152699743</v>
      </c>
      <c r="M226">
        <v>0.29989221198231641</v>
      </c>
      <c r="N226">
        <v>0.45970755454356449</v>
      </c>
      <c r="O226">
        <v>0.41623857831940209</v>
      </c>
      <c r="T226" s="31"/>
    </row>
    <row r="227" spans="2:30" x14ac:dyDescent="0.25">
      <c r="B227" s="1">
        <v>41823</v>
      </c>
      <c r="C227">
        <v>3</v>
      </c>
      <c r="D227">
        <v>0.34721919264731521</v>
      </c>
      <c r="E227">
        <v>0.34515923191740366</v>
      </c>
      <c r="F227">
        <v>0.35568355901771898</v>
      </c>
      <c r="G227">
        <v>0.35694431538475574</v>
      </c>
      <c r="H227">
        <v>0.36316267810983294</v>
      </c>
      <c r="I227">
        <v>0.37621110698558419</v>
      </c>
      <c r="J227">
        <v>0.33590574206437013</v>
      </c>
      <c r="K227">
        <v>0.30233280634556053</v>
      </c>
      <c r="L227">
        <v>0.40922323641965042</v>
      </c>
      <c r="M227">
        <v>0.31128561488317458</v>
      </c>
      <c r="N227">
        <v>0.35424004883185106</v>
      </c>
      <c r="O227">
        <v>0.33583745589706515</v>
      </c>
      <c r="T227" s="31"/>
      <c r="Y227" s="27" t="s">
        <v>123</v>
      </c>
    </row>
    <row r="228" spans="2:30" x14ac:dyDescent="0.25">
      <c r="B228" s="1">
        <v>40836</v>
      </c>
      <c r="C228">
        <v>4</v>
      </c>
      <c r="D228">
        <v>0.25567020358338416</v>
      </c>
      <c r="E228">
        <v>0.32832049211652525</v>
      </c>
      <c r="F228">
        <v>0.39027214068607285</v>
      </c>
      <c r="G228">
        <v>0.34818286890444328</v>
      </c>
      <c r="H228">
        <v>0.35029202850570967</v>
      </c>
      <c r="I228">
        <v>0.32366886177783066</v>
      </c>
      <c r="J228">
        <v>0.33993711371033092</v>
      </c>
      <c r="K228">
        <v>0.23371493205876714</v>
      </c>
      <c r="L228">
        <v>0.37539523585437912</v>
      </c>
      <c r="M228">
        <v>0.20942895216142776</v>
      </c>
      <c r="N228">
        <v>0.39599487146861451</v>
      </c>
      <c r="O228">
        <v>0.37394109222265909</v>
      </c>
      <c r="T228" s="31"/>
      <c r="Y228" s="9" t="s">
        <v>126</v>
      </c>
    </row>
    <row r="229" spans="2:30" x14ac:dyDescent="0.25">
      <c r="B229" s="1">
        <v>41037</v>
      </c>
      <c r="C229">
        <v>4</v>
      </c>
      <c r="D229">
        <v>0.36689841292549757</v>
      </c>
      <c r="E229">
        <v>0.36134977170407623</v>
      </c>
      <c r="F229">
        <v>0.39055629604154907</v>
      </c>
      <c r="G229">
        <v>0.35130464122435506</v>
      </c>
      <c r="H229">
        <v>0.35614497903029352</v>
      </c>
      <c r="I229">
        <v>0.4810569815489425</v>
      </c>
      <c r="J229">
        <v>0.32742104053377469</v>
      </c>
      <c r="K229">
        <v>0.33160701040891621</v>
      </c>
      <c r="L229">
        <v>0.37389598772593508</v>
      </c>
      <c r="M229">
        <v>0.34695233025850697</v>
      </c>
      <c r="N229">
        <v>0.39008584308819289</v>
      </c>
      <c r="O229">
        <v>0.37535407651073127</v>
      </c>
      <c r="T229" s="31"/>
      <c r="Y229" s="29" t="s">
        <v>129</v>
      </c>
    </row>
    <row r="230" spans="2:30" x14ac:dyDescent="0.25">
      <c r="B230" s="1">
        <v>41185</v>
      </c>
      <c r="C230">
        <v>4</v>
      </c>
      <c r="D230">
        <v>0.32872222029298453</v>
      </c>
      <c r="E230">
        <v>0.31708126601847686</v>
      </c>
      <c r="F230">
        <v>0.33307761031812566</v>
      </c>
      <c r="G230">
        <v>0.3286737461949365</v>
      </c>
      <c r="H230">
        <v>0.30565810184113046</v>
      </c>
      <c r="I230">
        <v>0.20268861203016739</v>
      </c>
      <c r="J230">
        <v>0.35071571619442315</v>
      </c>
      <c r="K230">
        <v>0.2922712019177735</v>
      </c>
      <c r="L230">
        <v>0.38181549339030563</v>
      </c>
      <c r="M230">
        <v>0.23537430962620698</v>
      </c>
      <c r="N230">
        <v>0.35310207021178625</v>
      </c>
      <c r="O230">
        <v>0.33923250762488011</v>
      </c>
      <c r="T230" s="32"/>
    </row>
    <row r="231" spans="2:30" x14ac:dyDescent="0.25">
      <c r="B231" s="1">
        <v>41362</v>
      </c>
      <c r="C231">
        <v>4</v>
      </c>
      <c r="D231">
        <v>0.36584496139648515</v>
      </c>
      <c r="E231">
        <v>0.36883885311925801</v>
      </c>
      <c r="F231">
        <v>0.40612945555551883</v>
      </c>
      <c r="G231" t="e">
        <v>#N/A</v>
      </c>
      <c r="H231">
        <v>0.39118549213452031</v>
      </c>
      <c r="I231">
        <v>0.64099551800412236</v>
      </c>
      <c r="J231">
        <v>0.36949045629633187</v>
      </c>
      <c r="K231" t="e">
        <v>#N/A</v>
      </c>
      <c r="L231">
        <v>0.45848643133443995</v>
      </c>
      <c r="M231">
        <v>0.33530994850294166</v>
      </c>
      <c r="N231">
        <v>0.42890516345693919</v>
      </c>
      <c r="O231">
        <v>0.42115458759258112</v>
      </c>
      <c r="T231" s="31"/>
    </row>
    <row r="232" spans="2:30" x14ac:dyDescent="0.25">
      <c r="B232" s="1">
        <v>41432</v>
      </c>
      <c r="C232">
        <v>4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>
        <v>0.45806034493180325</v>
      </c>
      <c r="J232" t="e">
        <v>#N/A</v>
      </c>
      <c r="K232" t="e">
        <v>#N/A</v>
      </c>
      <c r="L232">
        <v>0.35582701934957195</v>
      </c>
      <c r="M232" t="e">
        <v>#N/A</v>
      </c>
      <c r="N232" t="e">
        <v>#N/A</v>
      </c>
      <c r="O232" t="e">
        <v>#N/A</v>
      </c>
      <c r="T232" s="31"/>
    </row>
    <row r="233" spans="2:30" x14ac:dyDescent="0.25">
      <c r="B233" s="1">
        <v>41527</v>
      </c>
      <c r="C233">
        <v>4</v>
      </c>
      <c r="D233">
        <v>0.23525410253749568</v>
      </c>
      <c r="E233">
        <v>0.30049180934556374</v>
      </c>
      <c r="F233">
        <v>0.3186913033913481</v>
      </c>
      <c r="G233">
        <v>0.33520252744850848</v>
      </c>
      <c r="H233">
        <v>0.31719552016297503</v>
      </c>
      <c r="I233">
        <v>0.33584517860297186</v>
      </c>
      <c r="J233">
        <v>0.30075348463558055</v>
      </c>
      <c r="K233">
        <v>0.24783544171927976</v>
      </c>
      <c r="L233">
        <v>0.28878049308823006</v>
      </c>
      <c r="M233">
        <v>0.23872795177874437</v>
      </c>
      <c r="N233">
        <v>0.30994474611706163</v>
      </c>
      <c r="O233">
        <v>0.29762507007907985</v>
      </c>
      <c r="T233" s="31"/>
    </row>
    <row r="234" spans="2:30" x14ac:dyDescent="0.25">
      <c r="B234" s="1">
        <v>41667</v>
      </c>
      <c r="C234">
        <v>4</v>
      </c>
      <c r="D234" t="e">
        <v>#N/A</v>
      </c>
      <c r="E234" t="e">
        <v>#N/A</v>
      </c>
      <c r="F234" t="e">
        <v>#N/A</v>
      </c>
      <c r="G234">
        <v>0.3350310435176917</v>
      </c>
      <c r="H234" t="e">
        <v>#N/A</v>
      </c>
      <c r="I234">
        <v>0.21988782350754624</v>
      </c>
      <c r="J234">
        <v>0.28033903910685654</v>
      </c>
      <c r="K234">
        <v>0.24138508282674739</v>
      </c>
      <c r="L234">
        <v>0.26308008334102201</v>
      </c>
      <c r="M234">
        <v>0.25721225230973993</v>
      </c>
      <c r="N234">
        <v>0.36670494972796397</v>
      </c>
      <c r="O234" t="e">
        <v>#N/A</v>
      </c>
      <c r="T234" s="31"/>
    </row>
    <row r="235" spans="2:30" x14ac:dyDescent="0.25">
      <c r="B235" s="1">
        <v>41674</v>
      </c>
      <c r="C235">
        <v>4</v>
      </c>
      <c r="D235">
        <v>0.21767453522688962</v>
      </c>
      <c r="E235">
        <v>0.34831055791477089</v>
      </c>
      <c r="F235">
        <v>0.14981969787717681</v>
      </c>
      <c r="G235" t="e">
        <v>#N/A</v>
      </c>
      <c r="H235" t="e">
        <v>#N/A</v>
      </c>
      <c r="I235" t="e">
        <v>#N/A</v>
      </c>
      <c r="J235" t="e">
        <v>#N/A</v>
      </c>
      <c r="K235" t="e">
        <v>#N/A</v>
      </c>
      <c r="L235" t="e">
        <v>#N/A</v>
      </c>
      <c r="M235" t="e">
        <v>#N/A</v>
      </c>
      <c r="N235" t="e">
        <v>#N/A</v>
      </c>
      <c r="O235">
        <v>0.24221139818077156</v>
      </c>
      <c r="T235" s="32"/>
    </row>
    <row r="236" spans="2:30" x14ac:dyDescent="0.25">
      <c r="B236" s="1">
        <v>41747</v>
      </c>
      <c r="C236">
        <v>4</v>
      </c>
      <c r="D236">
        <v>0.37699151936644698</v>
      </c>
      <c r="E236">
        <v>0.37442848606885809</v>
      </c>
      <c r="F236">
        <v>0.41195161390665214</v>
      </c>
      <c r="G236">
        <v>0.37721653820718076</v>
      </c>
      <c r="H236">
        <v>0.39296341636664595</v>
      </c>
      <c r="I236">
        <v>0.58352576364442721</v>
      </c>
      <c r="J236">
        <v>0.40055343391522619</v>
      </c>
      <c r="K236">
        <v>0.34343027050402353</v>
      </c>
      <c r="L236">
        <v>0.48972372822277999</v>
      </c>
      <c r="M236">
        <v>0.34402652349167973</v>
      </c>
      <c r="N236">
        <v>0.48679327412845974</v>
      </c>
      <c r="O236">
        <v>0.37363030110846746</v>
      </c>
      <c r="T236" s="31"/>
    </row>
    <row r="237" spans="2:30" x14ac:dyDescent="0.25">
      <c r="B237" s="1">
        <v>41823</v>
      </c>
      <c r="C237">
        <v>4</v>
      </c>
      <c r="D237">
        <v>0.35074567332114204</v>
      </c>
      <c r="E237">
        <v>0.37147196201389954</v>
      </c>
      <c r="F237">
        <v>0.37523016343497984</v>
      </c>
      <c r="G237">
        <v>0.3423921417464324</v>
      </c>
      <c r="H237">
        <v>0.33731151649472907</v>
      </c>
      <c r="I237">
        <v>0.40449148005141317</v>
      </c>
      <c r="J237">
        <v>0.34325188312770366</v>
      </c>
      <c r="K237">
        <v>0.33132246933056542</v>
      </c>
      <c r="L237">
        <v>0.3548565227268029</v>
      </c>
      <c r="M237">
        <v>0.33041833065718057</v>
      </c>
      <c r="N237">
        <v>0.38283484540257673</v>
      </c>
      <c r="O237">
        <v>0.35010437902936481</v>
      </c>
      <c r="T237" s="31"/>
    </row>
    <row r="238" spans="2:30" x14ac:dyDescent="0.25">
      <c r="B238" s="1">
        <v>40836</v>
      </c>
      <c r="C238">
        <v>5</v>
      </c>
      <c r="D238">
        <v>0.30829125097846322</v>
      </c>
      <c r="E238">
        <v>0.33390171165297278</v>
      </c>
      <c r="F238">
        <v>0.3183317908280428</v>
      </c>
      <c r="G238">
        <v>0.33883193509436077</v>
      </c>
      <c r="H238">
        <v>0.44309514238586994</v>
      </c>
      <c r="I238">
        <v>0.38176121104932004</v>
      </c>
      <c r="J238">
        <v>0.35404426749256679</v>
      </c>
      <c r="K238">
        <v>0.23176207253219369</v>
      </c>
      <c r="L238">
        <v>0.36387771881719394</v>
      </c>
      <c r="M238">
        <v>0.24794599359333272</v>
      </c>
      <c r="N238">
        <v>0.35521192707881521</v>
      </c>
      <c r="O238">
        <v>0.33826363487387839</v>
      </c>
      <c r="T238" s="31"/>
    </row>
    <row r="239" spans="2:30" x14ac:dyDescent="0.25">
      <c r="B239" s="1">
        <v>41037</v>
      </c>
      <c r="C239">
        <v>5</v>
      </c>
      <c r="D239">
        <v>0.35703721956841639</v>
      </c>
      <c r="E239">
        <v>0.34530406483654258</v>
      </c>
      <c r="F239" t="e">
        <v>#N/A</v>
      </c>
      <c r="G239" t="e">
        <v>#N/A</v>
      </c>
      <c r="H239" t="e">
        <v>#N/A</v>
      </c>
      <c r="I239">
        <v>0.41836830893719185</v>
      </c>
      <c r="J239" t="e">
        <v>#N/A</v>
      </c>
      <c r="K239">
        <v>0.32723466643317695</v>
      </c>
      <c r="L239" t="e">
        <v>#N/A</v>
      </c>
      <c r="M239">
        <v>0.34613610599827577</v>
      </c>
      <c r="N239" t="e">
        <v>#N/A</v>
      </c>
      <c r="O239" t="e">
        <v>#N/A</v>
      </c>
      <c r="T239" s="31"/>
    </row>
    <row r="240" spans="2:30" x14ac:dyDescent="0.25">
      <c r="B240" s="1">
        <v>41185</v>
      </c>
      <c r="C240">
        <v>5</v>
      </c>
      <c r="D240">
        <v>0.15565779627612689</v>
      </c>
      <c r="E240">
        <v>0.30134094678502615</v>
      </c>
      <c r="F240">
        <v>0.29437914589328801</v>
      </c>
      <c r="G240">
        <v>0.32211859312893937</v>
      </c>
      <c r="H240">
        <v>0.29408637947229516</v>
      </c>
      <c r="I240">
        <v>0.30257177228526072</v>
      </c>
      <c r="J240">
        <v>0.3607525941568453</v>
      </c>
      <c r="K240">
        <v>0.26786786875917451</v>
      </c>
      <c r="L240">
        <v>0.36103586131986126</v>
      </c>
      <c r="M240">
        <v>0.27845404209126895</v>
      </c>
      <c r="N240">
        <v>0.32646062871184689</v>
      </c>
      <c r="O240">
        <v>0.32570410851437642</v>
      </c>
      <c r="T240" s="32"/>
    </row>
    <row r="241" spans="2:31" x14ac:dyDescent="0.25">
      <c r="B241" s="1">
        <v>41362</v>
      </c>
      <c r="C241">
        <v>5</v>
      </c>
      <c r="D241" t="e">
        <v>#N/A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K241" t="e">
        <v>#N/A</v>
      </c>
      <c r="L241" t="e">
        <v>#N/A</v>
      </c>
      <c r="M241" t="e">
        <v>#N/A</v>
      </c>
      <c r="N241" t="e">
        <v>#N/A</v>
      </c>
      <c r="O241" t="e">
        <v>#N/A</v>
      </c>
      <c r="T241" s="31"/>
    </row>
    <row r="242" spans="2:31" x14ac:dyDescent="0.25">
      <c r="B242" s="1">
        <v>41432</v>
      </c>
      <c r="C242">
        <v>5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 t="e">
        <v>#N/A</v>
      </c>
      <c r="L242" t="e">
        <v>#N/A</v>
      </c>
      <c r="M242" t="e">
        <v>#N/A</v>
      </c>
      <c r="N242" t="e">
        <v>#N/A</v>
      </c>
      <c r="O242" t="e">
        <v>#N/A</v>
      </c>
      <c r="T242" s="31"/>
    </row>
    <row r="243" spans="2:31" x14ac:dyDescent="0.25">
      <c r="B243" s="1">
        <v>41527</v>
      </c>
      <c r="C243">
        <v>5</v>
      </c>
      <c r="D243">
        <v>0.27060707241145243</v>
      </c>
      <c r="E243">
        <v>0.32844194531021786</v>
      </c>
      <c r="F243">
        <v>0.36416840859704008</v>
      </c>
      <c r="G243">
        <v>0.33788601399557533</v>
      </c>
      <c r="H243">
        <v>0.34430694139223555</v>
      </c>
      <c r="I243">
        <v>0.37448642178020464</v>
      </c>
      <c r="J243">
        <v>0.3335299048689489</v>
      </c>
      <c r="K243">
        <v>0.24796689454548079</v>
      </c>
      <c r="L243">
        <v>0.33668804347342335</v>
      </c>
      <c r="M243">
        <v>0.24717739017175422</v>
      </c>
      <c r="N243">
        <v>0.34465879537856525</v>
      </c>
      <c r="O243">
        <v>0.34568159669334753</v>
      </c>
      <c r="T243" s="31"/>
    </row>
    <row r="244" spans="2:31" x14ac:dyDescent="0.25">
      <c r="B244" s="1">
        <v>41667</v>
      </c>
      <c r="C244">
        <v>5</v>
      </c>
      <c r="D244" t="e">
        <v>#N/A</v>
      </c>
      <c r="E244" t="e">
        <v>#N/A</v>
      </c>
      <c r="F244" t="e">
        <v>#N/A</v>
      </c>
      <c r="G244">
        <v>0.30554832018145778</v>
      </c>
      <c r="H244" t="e">
        <v>#N/A</v>
      </c>
      <c r="I244">
        <v>0.31737011439240231</v>
      </c>
      <c r="J244">
        <v>0.31382329720106417</v>
      </c>
      <c r="K244">
        <v>0.24347875161316479</v>
      </c>
      <c r="L244">
        <v>0.30384481971396887</v>
      </c>
      <c r="M244">
        <v>0.24683143127780496</v>
      </c>
      <c r="N244">
        <v>0.3505378251785205</v>
      </c>
      <c r="O244" t="e">
        <v>#N/A</v>
      </c>
      <c r="T244" s="31"/>
    </row>
    <row r="245" spans="2:31" x14ac:dyDescent="0.25">
      <c r="B245" s="1">
        <v>41674</v>
      </c>
      <c r="C245">
        <v>5</v>
      </c>
      <c r="D245">
        <v>0.23737194561743902</v>
      </c>
      <c r="E245">
        <v>0.30811730864743286</v>
      </c>
      <c r="F245">
        <v>0.31304686677170235</v>
      </c>
      <c r="G245" t="e">
        <v>#N/A</v>
      </c>
      <c r="H245" t="e">
        <v>#N/A</v>
      </c>
      <c r="I245" t="e">
        <v>#N/A</v>
      </c>
      <c r="J245" t="e">
        <v>#N/A</v>
      </c>
      <c r="K245" t="e">
        <v>#N/A</v>
      </c>
      <c r="L245" t="e">
        <v>#N/A</v>
      </c>
      <c r="M245" t="e">
        <v>#N/A</v>
      </c>
      <c r="N245" t="e">
        <v>#N/A</v>
      </c>
      <c r="O245">
        <v>0.30143746471550148</v>
      </c>
      <c r="T245" s="32"/>
    </row>
    <row r="246" spans="2:31" x14ac:dyDescent="0.25">
      <c r="B246" s="1">
        <v>41747</v>
      </c>
      <c r="C246">
        <v>5</v>
      </c>
      <c r="D246">
        <v>0.37338766150155617</v>
      </c>
      <c r="E246" t="e">
        <v>#N/A</v>
      </c>
      <c r="F246" t="e">
        <v>#N/A</v>
      </c>
      <c r="G246" t="e">
        <v>#N/A</v>
      </c>
      <c r="H246" t="e">
        <v>#N/A</v>
      </c>
      <c r="I246">
        <v>0.441350310029057</v>
      </c>
      <c r="J246" t="e">
        <v>#N/A</v>
      </c>
      <c r="K246">
        <v>0.3418660508049392</v>
      </c>
      <c r="L246" t="e">
        <v>#N/A</v>
      </c>
      <c r="M246">
        <v>0.34355724017837441</v>
      </c>
      <c r="N246">
        <v>0.61168439026104637</v>
      </c>
      <c r="O246">
        <v>0.42095602587241249</v>
      </c>
      <c r="T246" s="31"/>
    </row>
    <row r="247" spans="2:31" x14ac:dyDescent="0.25">
      <c r="B247" s="1">
        <v>41823</v>
      </c>
      <c r="C247">
        <v>5</v>
      </c>
      <c r="D247">
        <v>0.36548928084402071</v>
      </c>
      <c r="E247">
        <v>0.34907462855582988</v>
      </c>
      <c r="F247">
        <v>0.35219021994987515</v>
      </c>
      <c r="G247">
        <v>0.33191939234718149</v>
      </c>
      <c r="H247">
        <v>0.33269315105237068</v>
      </c>
      <c r="I247">
        <v>0.36227565196178713</v>
      </c>
      <c r="J247">
        <v>0.35257503932742473</v>
      </c>
      <c r="K247">
        <v>0.322919942122527</v>
      </c>
      <c r="L247">
        <v>0.33961899121485423</v>
      </c>
      <c r="M247">
        <v>0.33678950770073807</v>
      </c>
      <c r="N247">
        <v>0.33768501034528853</v>
      </c>
      <c r="O247">
        <v>0.31219950920804013</v>
      </c>
      <c r="T247" s="31"/>
    </row>
    <row r="248" spans="2:31" x14ac:dyDescent="0.25">
      <c r="T248" s="31"/>
    </row>
    <row r="249" spans="2:31" x14ac:dyDescent="0.25">
      <c r="T249" s="31"/>
    </row>
    <row r="250" spans="2:31" x14ac:dyDescent="0.25">
      <c r="T250" s="31"/>
    </row>
    <row r="251" spans="2:31" x14ac:dyDescent="0.25">
      <c r="T251" s="31"/>
    </row>
    <row r="252" spans="2:31" x14ac:dyDescent="0.25">
      <c r="T252" s="31"/>
    </row>
    <row r="253" spans="2:31" x14ac:dyDescent="0.25">
      <c r="T253" s="31"/>
    </row>
    <row r="254" spans="2:31" x14ac:dyDescent="0.25">
      <c r="V254" s="31"/>
    </row>
    <row r="255" spans="2:31" x14ac:dyDescent="0.25">
      <c r="B255" t="s">
        <v>134</v>
      </c>
      <c r="G255" t="s">
        <v>158</v>
      </c>
      <c r="R255" t="s">
        <v>134</v>
      </c>
      <c r="U255" t="s">
        <v>159</v>
      </c>
      <c r="V255" s="31"/>
    </row>
    <row r="256" spans="2:31" ht="18" customHeight="1" x14ac:dyDescent="0.25">
      <c r="B256" t="s">
        <v>37</v>
      </c>
      <c r="C256" t="s">
        <v>22</v>
      </c>
      <c r="D256">
        <v>1</v>
      </c>
      <c r="E256">
        <v>2</v>
      </c>
      <c r="F256">
        <v>3</v>
      </c>
      <c r="G256">
        <v>4</v>
      </c>
      <c r="H256">
        <v>5</v>
      </c>
      <c r="I256">
        <v>6</v>
      </c>
      <c r="J256">
        <v>7</v>
      </c>
      <c r="K256">
        <v>8</v>
      </c>
      <c r="L256">
        <v>9</v>
      </c>
      <c r="M256">
        <v>10</v>
      </c>
      <c r="N256">
        <v>11</v>
      </c>
      <c r="O256">
        <v>12</v>
      </c>
      <c r="R256" t="s">
        <v>37</v>
      </c>
      <c r="S256" t="s">
        <v>22</v>
      </c>
      <c r="T256" t="s">
        <v>6</v>
      </c>
      <c r="U256" t="s">
        <v>7</v>
      </c>
      <c r="V256" t="s">
        <v>8</v>
      </c>
      <c r="W256" t="s">
        <v>9</v>
      </c>
      <c r="X256" t="s">
        <v>10</v>
      </c>
      <c r="Y256" t="s">
        <v>2</v>
      </c>
      <c r="Z256" t="s">
        <v>3</v>
      </c>
      <c r="AA256" t="s">
        <v>11</v>
      </c>
      <c r="AB256" t="s">
        <v>12</v>
      </c>
      <c r="AC256" t="s">
        <v>13</v>
      </c>
      <c r="AD256" t="s">
        <v>14</v>
      </c>
      <c r="AE256" t="s">
        <v>15</v>
      </c>
    </row>
    <row r="257" spans="2:31" x14ac:dyDescent="0.25">
      <c r="B257" s="1">
        <v>40836</v>
      </c>
      <c r="C257">
        <v>1</v>
      </c>
      <c r="D257">
        <f>D198/VLOOKUP($C198,$R$198:$AD$202,D$197+1,FALSE)</f>
        <v>0.1395499379277878</v>
      </c>
      <c r="E257">
        <f t="shared" ref="E257:O258" si="33">E198/VLOOKUP($C198,$R$198:$AD$202,E$197+1,FALSE)</f>
        <v>0.12040927766745094</v>
      </c>
      <c r="F257">
        <f t="shared" si="33"/>
        <v>0.22219554074920964</v>
      </c>
      <c r="G257">
        <f t="shared" si="33"/>
        <v>0.2165081050889551</v>
      </c>
      <c r="H257">
        <f t="shared" si="33"/>
        <v>0.21898008848942355</v>
      </c>
      <c r="I257">
        <f t="shared" si="33"/>
        <v>0.16939324219562479</v>
      </c>
      <c r="J257">
        <f t="shared" si="33"/>
        <v>0.16788668001391668</v>
      </c>
      <c r="K257">
        <f t="shared" si="33"/>
        <v>0.13021203817157928</v>
      </c>
      <c r="L257">
        <f t="shared" si="33"/>
        <v>0.20012496341892447</v>
      </c>
      <c r="M257">
        <f t="shared" si="33"/>
        <v>0.15675384488703273</v>
      </c>
      <c r="N257">
        <f t="shared" si="33"/>
        <v>0.21168181269114189</v>
      </c>
      <c r="O257">
        <f t="shared" si="33"/>
        <v>0.21611606290837967</v>
      </c>
      <c r="R257" s="1">
        <v>40836</v>
      </c>
      <c r="S257">
        <v>1</v>
      </c>
      <c r="T257">
        <f t="shared" ref="T257:AE278" si="34">D257*VLOOKUP($C257,$R$221:$AD$225,D$256+1,FALSE)</f>
        <v>0.16607677005927957</v>
      </c>
      <c r="U257">
        <f t="shared" si="34"/>
        <v>0.15184595770500137</v>
      </c>
      <c r="V257">
        <f t="shared" si="34"/>
        <v>0.28396005010534892</v>
      </c>
      <c r="W257">
        <f t="shared" si="34"/>
        <v>0.29756606984448475</v>
      </c>
      <c r="X257">
        <f t="shared" si="34"/>
        <v>0.26721298874277971</v>
      </c>
      <c r="Y257">
        <f t="shared" si="34"/>
        <v>0.23496814094038262</v>
      </c>
      <c r="Z257">
        <f t="shared" si="34"/>
        <v>0.25189780474829371</v>
      </c>
      <c r="AA257">
        <f t="shared" si="34"/>
        <v>0.16716071584400111</v>
      </c>
      <c r="AB257">
        <f t="shared" si="34"/>
        <v>0.27154497805135469</v>
      </c>
      <c r="AC257">
        <f t="shared" si="34"/>
        <v>0.18287513162471916</v>
      </c>
      <c r="AD257">
        <f t="shared" si="34"/>
        <v>0.29374818898327099</v>
      </c>
      <c r="AE257">
        <f t="shared" si="34"/>
        <v>0.28719415340550508</v>
      </c>
    </row>
    <row r="258" spans="2:31" x14ac:dyDescent="0.25">
      <c r="B258" s="1">
        <v>41037</v>
      </c>
      <c r="C258">
        <v>1</v>
      </c>
      <c r="D258">
        <f>D199/VLOOKUP($C199,$R$198:$AD$202,D$197+1,FALSE)</f>
        <v>0.27331975560081473</v>
      </c>
      <c r="E258">
        <f t="shared" si="33"/>
        <v>0.21676646706586822</v>
      </c>
      <c r="F258">
        <f t="shared" si="33"/>
        <v>0.25637225844694717</v>
      </c>
      <c r="G258">
        <f t="shared" si="33"/>
        <v>0.25034578146611358</v>
      </c>
      <c r="H258">
        <f t="shared" si="33"/>
        <v>0.22822527832351008</v>
      </c>
      <c r="I258">
        <f t="shared" si="33"/>
        <v>0.2749706227967097</v>
      </c>
      <c r="J258">
        <f t="shared" si="33"/>
        <v>0.22688251165072362</v>
      </c>
      <c r="K258">
        <f t="shared" si="33"/>
        <v>0.25189620758483044</v>
      </c>
      <c r="L258">
        <f t="shared" si="33"/>
        <v>0.23549049820236267</v>
      </c>
      <c r="M258">
        <f t="shared" si="33"/>
        <v>0.27</v>
      </c>
      <c r="N258">
        <f t="shared" si="33"/>
        <v>0.24495289367429349</v>
      </c>
      <c r="O258">
        <f t="shared" si="33"/>
        <v>0.27109400064164274</v>
      </c>
      <c r="R258" s="1">
        <v>41037</v>
      </c>
      <c r="S258">
        <v>1</v>
      </c>
      <c r="T258">
        <f t="shared" si="34"/>
        <v>0.32527468573338808</v>
      </c>
      <c r="U258">
        <f t="shared" si="34"/>
        <v>0.27336026282669096</v>
      </c>
      <c r="V258">
        <f t="shared" si="34"/>
        <v>0.3276369953633983</v>
      </c>
      <c r="W258">
        <f t="shared" si="34"/>
        <v>0.34407215500043609</v>
      </c>
      <c r="X258">
        <f t="shared" si="34"/>
        <v>0.27849453869603014</v>
      </c>
      <c r="Y258">
        <f t="shared" si="34"/>
        <v>0.38141625494804332</v>
      </c>
      <c r="Z258">
        <f t="shared" si="34"/>
        <v>0.34041537193932836</v>
      </c>
      <c r="AA258">
        <f t="shared" si="34"/>
        <v>0.32337371390182168</v>
      </c>
      <c r="AB258">
        <f t="shared" si="34"/>
        <v>0.31953166198363531</v>
      </c>
      <c r="AC258">
        <f t="shared" si="34"/>
        <v>0.31499250033871906</v>
      </c>
      <c r="AD258">
        <f t="shared" si="34"/>
        <v>0.33991804958710309</v>
      </c>
      <c r="AE258">
        <f t="shared" si="34"/>
        <v>0.36025370331031159</v>
      </c>
    </row>
    <row r="259" spans="2:31" x14ac:dyDescent="0.25">
      <c r="B259" s="1">
        <v>41185</v>
      </c>
      <c r="C259">
        <v>1</v>
      </c>
      <c r="D259">
        <f t="shared" ref="D259:O274" si="35">D200/VLOOKUP($C200,$R$198:$AD$202,D$197+1,FALSE)</f>
        <v>6.2681744749596049E-2</v>
      </c>
      <c r="E259">
        <f t="shared" si="35"/>
        <v>6.1151832460733004E-2</v>
      </c>
      <c r="F259">
        <f t="shared" si="35"/>
        <v>7.5479836100927344E-2</v>
      </c>
      <c r="G259" t="e">
        <f t="shared" si="35"/>
        <v>#N/A</v>
      </c>
      <c r="H259">
        <f t="shared" si="35"/>
        <v>6.1690314620604557E-2</v>
      </c>
      <c r="I259">
        <f t="shared" si="35"/>
        <v>5.8778479800880863E-2</v>
      </c>
      <c r="J259">
        <f t="shared" si="35"/>
        <v>6.9487506839321589E-2</v>
      </c>
      <c r="K259">
        <f t="shared" si="35"/>
        <v>5.8961710124500757E-2</v>
      </c>
      <c r="L259">
        <f t="shared" si="35"/>
        <v>0.13904253290101071</v>
      </c>
      <c r="M259">
        <f t="shared" si="35"/>
        <v>6.7824994766589777E-2</v>
      </c>
      <c r="N259">
        <f t="shared" si="35"/>
        <v>8.9023195034302546E-2</v>
      </c>
      <c r="O259">
        <f t="shared" si="35"/>
        <v>5.1220166264413954E-2</v>
      </c>
      <c r="R259" s="1">
        <v>41185</v>
      </c>
      <c r="S259">
        <v>1</v>
      </c>
      <c r="T259">
        <f t="shared" si="34"/>
        <v>7.4596820781675427E-2</v>
      </c>
      <c r="U259">
        <f t="shared" si="34"/>
        <v>7.7117467568081702E-2</v>
      </c>
      <c r="V259">
        <f t="shared" si="34"/>
        <v>9.6461242961461593E-2</v>
      </c>
      <c r="W259" t="e">
        <f t="shared" si="34"/>
        <v>#N/A</v>
      </c>
      <c r="X259">
        <f t="shared" si="34"/>
        <v>7.5278320782349681E-2</v>
      </c>
      <c r="Y259">
        <f t="shared" si="34"/>
        <v>8.1532592133545745E-2</v>
      </c>
      <c r="Z259">
        <f t="shared" si="34"/>
        <v>0.10425931603868878</v>
      </c>
      <c r="AA259">
        <f t="shared" si="34"/>
        <v>7.5692553547243926E-2</v>
      </c>
      <c r="AB259">
        <f t="shared" si="34"/>
        <v>0.18866362746447529</v>
      </c>
      <c r="AC259">
        <f t="shared" si="34"/>
        <v>7.9127276618476475E-2</v>
      </c>
      <c r="AD259">
        <f t="shared" si="34"/>
        <v>0.1235363680345373</v>
      </c>
      <c r="AE259">
        <f t="shared" si="34"/>
        <v>6.8065890566560053E-2</v>
      </c>
    </row>
    <row r="260" spans="2:31" x14ac:dyDescent="0.25">
      <c r="B260" s="1">
        <v>41362</v>
      </c>
      <c r="C260">
        <v>1</v>
      </c>
      <c r="D260">
        <f t="shared" si="35"/>
        <v>0.24371931850996251</v>
      </c>
      <c r="E260">
        <f t="shared" si="35"/>
        <v>0.21343392552932575</v>
      </c>
      <c r="F260">
        <f t="shared" si="35"/>
        <v>0.27658884565499353</v>
      </c>
      <c r="G260">
        <f t="shared" si="35"/>
        <v>0.24781659388646285</v>
      </c>
      <c r="H260">
        <f t="shared" si="35"/>
        <v>0.24183648416400672</v>
      </c>
      <c r="I260">
        <f t="shared" si="35"/>
        <v>0.28354519774011305</v>
      </c>
      <c r="J260">
        <f t="shared" si="35"/>
        <v>0.22332730560578651</v>
      </c>
      <c r="K260">
        <f t="shared" si="35"/>
        <v>0.19948556730494416</v>
      </c>
      <c r="L260">
        <f t="shared" si="35"/>
        <v>0.25948539031836038</v>
      </c>
      <c r="M260">
        <f t="shared" si="35"/>
        <v>0.25162295507660321</v>
      </c>
      <c r="N260">
        <f t="shared" si="35"/>
        <v>0.25662555759643135</v>
      </c>
      <c r="O260">
        <f t="shared" si="35"/>
        <v>0.24265208475734801</v>
      </c>
      <c r="R260" s="1">
        <v>41362</v>
      </c>
      <c r="S260">
        <v>1</v>
      </c>
      <c r="T260">
        <f t="shared" si="34"/>
        <v>0.29004754728109111</v>
      </c>
      <c r="U260">
        <f t="shared" si="34"/>
        <v>0.26915765509570228</v>
      </c>
      <c r="V260">
        <f t="shared" si="34"/>
        <v>0.35347326146126518</v>
      </c>
      <c r="W260">
        <f t="shared" si="34"/>
        <v>0.34059607077870713</v>
      </c>
      <c r="X260">
        <f t="shared" si="34"/>
        <v>0.29510377023905215</v>
      </c>
      <c r="Y260">
        <f t="shared" si="34"/>
        <v>0.3933101883050702</v>
      </c>
      <c r="Z260">
        <f t="shared" si="34"/>
        <v>0.33508112744730978</v>
      </c>
      <c r="AA260">
        <f t="shared" si="34"/>
        <v>0.25609114717412834</v>
      </c>
      <c r="AB260">
        <f t="shared" si="34"/>
        <v>0.35208978137898439</v>
      </c>
      <c r="AC260">
        <f t="shared" si="34"/>
        <v>0.29355312504517195</v>
      </c>
      <c r="AD260">
        <f t="shared" si="34"/>
        <v>0.35611605849560224</v>
      </c>
      <c r="AE260">
        <f t="shared" si="34"/>
        <v>0.32245756801293896</v>
      </c>
    </row>
    <row r="261" spans="2:31" x14ac:dyDescent="0.25">
      <c r="B261" s="1">
        <v>41432</v>
      </c>
      <c r="C261">
        <v>1</v>
      </c>
      <c r="D261">
        <f t="shared" si="35"/>
        <v>0.16126791141988706</v>
      </c>
      <c r="E261">
        <f t="shared" si="35"/>
        <v>0.1444621877495153</v>
      </c>
      <c r="F261">
        <f t="shared" si="35"/>
        <v>0.16090632397700366</v>
      </c>
      <c r="G261">
        <f t="shared" si="35"/>
        <v>0.1343542328806703</v>
      </c>
      <c r="H261">
        <f t="shared" si="35"/>
        <v>0.17018938659427327</v>
      </c>
      <c r="I261">
        <f t="shared" si="35"/>
        <v>0.21393909557634144</v>
      </c>
      <c r="J261">
        <f t="shared" si="35"/>
        <v>0.13862441381270421</v>
      </c>
      <c r="K261">
        <f t="shared" si="35"/>
        <v>0.10480484189723319</v>
      </c>
      <c r="L261">
        <f t="shared" si="35"/>
        <v>0.16243360695316267</v>
      </c>
      <c r="M261">
        <f t="shared" si="35"/>
        <v>0.13297818876268958</v>
      </c>
      <c r="N261">
        <f t="shared" si="35"/>
        <v>0.15666006105725455</v>
      </c>
      <c r="O261">
        <f t="shared" si="35"/>
        <v>0.1453697949036668</v>
      </c>
      <c r="R261" s="1">
        <v>41432</v>
      </c>
      <c r="S261">
        <v>1</v>
      </c>
      <c r="T261">
        <f t="shared" si="34"/>
        <v>0.19192307958374036</v>
      </c>
      <c r="U261">
        <f t="shared" si="34"/>
        <v>0.1821786466618312</v>
      </c>
      <c r="V261">
        <f t="shared" si="34"/>
        <v>0.20563404497099472</v>
      </c>
      <c r="W261">
        <f t="shared" si="34"/>
        <v>0.18465480093156661</v>
      </c>
      <c r="X261">
        <f t="shared" si="34"/>
        <v>0.2076755697646574</v>
      </c>
      <c r="Y261">
        <f t="shared" si="34"/>
        <v>0.29675842383361717</v>
      </c>
      <c r="Z261">
        <f t="shared" si="34"/>
        <v>0.20799259072277007</v>
      </c>
      <c r="AA261">
        <f t="shared" si="34"/>
        <v>0.13454403019461145</v>
      </c>
      <c r="AB261">
        <f t="shared" si="34"/>
        <v>0.22040243996230971</v>
      </c>
      <c r="AC261">
        <f t="shared" si="34"/>
        <v>0.15513752655138424</v>
      </c>
      <c r="AD261">
        <f t="shared" si="34"/>
        <v>0.21739519629266141</v>
      </c>
      <c r="AE261">
        <f t="shared" si="34"/>
        <v>0.19318025053875673</v>
      </c>
    </row>
    <row r="262" spans="2:31" x14ac:dyDescent="0.25">
      <c r="B262" s="1">
        <v>41527</v>
      </c>
      <c r="C262">
        <v>1</v>
      </c>
      <c r="D262">
        <f t="shared" si="35"/>
        <v>9.8274750080619158E-2</v>
      </c>
      <c r="E262">
        <f t="shared" si="35"/>
        <v>0.1605498553012365</v>
      </c>
      <c r="F262">
        <f t="shared" si="35"/>
        <v>0.12371537633356185</v>
      </c>
      <c r="G262">
        <f t="shared" si="35"/>
        <v>0.13014113776084499</v>
      </c>
      <c r="H262">
        <f t="shared" si="35"/>
        <v>0.1120578363026075</v>
      </c>
      <c r="I262">
        <f t="shared" si="35"/>
        <v>9.1350885826771797E-2</v>
      </c>
      <c r="J262">
        <f t="shared" si="35"/>
        <v>9.5799219527125321E-2</v>
      </c>
      <c r="K262">
        <f t="shared" si="35"/>
        <v>9.3794410232117542E-2</v>
      </c>
      <c r="L262">
        <f t="shared" si="35"/>
        <v>0.10094569422553379</v>
      </c>
      <c r="M262">
        <f t="shared" si="35"/>
        <v>0.10585390053330038</v>
      </c>
      <c r="N262">
        <f t="shared" si="35"/>
        <v>9.6935654301763E-2</v>
      </c>
      <c r="O262">
        <f t="shared" si="35"/>
        <v>9.0348928852905463E-2</v>
      </c>
      <c r="R262" s="1">
        <v>41527</v>
      </c>
      <c r="S262">
        <v>1</v>
      </c>
      <c r="T262">
        <f t="shared" si="34"/>
        <v>0.11695564551392189</v>
      </c>
      <c r="U262">
        <f t="shared" si="34"/>
        <v>0.20246651262991291</v>
      </c>
      <c r="V262">
        <f t="shared" si="34"/>
        <v>0.15810499321465468</v>
      </c>
      <c r="W262">
        <f t="shared" si="34"/>
        <v>0.17886437495110591</v>
      </c>
      <c r="X262">
        <f t="shared" si="34"/>
        <v>0.13673987236476587</v>
      </c>
      <c r="Y262">
        <f t="shared" si="34"/>
        <v>0.12671431007374695</v>
      </c>
      <c r="Z262">
        <f t="shared" si="34"/>
        <v>0.14373750849967604</v>
      </c>
      <c r="AA262">
        <f t="shared" si="34"/>
        <v>0.12040930298554216</v>
      </c>
      <c r="AB262">
        <f t="shared" si="34"/>
        <v>0.13697089985456173</v>
      </c>
      <c r="AC262">
        <f t="shared" si="34"/>
        <v>0.12349327703551982</v>
      </c>
      <c r="AD262">
        <f t="shared" si="34"/>
        <v>0.13451638823878448</v>
      </c>
      <c r="AE262">
        <f t="shared" si="34"/>
        <v>0.12006365368595794</v>
      </c>
    </row>
    <row r="263" spans="2:31" x14ac:dyDescent="0.25">
      <c r="B263" s="1">
        <v>41667</v>
      </c>
      <c r="C263">
        <v>1</v>
      </c>
      <c r="D263" t="e">
        <f t="shared" si="35"/>
        <v>#N/A</v>
      </c>
      <c r="E263" t="e">
        <f t="shared" si="35"/>
        <v>#N/A</v>
      </c>
      <c r="F263" t="e">
        <f t="shared" si="35"/>
        <v>#N/A</v>
      </c>
      <c r="G263">
        <f t="shared" si="35"/>
        <v>0.25309600549162603</v>
      </c>
      <c r="H263" t="e">
        <f t="shared" si="35"/>
        <v>#N/A</v>
      </c>
      <c r="I263">
        <f t="shared" si="35"/>
        <v>0.23556922540758291</v>
      </c>
      <c r="J263">
        <f t="shared" si="35"/>
        <v>0.21485359989171485</v>
      </c>
      <c r="K263">
        <f t="shared" si="35"/>
        <v>0.24306395150383364</v>
      </c>
      <c r="L263">
        <f t="shared" si="35"/>
        <v>0.22465477589924987</v>
      </c>
      <c r="M263">
        <f t="shared" si="35"/>
        <v>0.25537240906858227</v>
      </c>
      <c r="N263">
        <f t="shared" si="35"/>
        <v>0.23934328906850999</v>
      </c>
      <c r="O263" t="e">
        <f t="shared" si="35"/>
        <v>#N/A</v>
      </c>
      <c r="R263" s="1">
        <v>41667</v>
      </c>
      <c r="S263">
        <v>1</v>
      </c>
      <c r="T263" t="e">
        <f t="shared" si="34"/>
        <v>#N/A</v>
      </c>
      <c r="U263" t="e">
        <f t="shared" si="34"/>
        <v>#N/A</v>
      </c>
      <c r="V263" t="e">
        <f t="shared" si="34"/>
        <v>#N/A</v>
      </c>
      <c r="W263">
        <f t="shared" si="34"/>
        <v>0.34785202898772805</v>
      </c>
      <c r="X263" t="e">
        <f t="shared" si="34"/>
        <v>#N/A</v>
      </c>
      <c r="Y263">
        <f t="shared" si="34"/>
        <v>0.32676193122782887</v>
      </c>
      <c r="Z263">
        <f t="shared" si="34"/>
        <v>0.32236714759327495</v>
      </c>
      <c r="AA263">
        <f t="shared" si="34"/>
        <v>0.31203523652485665</v>
      </c>
      <c r="AB263">
        <f t="shared" si="34"/>
        <v>0.30482891863417116</v>
      </c>
      <c r="AC263">
        <f t="shared" si="34"/>
        <v>0.29792738388901818</v>
      </c>
      <c r="AD263">
        <f t="shared" si="34"/>
        <v>0.33213367183205533</v>
      </c>
      <c r="AE263" t="e">
        <f t="shared" si="34"/>
        <v>#N/A</v>
      </c>
    </row>
    <row r="264" spans="2:31" x14ac:dyDescent="0.25">
      <c r="B264" s="1">
        <v>41674</v>
      </c>
      <c r="C264">
        <v>1</v>
      </c>
      <c r="D264">
        <f t="shared" si="35"/>
        <v>0.2544002368761264</v>
      </c>
      <c r="E264">
        <f t="shared" si="35"/>
        <v>0.22925262205115352</v>
      </c>
      <c r="F264">
        <f t="shared" si="35"/>
        <v>0.26944307681777746</v>
      </c>
      <c r="G264" t="e">
        <f t="shared" si="35"/>
        <v>#N/A</v>
      </c>
      <c r="H264">
        <f t="shared" si="35"/>
        <v>0.23139774574247152</v>
      </c>
      <c r="I264" t="e">
        <f t="shared" si="35"/>
        <v>#N/A</v>
      </c>
      <c r="J264" t="e">
        <f t="shared" si="35"/>
        <v>#N/A</v>
      </c>
      <c r="K264" t="e">
        <f t="shared" si="35"/>
        <v>#N/A</v>
      </c>
      <c r="L264" t="e">
        <f t="shared" si="35"/>
        <v>#N/A</v>
      </c>
      <c r="M264" t="e">
        <f t="shared" si="35"/>
        <v>#N/A</v>
      </c>
      <c r="N264" t="e">
        <f t="shared" si="35"/>
        <v>#N/A</v>
      </c>
      <c r="O264">
        <f t="shared" si="35"/>
        <v>0.23968768921785005</v>
      </c>
      <c r="R264" s="1">
        <v>41674</v>
      </c>
      <c r="S264">
        <v>1</v>
      </c>
      <c r="T264">
        <f t="shared" si="34"/>
        <v>0.30275878492017366</v>
      </c>
      <c r="U264">
        <f t="shared" si="34"/>
        <v>0.28910632657295859</v>
      </c>
      <c r="V264">
        <f t="shared" si="34"/>
        <v>0.34434115705352025</v>
      </c>
      <c r="W264" t="e">
        <f t="shared" si="34"/>
        <v>#N/A</v>
      </c>
      <c r="X264">
        <f t="shared" si="34"/>
        <v>0.28236577880081587</v>
      </c>
      <c r="Y264" t="e">
        <f t="shared" si="34"/>
        <v>#N/A</v>
      </c>
      <c r="Z264" t="e">
        <f t="shared" si="34"/>
        <v>#N/A</v>
      </c>
      <c r="AA264" t="e">
        <f t="shared" si="34"/>
        <v>#N/A</v>
      </c>
      <c r="AB264" t="e">
        <f t="shared" si="34"/>
        <v>#N/A</v>
      </c>
      <c r="AC264" t="e">
        <f t="shared" si="34"/>
        <v>#N/A</v>
      </c>
      <c r="AD264" t="e">
        <f t="shared" si="34"/>
        <v>#N/A</v>
      </c>
      <c r="AE264">
        <f t="shared" si="34"/>
        <v>0.3185182168334475</v>
      </c>
    </row>
    <row r="265" spans="2:31" x14ac:dyDescent="0.25">
      <c r="B265" s="1">
        <v>41747</v>
      </c>
      <c r="C265">
        <v>1</v>
      </c>
      <c r="D265">
        <f t="shared" si="35"/>
        <v>0.26478405315614617</v>
      </c>
      <c r="E265">
        <f t="shared" si="35"/>
        <v>0.22674933569530556</v>
      </c>
      <c r="F265">
        <f t="shared" si="35"/>
        <v>0.26513935502699548</v>
      </c>
      <c r="G265">
        <f t="shared" si="35"/>
        <v>0.24335831062670304</v>
      </c>
      <c r="H265">
        <f t="shared" si="35"/>
        <v>0.24557365439093462</v>
      </c>
      <c r="I265">
        <f t="shared" si="35"/>
        <v>0.30033118354540689</v>
      </c>
      <c r="J265">
        <f t="shared" si="35"/>
        <v>0.24903817697543651</v>
      </c>
      <c r="K265">
        <f t="shared" si="35"/>
        <v>0.23572399728076157</v>
      </c>
      <c r="L265">
        <f t="shared" si="35"/>
        <v>0.26150531014314315</v>
      </c>
      <c r="M265">
        <f t="shared" si="35"/>
        <v>0.26590069757899032</v>
      </c>
      <c r="N265">
        <f t="shared" si="35"/>
        <v>0.25516491482421166</v>
      </c>
      <c r="O265">
        <f t="shared" si="35"/>
        <v>0.28934300993124512</v>
      </c>
      <c r="R265" s="1">
        <v>41747</v>
      </c>
      <c r="S265">
        <v>1</v>
      </c>
      <c r="T265">
        <f t="shared" si="34"/>
        <v>0.31511644479650425</v>
      </c>
      <c r="U265">
        <f t="shared" si="34"/>
        <v>0.28594947752048439</v>
      </c>
      <c r="V265">
        <f t="shared" si="34"/>
        <v>0.33884111393281113</v>
      </c>
      <c r="W265">
        <f t="shared" si="34"/>
        <v>0.33446866124216751</v>
      </c>
      <c r="X265">
        <f t="shared" si="34"/>
        <v>0.29966409548445078</v>
      </c>
      <c r="Y265">
        <f t="shared" si="34"/>
        <v>0.41659430417296645</v>
      </c>
      <c r="Z265">
        <f t="shared" si="34"/>
        <v>0.37365781533966508</v>
      </c>
      <c r="AA265">
        <f t="shared" si="34"/>
        <v>0.30261251325426181</v>
      </c>
      <c r="AB265">
        <f t="shared" si="34"/>
        <v>0.354830564313385</v>
      </c>
      <c r="AC265">
        <f t="shared" si="34"/>
        <v>0.31021009471191013</v>
      </c>
      <c r="AD265">
        <f t="shared" si="34"/>
        <v>0.35408914289224303</v>
      </c>
      <c r="AE265">
        <f t="shared" si="34"/>
        <v>0.38450460212313342</v>
      </c>
    </row>
    <row r="266" spans="2:31" x14ac:dyDescent="0.25">
      <c r="B266" s="1">
        <v>41823</v>
      </c>
      <c r="C266">
        <v>1</v>
      </c>
      <c r="D266">
        <f t="shared" si="35"/>
        <v>0.2174711474622481</v>
      </c>
      <c r="E266">
        <f t="shared" si="35"/>
        <v>0.19968809961982789</v>
      </c>
      <c r="F266">
        <f t="shared" si="35"/>
        <v>0.25651763275970296</v>
      </c>
      <c r="G266">
        <f t="shared" si="35"/>
        <v>0.19398912139810168</v>
      </c>
      <c r="H266">
        <f t="shared" si="35"/>
        <v>0.21931431468246984</v>
      </c>
      <c r="I266">
        <f t="shared" si="35"/>
        <v>0.2349698930348797</v>
      </c>
      <c r="J266">
        <f t="shared" si="35"/>
        <v>0.20630725927355928</v>
      </c>
      <c r="K266">
        <f t="shared" si="35"/>
        <v>0.19839626023428139</v>
      </c>
      <c r="L266">
        <f t="shared" si="35"/>
        <v>0.23980774829211887</v>
      </c>
      <c r="M266">
        <f t="shared" si="35"/>
        <v>0.25148329851081042</v>
      </c>
      <c r="N266">
        <f t="shared" si="35"/>
        <v>0.22165861549421764</v>
      </c>
      <c r="O266">
        <f t="shared" si="35"/>
        <v>0.22444446003802249</v>
      </c>
      <c r="R266" s="1">
        <v>41823</v>
      </c>
      <c r="S266">
        <v>1</v>
      </c>
      <c r="T266">
        <f t="shared" si="34"/>
        <v>0.25880990194567255</v>
      </c>
      <c r="U266">
        <f t="shared" si="34"/>
        <v>0.25182304317785215</v>
      </c>
      <c r="V266">
        <f t="shared" si="34"/>
        <v>0.32782277990702585</v>
      </c>
      <c r="W266">
        <f t="shared" si="34"/>
        <v>0.26661625634431041</v>
      </c>
      <c r="X266">
        <f t="shared" si="34"/>
        <v>0.26762083212514431</v>
      </c>
      <c r="Y266">
        <f t="shared" si="34"/>
        <v>0.32593058747648351</v>
      </c>
      <c r="Z266">
        <f t="shared" si="34"/>
        <v>0.30954418605656397</v>
      </c>
      <c r="AA266">
        <f t="shared" si="34"/>
        <v>0.25469274075746523</v>
      </c>
      <c r="AB266">
        <f t="shared" si="34"/>
        <v>0.32538963972332891</v>
      </c>
      <c r="AC266">
        <f t="shared" si="34"/>
        <v>0.29339019626425422</v>
      </c>
      <c r="AD266">
        <f t="shared" si="34"/>
        <v>0.30759287274702335</v>
      </c>
      <c r="AE266">
        <f t="shared" si="34"/>
        <v>0.29826166468016041</v>
      </c>
    </row>
    <row r="267" spans="2:31" x14ac:dyDescent="0.25">
      <c r="B267" s="1">
        <v>40836</v>
      </c>
      <c r="C267">
        <v>2</v>
      </c>
      <c r="D267">
        <f t="shared" si="35"/>
        <v>9.6106089202344272E-2</v>
      </c>
      <c r="E267">
        <f t="shared" si="35"/>
        <v>0.11773863968084101</v>
      </c>
      <c r="F267">
        <f t="shared" si="35"/>
        <v>0.26306429896095301</v>
      </c>
      <c r="G267">
        <f t="shared" si="35"/>
        <v>0.19150218044522593</v>
      </c>
      <c r="H267">
        <f t="shared" si="35"/>
        <v>0.20465764948088397</v>
      </c>
      <c r="I267">
        <f t="shared" si="35"/>
        <v>0.15001400809922799</v>
      </c>
      <c r="J267">
        <f t="shared" si="35"/>
        <v>0.18022905364677499</v>
      </c>
      <c r="K267">
        <f t="shared" si="35"/>
        <v>8.6811683727497396E-2</v>
      </c>
      <c r="L267">
        <f t="shared" si="35"/>
        <v>0.20452035805746796</v>
      </c>
      <c r="M267">
        <f t="shared" si="35"/>
        <v>8.9912386853187379E-2</v>
      </c>
      <c r="N267">
        <f t="shared" si="35"/>
        <v>0.24072791536312196</v>
      </c>
      <c r="O267">
        <f t="shared" si="35"/>
        <v>0.21086278452298104</v>
      </c>
      <c r="R267" s="1">
        <v>40836</v>
      </c>
      <c r="S267">
        <v>2</v>
      </c>
      <c r="T267">
        <f t="shared" si="34"/>
        <v>0.13895418244148661</v>
      </c>
      <c r="U267">
        <f t="shared" si="34"/>
        <v>0.17175611109325581</v>
      </c>
      <c r="V267">
        <f t="shared" si="34"/>
        <v>0.30330543485720807</v>
      </c>
      <c r="W267">
        <f t="shared" si="34"/>
        <v>0.28674147996518495</v>
      </c>
      <c r="X267">
        <f t="shared" si="34"/>
        <v>0.30378548810131834</v>
      </c>
      <c r="Y267">
        <f t="shared" si="34"/>
        <v>0.20950173061134336</v>
      </c>
      <c r="Z267">
        <f t="shared" si="34"/>
        <v>0.26429768557002509</v>
      </c>
      <c r="AA267">
        <f t="shared" si="34"/>
        <v>0.12219134691704087</v>
      </c>
      <c r="AB267">
        <f t="shared" si="34"/>
        <v>0.29482519252158645</v>
      </c>
      <c r="AC267">
        <f t="shared" si="34"/>
        <v>0.11850469423162539</v>
      </c>
      <c r="AD267">
        <f t="shared" si="34"/>
        <v>0.32976262110509413</v>
      </c>
      <c r="AE267">
        <f t="shared" si="34"/>
        <v>0.24829631217606954</v>
      </c>
    </row>
    <row r="268" spans="2:31" x14ac:dyDescent="0.25">
      <c r="B268" s="1">
        <v>41037</v>
      </c>
      <c r="C268">
        <v>2</v>
      </c>
      <c r="D268">
        <f t="shared" si="35"/>
        <v>0.24043535620052764</v>
      </c>
      <c r="E268">
        <f t="shared" si="35"/>
        <v>0.22363796133567679</v>
      </c>
      <c r="F268">
        <f t="shared" si="35"/>
        <v>0.29581447963800905</v>
      </c>
      <c r="G268">
        <f t="shared" si="35"/>
        <v>0.22300686089419389</v>
      </c>
      <c r="H268">
        <f t="shared" si="35"/>
        <v>0.226372198765833</v>
      </c>
      <c r="I268">
        <f t="shared" si="35"/>
        <v>0.28981032201146889</v>
      </c>
      <c r="J268">
        <f t="shared" si="35"/>
        <v>0.22048663262240903</v>
      </c>
      <c r="K268">
        <f t="shared" si="35"/>
        <v>0.21995994659546045</v>
      </c>
      <c r="L268">
        <f t="shared" si="35"/>
        <v>0.22891072891072906</v>
      </c>
      <c r="M268">
        <f t="shared" si="35"/>
        <v>0.25727195707427275</v>
      </c>
      <c r="N268">
        <f t="shared" si="35"/>
        <v>0.25321543408360131</v>
      </c>
      <c r="O268">
        <f t="shared" si="35"/>
        <v>0.29474516001580409</v>
      </c>
      <c r="R268" s="1">
        <v>41037</v>
      </c>
      <c r="S268">
        <v>2</v>
      </c>
      <c r="T268">
        <f t="shared" si="34"/>
        <v>0.34763144175527427</v>
      </c>
      <c r="U268">
        <f t="shared" si="34"/>
        <v>0.32624112726257526</v>
      </c>
      <c r="V268">
        <f t="shared" si="34"/>
        <v>0.34106543433695896</v>
      </c>
      <c r="W268">
        <f t="shared" si="34"/>
        <v>0.33391430419499124</v>
      </c>
      <c r="X268">
        <f t="shared" si="34"/>
        <v>0.33601768157251583</v>
      </c>
      <c r="Y268">
        <f t="shared" si="34"/>
        <v>0.40473396304612091</v>
      </c>
      <c r="Z268">
        <f t="shared" si="34"/>
        <v>0.32333358868676415</v>
      </c>
      <c r="AA268">
        <f t="shared" si="34"/>
        <v>0.30960351174235318</v>
      </c>
      <c r="AB268">
        <f t="shared" si="34"/>
        <v>0.32998499690871275</v>
      </c>
      <c r="AC268">
        <f t="shared" si="34"/>
        <v>0.33908492116042355</v>
      </c>
      <c r="AD268">
        <f t="shared" si="34"/>
        <v>0.34686872572180466</v>
      </c>
      <c r="AE268">
        <f t="shared" si="34"/>
        <v>0.34706995086510217</v>
      </c>
    </row>
    <row r="269" spans="2:31" x14ac:dyDescent="0.25">
      <c r="B269" s="1">
        <v>41185</v>
      </c>
      <c r="C269">
        <v>2</v>
      </c>
      <c r="D269">
        <f t="shared" si="35"/>
        <v>0.19024390243902445</v>
      </c>
      <c r="E269">
        <f t="shared" si="35"/>
        <v>8.6799778147531981E-2</v>
      </c>
      <c r="F269">
        <f t="shared" si="35"/>
        <v>0.11509387954157517</v>
      </c>
      <c r="G269">
        <f t="shared" si="35"/>
        <v>8.4746978180764626E-2</v>
      </c>
      <c r="H269">
        <f t="shared" si="35"/>
        <v>0.17433795712484243</v>
      </c>
      <c r="I269">
        <f t="shared" si="35"/>
        <v>9.1652216992816338E-2</v>
      </c>
      <c r="J269">
        <f t="shared" si="35"/>
        <v>0.12630686634642552</v>
      </c>
      <c r="K269">
        <f t="shared" si="35"/>
        <v>8.5684966649563779E-2</v>
      </c>
      <c r="L269">
        <f t="shared" si="35"/>
        <v>0.18133475139590532</v>
      </c>
      <c r="M269">
        <f t="shared" si="35"/>
        <v>9.0412319920516654E-2</v>
      </c>
      <c r="N269">
        <f t="shared" si="35"/>
        <v>0.10040844111640557</v>
      </c>
      <c r="O269" t="e">
        <f t="shared" si="35"/>
        <v>#N/A</v>
      </c>
      <c r="R269" s="1">
        <v>41185</v>
      </c>
      <c r="S269">
        <v>2</v>
      </c>
      <c r="T269">
        <f t="shared" si="34"/>
        <v>0.27506254959803067</v>
      </c>
      <c r="U269">
        <f t="shared" si="34"/>
        <v>0.12662276699297914</v>
      </c>
      <c r="V269">
        <f t="shared" si="34"/>
        <v>0.13269987345923404</v>
      </c>
      <c r="W269">
        <f t="shared" si="34"/>
        <v>0.12689398047392042</v>
      </c>
      <c r="X269">
        <f t="shared" si="34"/>
        <v>0.25878017036789924</v>
      </c>
      <c r="Y269">
        <f t="shared" si="34"/>
        <v>0.12799670055919404</v>
      </c>
      <c r="Z269">
        <f t="shared" si="34"/>
        <v>0.18522325769067313</v>
      </c>
      <c r="AA269">
        <f t="shared" si="34"/>
        <v>0.12060544198540396</v>
      </c>
      <c r="AB269">
        <f t="shared" si="34"/>
        <v>0.26140210930067687</v>
      </c>
      <c r="AC269">
        <f t="shared" si="34"/>
        <v>0.11916360695047994</v>
      </c>
      <c r="AD269">
        <f t="shared" si="34"/>
        <v>0.13754512298117463</v>
      </c>
      <c r="AE269" t="e">
        <f t="shared" si="34"/>
        <v>#N/A</v>
      </c>
    </row>
    <row r="270" spans="2:31" x14ac:dyDescent="0.25">
      <c r="B270" s="1">
        <v>41362</v>
      </c>
      <c r="C270">
        <v>2</v>
      </c>
      <c r="D270">
        <f t="shared" si="35"/>
        <v>0.23972892842016102</v>
      </c>
      <c r="E270">
        <f t="shared" si="35"/>
        <v>0.22159975101151563</v>
      </c>
      <c r="F270">
        <f t="shared" si="35"/>
        <v>0.30792580101180422</v>
      </c>
      <c r="G270">
        <f t="shared" si="35"/>
        <v>0.21870455839225406</v>
      </c>
      <c r="H270">
        <f t="shared" si="35"/>
        <v>0.24008919722497515</v>
      </c>
      <c r="I270">
        <f t="shared" si="35"/>
        <v>0.29684456564082601</v>
      </c>
      <c r="J270">
        <f t="shared" si="35"/>
        <v>0.23440997761432672</v>
      </c>
      <c r="K270">
        <f t="shared" si="35"/>
        <v>0.19954194102490691</v>
      </c>
      <c r="L270">
        <f t="shared" si="35"/>
        <v>0.25492909028017974</v>
      </c>
      <c r="M270">
        <f t="shared" si="35"/>
        <v>0.24716553287981854</v>
      </c>
      <c r="N270">
        <f t="shared" si="35"/>
        <v>0.24482338611449447</v>
      </c>
      <c r="O270">
        <f t="shared" si="35"/>
        <v>0.28644501278772388</v>
      </c>
      <c r="R270" s="1">
        <v>41362</v>
      </c>
      <c r="S270">
        <v>2</v>
      </c>
      <c r="T270">
        <f t="shared" si="34"/>
        <v>0.34661005907817743</v>
      </c>
      <c r="U270">
        <f t="shared" si="34"/>
        <v>0.32326780363817292</v>
      </c>
      <c r="V270">
        <f t="shared" si="34"/>
        <v>0.35502943329266518</v>
      </c>
      <c r="W270">
        <f t="shared" si="34"/>
        <v>0.32747234837080158</v>
      </c>
      <c r="X270">
        <f t="shared" si="34"/>
        <v>0.35637863598963743</v>
      </c>
      <c r="Y270">
        <f t="shared" si="34"/>
        <v>0.41455762040028848</v>
      </c>
      <c r="Z270">
        <f t="shared" si="34"/>
        <v>0.34375153896890337</v>
      </c>
      <c r="AA270">
        <f t="shared" si="34"/>
        <v>0.28086425113940133</v>
      </c>
      <c r="AB270">
        <f t="shared" si="34"/>
        <v>0.36749162203250152</v>
      </c>
      <c r="AC270">
        <f t="shared" si="34"/>
        <v>0.3257646351480582</v>
      </c>
      <c r="AD270">
        <f t="shared" si="34"/>
        <v>0.33537282699914123</v>
      </c>
      <c r="AE270">
        <f t="shared" si="34"/>
        <v>0.33729631559839096</v>
      </c>
    </row>
    <row r="271" spans="2:31" x14ac:dyDescent="0.25">
      <c r="B271" s="1">
        <v>41432</v>
      </c>
      <c r="C271">
        <v>2</v>
      </c>
      <c r="D271">
        <f t="shared" si="35"/>
        <v>0.18045380183512341</v>
      </c>
      <c r="E271">
        <f t="shared" si="35"/>
        <v>0.16556480666245138</v>
      </c>
      <c r="F271">
        <f t="shared" si="35"/>
        <v>0.21476776498610545</v>
      </c>
      <c r="G271">
        <f t="shared" si="35"/>
        <v>0.15661539259707977</v>
      </c>
      <c r="H271">
        <f t="shared" si="35"/>
        <v>0.19532202638288426</v>
      </c>
      <c r="I271">
        <f t="shared" si="35"/>
        <v>0.25372364433554706</v>
      </c>
      <c r="J271">
        <f t="shared" si="35"/>
        <v>0.17280383091149254</v>
      </c>
      <c r="K271">
        <f t="shared" si="35"/>
        <v>0.11058890147225367</v>
      </c>
      <c r="L271">
        <f t="shared" si="35"/>
        <v>0.18943033630748105</v>
      </c>
      <c r="M271">
        <f t="shared" si="35"/>
        <v>0.13058844318784241</v>
      </c>
      <c r="N271">
        <f t="shared" si="35"/>
        <v>0.17473096196500462</v>
      </c>
      <c r="O271">
        <f t="shared" si="35"/>
        <v>0.17907383468937718</v>
      </c>
      <c r="R271" s="1">
        <v>41432</v>
      </c>
      <c r="S271">
        <v>2</v>
      </c>
      <c r="T271">
        <f t="shared" si="34"/>
        <v>0.26090761480955121</v>
      </c>
      <c r="U271">
        <f t="shared" si="34"/>
        <v>0.24152451058831778</v>
      </c>
      <c r="V271">
        <f t="shared" si="34"/>
        <v>0.24762094518226599</v>
      </c>
      <c r="W271">
        <f t="shared" si="34"/>
        <v>0.23450453333851146</v>
      </c>
      <c r="X271">
        <f t="shared" si="34"/>
        <v>0.28992806900777657</v>
      </c>
      <c r="Y271">
        <f t="shared" si="34"/>
        <v>0.35433719329833452</v>
      </c>
      <c r="Z271">
        <f t="shared" si="34"/>
        <v>0.25340893514900109</v>
      </c>
      <c r="AA271">
        <f t="shared" si="34"/>
        <v>0.15565884964733595</v>
      </c>
      <c r="AB271">
        <f t="shared" si="34"/>
        <v>0.27307225501526389</v>
      </c>
      <c r="AC271">
        <f t="shared" si="34"/>
        <v>0.17211581264579287</v>
      </c>
      <c r="AD271">
        <f t="shared" si="34"/>
        <v>0.23935628703002271</v>
      </c>
      <c r="AE271">
        <f t="shared" si="34"/>
        <v>0.21086401216405065</v>
      </c>
    </row>
    <row r="272" spans="2:31" x14ac:dyDescent="0.25">
      <c r="B272" s="1">
        <v>41527</v>
      </c>
      <c r="C272">
        <v>2</v>
      </c>
      <c r="D272">
        <f t="shared" si="35"/>
        <v>0.12633996937212852</v>
      </c>
      <c r="E272">
        <f t="shared" si="35"/>
        <v>0.12741475045293726</v>
      </c>
      <c r="F272">
        <f t="shared" si="35"/>
        <v>8.7861561611770528E-2</v>
      </c>
      <c r="G272">
        <f t="shared" si="35"/>
        <v>0.14991808445354562</v>
      </c>
      <c r="H272">
        <f t="shared" si="35"/>
        <v>0.12896890343698847</v>
      </c>
      <c r="I272">
        <f t="shared" si="35"/>
        <v>0.12094332981344603</v>
      </c>
      <c r="J272">
        <f t="shared" si="35"/>
        <v>0.14914186400173821</v>
      </c>
      <c r="K272">
        <f t="shared" si="35"/>
        <v>0.17272662333023789</v>
      </c>
      <c r="L272">
        <f t="shared" si="35"/>
        <v>0.12536461636017782</v>
      </c>
      <c r="M272">
        <f t="shared" si="35"/>
        <v>8.2746669554857738E-2</v>
      </c>
      <c r="N272" t="e">
        <f t="shared" si="35"/>
        <v>#N/A</v>
      </c>
      <c r="O272">
        <f t="shared" si="35"/>
        <v>0.12509032517061411</v>
      </c>
      <c r="R272" s="1">
        <v>41527</v>
      </c>
      <c r="S272">
        <v>2</v>
      </c>
      <c r="T272">
        <f t="shared" si="34"/>
        <v>0.18266758432782376</v>
      </c>
      <c r="U272">
        <f t="shared" si="34"/>
        <v>0.18587153795080977</v>
      </c>
      <c r="V272">
        <f t="shared" si="34"/>
        <v>0.10130180817826204</v>
      </c>
      <c r="W272">
        <f t="shared" si="34"/>
        <v>0.22447646971858237</v>
      </c>
      <c r="X272">
        <f t="shared" si="34"/>
        <v>0.19143619297824893</v>
      </c>
      <c r="Y272">
        <f t="shared" si="34"/>
        <v>0.16890313926587111</v>
      </c>
      <c r="Z272">
        <f t="shared" si="34"/>
        <v>0.2187097400761622</v>
      </c>
      <c r="AA272">
        <f t="shared" si="34"/>
        <v>0.24312048617102172</v>
      </c>
      <c r="AB272">
        <f t="shared" si="34"/>
        <v>0.18071867028219615</v>
      </c>
      <c r="AC272">
        <f t="shared" si="34"/>
        <v>0.10906026541476634</v>
      </c>
      <c r="AD272" t="e">
        <f t="shared" si="34"/>
        <v>#N/A</v>
      </c>
      <c r="AE272">
        <f t="shared" si="34"/>
        <v>0.14729705148792535</v>
      </c>
    </row>
    <row r="273" spans="2:31" x14ac:dyDescent="0.25">
      <c r="B273" s="1">
        <v>41667</v>
      </c>
      <c r="C273">
        <v>2</v>
      </c>
      <c r="D273" t="e">
        <f t="shared" si="35"/>
        <v>#N/A</v>
      </c>
      <c r="E273" t="e">
        <f t="shared" si="35"/>
        <v>#N/A</v>
      </c>
      <c r="F273" t="e">
        <f t="shared" si="35"/>
        <v>#N/A</v>
      </c>
      <c r="G273">
        <f t="shared" si="35"/>
        <v>0.21416896154384057</v>
      </c>
      <c r="H273" t="e">
        <f t="shared" si="35"/>
        <v>#N/A</v>
      </c>
      <c r="I273">
        <f t="shared" si="35"/>
        <v>0.14726753670473089</v>
      </c>
      <c r="J273">
        <f t="shared" si="35"/>
        <v>0.19938055205745203</v>
      </c>
      <c r="K273">
        <f t="shared" si="35"/>
        <v>0.20925011225864396</v>
      </c>
      <c r="L273">
        <f t="shared" si="35"/>
        <v>0.20637687475033578</v>
      </c>
      <c r="M273">
        <f t="shared" si="35"/>
        <v>0.233950308487577</v>
      </c>
      <c r="N273">
        <f t="shared" si="35"/>
        <v>0.24527435524603927</v>
      </c>
      <c r="O273" t="e">
        <f t="shared" si="35"/>
        <v>#N/A</v>
      </c>
      <c r="R273" s="1">
        <v>41667</v>
      </c>
      <c r="S273">
        <v>2</v>
      </c>
      <c r="T273" t="e">
        <f t="shared" si="34"/>
        <v>#N/A</v>
      </c>
      <c r="U273" t="e">
        <f t="shared" si="34"/>
        <v>#N/A</v>
      </c>
      <c r="V273" t="e">
        <f t="shared" si="34"/>
        <v>#N/A</v>
      </c>
      <c r="W273">
        <f t="shared" si="34"/>
        <v>0.3206810745074134</v>
      </c>
      <c r="X273" t="e">
        <f t="shared" si="34"/>
        <v>#N/A</v>
      </c>
      <c r="Y273">
        <f t="shared" si="34"/>
        <v>0.205666152070964</v>
      </c>
      <c r="Z273">
        <f t="shared" si="34"/>
        <v>0.2923824843453669</v>
      </c>
      <c r="AA273">
        <f t="shared" si="34"/>
        <v>0.29452893852036793</v>
      </c>
      <c r="AB273">
        <f t="shared" si="34"/>
        <v>0.29750144390601097</v>
      </c>
      <c r="AC273">
        <f t="shared" si="34"/>
        <v>0.30834694465384366</v>
      </c>
      <c r="AD273">
        <f t="shared" si="34"/>
        <v>0.33599058984825397</v>
      </c>
      <c r="AE273" t="e">
        <f t="shared" si="34"/>
        <v>#N/A</v>
      </c>
    </row>
    <row r="274" spans="2:31" x14ac:dyDescent="0.25">
      <c r="B274" s="1">
        <v>41674</v>
      </c>
      <c r="C274">
        <v>2</v>
      </c>
      <c r="D274">
        <f t="shared" si="35"/>
        <v>0.21842903828197943</v>
      </c>
      <c r="E274">
        <f t="shared" si="35"/>
        <v>0.23477766083425</v>
      </c>
      <c r="F274">
        <f t="shared" si="35"/>
        <v>0.19953410981697167</v>
      </c>
      <c r="G274" t="e">
        <f t="shared" si="35"/>
        <v>#N/A</v>
      </c>
      <c r="H274">
        <f t="shared" si="35"/>
        <v>0.1764936593018695</v>
      </c>
      <c r="I274" t="e">
        <f t="shared" si="35"/>
        <v>#N/A</v>
      </c>
      <c r="J274" t="e">
        <f t="shared" si="35"/>
        <v>#N/A</v>
      </c>
      <c r="K274" t="e">
        <f t="shared" si="35"/>
        <v>#N/A</v>
      </c>
      <c r="L274" t="e">
        <f t="shared" si="35"/>
        <v>#N/A</v>
      </c>
      <c r="M274" t="e">
        <f t="shared" si="35"/>
        <v>#N/A</v>
      </c>
      <c r="N274" t="e">
        <f t="shared" si="35"/>
        <v>#N/A</v>
      </c>
      <c r="O274">
        <f t="shared" si="35"/>
        <v>0.19945205479452074</v>
      </c>
      <c r="R274" s="1">
        <v>41674</v>
      </c>
      <c r="S274">
        <v>2</v>
      </c>
      <c r="T274">
        <f t="shared" si="34"/>
        <v>0.31581379169481677</v>
      </c>
      <c r="U274">
        <f t="shared" si="34"/>
        <v>0.34249162471871136</v>
      </c>
      <c r="V274">
        <f t="shared" si="34"/>
        <v>0.23005698677442177</v>
      </c>
      <c r="W274" t="e">
        <f t="shared" si="34"/>
        <v>#N/A</v>
      </c>
      <c r="X274">
        <f t="shared" si="34"/>
        <v>0.26198000697166329</v>
      </c>
      <c r="Y274" t="e">
        <f t="shared" si="34"/>
        <v>#N/A</v>
      </c>
      <c r="Z274" t="e">
        <f t="shared" si="34"/>
        <v>#N/A</v>
      </c>
      <c r="AA274" t="e">
        <f t="shared" si="34"/>
        <v>#N/A</v>
      </c>
      <c r="AB274" t="e">
        <f t="shared" si="34"/>
        <v>#N/A</v>
      </c>
      <c r="AC274" t="e">
        <f t="shared" si="34"/>
        <v>#N/A</v>
      </c>
      <c r="AD274" t="e">
        <f t="shared" si="34"/>
        <v>#N/A</v>
      </c>
      <c r="AE274">
        <f t="shared" si="34"/>
        <v>0.23485988660090718</v>
      </c>
    </row>
    <row r="275" spans="2:31" x14ac:dyDescent="0.25">
      <c r="B275" s="1">
        <v>41747</v>
      </c>
      <c r="C275">
        <v>2</v>
      </c>
      <c r="D275">
        <f t="shared" ref="D275:O290" si="36">D216/VLOOKUP($C216,$R$198:$AD$202,D$197+1,FALSE)</f>
        <v>0.24139025551499757</v>
      </c>
      <c r="E275">
        <f t="shared" si="36"/>
        <v>0.25758995053374523</v>
      </c>
      <c r="F275">
        <f t="shared" si="36"/>
        <v>0.30154125113327312</v>
      </c>
      <c r="G275">
        <f t="shared" si="36"/>
        <v>0.22770936103473924</v>
      </c>
      <c r="H275">
        <f t="shared" si="36"/>
        <v>0.23267999223753141</v>
      </c>
      <c r="I275">
        <f t="shared" si="36"/>
        <v>0.31731036398999729</v>
      </c>
      <c r="J275">
        <f t="shared" si="36"/>
        <v>0.23748036991798985</v>
      </c>
      <c r="K275">
        <f t="shared" si="36"/>
        <v>0.21493654409371923</v>
      </c>
      <c r="L275">
        <f t="shared" si="36"/>
        <v>0.27729826003562141</v>
      </c>
      <c r="M275">
        <f t="shared" si="36"/>
        <v>0.24115931461903034</v>
      </c>
      <c r="N275">
        <f t="shared" si="36"/>
        <v>0.31699126930826066</v>
      </c>
      <c r="O275">
        <f t="shared" si="36"/>
        <v>0.27433173406442757</v>
      </c>
      <c r="R275" s="1">
        <v>41747</v>
      </c>
      <c r="S275">
        <v>2</v>
      </c>
      <c r="T275">
        <f t="shared" si="34"/>
        <v>0.34901207491449837</v>
      </c>
      <c r="U275">
        <f t="shared" si="34"/>
        <v>0.37576999598696387</v>
      </c>
      <c r="V275">
        <f t="shared" si="34"/>
        <v>0.34766823420588661</v>
      </c>
      <c r="W275">
        <f t="shared" si="34"/>
        <v>0.34095548694654815</v>
      </c>
      <c r="X275">
        <f t="shared" si="34"/>
        <v>0.34538071356033895</v>
      </c>
      <c r="Y275">
        <f t="shared" si="34"/>
        <v>0.44313908573689942</v>
      </c>
      <c r="Z275">
        <f t="shared" si="34"/>
        <v>0.34825412921853427</v>
      </c>
      <c r="AA275">
        <f t="shared" si="34"/>
        <v>0.30253284692584104</v>
      </c>
      <c r="AB275">
        <f t="shared" si="34"/>
        <v>0.39973777514085379</v>
      </c>
      <c r="AC275">
        <f t="shared" si="34"/>
        <v>0.3178484282338172</v>
      </c>
      <c r="AD275">
        <f t="shared" si="34"/>
        <v>0.43423244735386624</v>
      </c>
      <c r="AE275">
        <f t="shared" si="34"/>
        <v>0.32303262064548888</v>
      </c>
    </row>
    <row r="276" spans="2:31" x14ac:dyDescent="0.25">
      <c r="B276" s="1">
        <v>41823</v>
      </c>
      <c r="C276">
        <v>2</v>
      </c>
      <c r="D276">
        <f t="shared" si="36"/>
        <v>0.2090328016428665</v>
      </c>
      <c r="E276">
        <f t="shared" si="36"/>
        <v>0.22174452122323091</v>
      </c>
      <c r="F276">
        <f t="shared" si="36"/>
        <v>0.28186121880945836</v>
      </c>
      <c r="G276">
        <f t="shared" si="36"/>
        <v>0.25158310045799248</v>
      </c>
      <c r="H276">
        <f t="shared" si="36"/>
        <v>0.20817171054700156</v>
      </c>
      <c r="I276">
        <f t="shared" si="36"/>
        <v>0.27969415878116677</v>
      </c>
      <c r="J276">
        <f t="shared" si="36"/>
        <v>0.23509351142396659</v>
      </c>
      <c r="K276">
        <f t="shared" si="36"/>
        <v>0.19649031444410694</v>
      </c>
      <c r="L276">
        <f t="shared" si="36"/>
        <v>0.22620834934635009</v>
      </c>
      <c r="M276">
        <f t="shared" si="36"/>
        <v>0.26615374497513933</v>
      </c>
      <c r="N276">
        <f t="shared" si="36"/>
        <v>0.25396641980788887</v>
      </c>
      <c r="O276">
        <f t="shared" si="36"/>
        <v>0.24500774120772004</v>
      </c>
      <c r="R276" s="1">
        <v>41823</v>
      </c>
      <c r="S276">
        <v>2</v>
      </c>
      <c r="T276">
        <f t="shared" si="34"/>
        <v>0.30222832181407133</v>
      </c>
      <c r="U276">
        <f t="shared" si="34"/>
        <v>0.3234789931731783</v>
      </c>
      <c r="V276">
        <f t="shared" si="34"/>
        <v>0.32497773311716022</v>
      </c>
      <c r="W276">
        <f t="shared" si="34"/>
        <v>0.37670229337251893</v>
      </c>
      <c r="X276">
        <f t="shared" si="34"/>
        <v>0.3090016173732813</v>
      </c>
      <c r="Y276">
        <f t="shared" si="34"/>
        <v>0.39060625770214219</v>
      </c>
      <c r="Z276">
        <f t="shared" si="34"/>
        <v>0.34475391011962103</v>
      </c>
      <c r="AA276">
        <f t="shared" si="34"/>
        <v>0.27656894956033884</v>
      </c>
      <c r="AB276">
        <f t="shared" si="34"/>
        <v>0.32608939657385239</v>
      </c>
      <c r="AC276">
        <f t="shared" si="34"/>
        <v>0.35079113424473379</v>
      </c>
      <c r="AD276">
        <f t="shared" si="34"/>
        <v>0.34789746815277706</v>
      </c>
      <c r="AE276">
        <f t="shared" si="34"/>
        <v>0.28850287040497474</v>
      </c>
    </row>
    <row r="277" spans="2:31" x14ac:dyDescent="0.25">
      <c r="B277" s="1">
        <v>40836</v>
      </c>
      <c r="C277">
        <v>3</v>
      </c>
      <c r="D277">
        <f t="shared" si="36"/>
        <v>0.12460690894474302</v>
      </c>
      <c r="E277">
        <f t="shared" si="36"/>
        <v>0.13138086331784651</v>
      </c>
      <c r="F277">
        <f t="shared" si="36"/>
        <v>0.21868721435983504</v>
      </c>
      <c r="G277">
        <f t="shared" si="36"/>
        <v>0.20583789982889389</v>
      </c>
      <c r="H277">
        <f t="shared" si="36"/>
        <v>0.21665241321842899</v>
      </c>
      <c r="I277" t="e">
        <f t="shared" si="36"/>
        <v>#N/A</v>
      </c>
      <c r="J277">
        <f t="shared" si="36"/>
        <v>0.21677753299253499</v>
      </c>
      <c r="K277">
        <f t="shared" si="36"/>
        <v>0.11793991043088799</v>
      </c>
      <c r="L277">
        <f t="shared" si="36"/>
        <v>0.23351525454057398</v>
      </c>
      <c r="M277">
        <f t="shared" si="36"/>
        <v>9.5610110598869105E-2</v>
      </c>
      <c r="N277">
        <f t="shared" si="36"/>
        <v>0.24562552634041399</v>
      </c>
      <c r="O277">
        <f t="shared" si="36"/>
        <v>0.23868475082555915</v>
      </c>
      <c r="R277" s="1">
        <v>40836</v>
      </c>
      <c r="S277">
        <v>3</v>
      </c>
      <c r="T277">
        <f t="shared" si="34"/>
        <v>0.19157268347558143</v>
      </c>
      <c r="U277">
        <f t="shared" si="34"/>
        <v>0.20734696491277349</v>
      </c>
      <c r="V277">
        <f t="shared" si="34"/>
        <v>0.27330100405699131</v>
      </c>
      <c r="W277">
        <f t="shared" si="34"/>
        <v>0.33754677019872725</v>
      </c>
      <c r="X277">
        <f t="shared" si="34"/>
        <v>0.34158838463894697</v>
      </c>
      <c r="Y277" t="e">
        <f t="shared" si="34"/>
        <v>#N/A</v>
      </c>
      <c r="Z277">
        <f t="shared" si="34"/>
        <v>0.32266623284347234</v>
      </c>
      <c r="AA277">
        <f t="shared" si="34"/>
        <v>0.17816324226101962</v>
      </c>
      <c r="AB277">
        <f t="shared" si="34"/>
        <v>0.35266469771358155</v>
      </c>
      <c r="AC277">
        <f t="shared" si="34"/>
        <v>0.1410532446808031</v>
      </c>
      <c r="AD277">
        <f t="shared" si="34"/>
        <v>0.35675088676081196</v>
      </c>
      <c r="AE277">
        <f t="shared" si="34"/>
        <v>0.33960190272186019</v>
      </c>
    </row>
    <row r="278" spans="2:31" x14ac:dyDescent="0.25">
      <c r="B278" s="1">
        <v>41037</v>
      </c>
      <c r="C278">
        <v>3</v>
      </c>
      <c r="D278">
        <f t="shared" si="36"/>
        <v>0.22889305816135092</v>
      </c>
      <c r="E278">
        <f t="shared" si="36"/>
        <v>0.22584207620099389</v>
      </c>
      <c r="F278">
        <f t="shared" si="36"/>
        <v>0.24903821492690434</v>
      </c>
      <c r="G278">
        <f t="shared" si="36"/>
        <v>0.2119639840892841</v>
      </c>
      <c r="H278">
        <f t="shared" si="36"/>
        <v>0.21417372216995914</v>
      </c>
      <c r="I278">
        <f t="shared" si="36"/>
        <v>0.3210332103321033</v>
      </c>
      <c r="J278">
        <f t="shared" si="36"/>
        <v>0.21177315147164391</v>
      </c>
      <c r="K278">
        <f t="shared" si="36"/>
        <v>0.20748705694942257</v>
      </c>
      <c r="L278">
        <f t="shared" si="36"/>
        <v>0.22741611700602241</v>
      </c>
      <c r="M278">
        <f t="shared" si="36"/>
        <v>0.20616570327552977</v>
      </c>
      <c r="N278">
        <f t="shared" si="36"/>
        <v>0.23886205045625353</v>
      </c>
      <c r="O278">
        <f t="shared" si="36"/>
        <v>0.24092490738809147</v>
      </c>
      <c r="R278" s="1">
        <v>41037</v>
      </c>
      <c r="S278">
        <v>3</v>
      </c>
      <c r="T278">
        <f t="shared" si="34"/>
        <v>0.3519039012543636</v>
      </c>
      <c r="U278">
        <f t="shared" si="34"/>
        <v>0.35642686360331155</v>
      </c>
      <c r="V278">
        <f t="shared" si="34"/>
        <v>0.31123170317626203</v>
      </c>
      <c r="W278">
        <f t="shared" ref="W278:AE306" si="37">G278*VLOOKUP($C278,$R$221:$AD$225,G$256+1,FALSE)</f>
        <v>0.34759273334632496</v>
      </c>
      <c r="X278">
        <f t="shared" si="37"/>
        <v>0.33768031798652431</v>
      </c>
      <c r="Y278">
        <f t="shared" si="37"/>
        <v>0.40997039252623185</v>
      </c>
      <c r="Z278">
        <f t="shared" si="37"/>
        <v>0.31521737543299055</v>
      </c>
      <c r="AA278">
        <f t="shared" si="37"/>
        <v>0.31343560172506757</v>
      </c>
      <c r="AB278">
        <f t="shared" si="37"/>
        <v>0.34345352005768043</v>
      </c>
      <c r="AC278">
        <f t="shared" si="37"/>
        <v>0.3041555041277938</v>
      </c>
      <c r="AD278">
        <f t="shared" si="37"/>
        <v>0.34692749399211581</v>
      </c>
      <c r="AE278">
        <f t="shared" si="37"/>
        <v>0.34278920910988675</v>
      </c>
    </row>
    <row r="279" spans="2:31" x14ac:dyDescent="0.25">
      <c r="B279" s="1">
        <v>41185</v>
      </c>
      <c r="C279">
        <v>3</v>
      </c>
      <c r="D279">
        <f t="shared" si="36"/>
        <v>0.12221982293241193</v>
      </c>
      <c r="E279">
        <f t="shared" si="36"/>
        <v>0.1441401971522453</v>
      </c>
      <c r="F279">
        <f t="shared" si="36"/>
        <v>0.11416986769099434</v>
      </c>
      <c r="G279">
        <f t="shared" si="36"/>
        <v>0.13416964257215858</v>
      </c>
      <c r="H279">
        <f t="shared" si="36"/>
        <v>0.10464807436918985</v>
      </c>
      <c r="I279">
        <f t="shared" si="36"/>
        <v>0.11010989010989024</v>
      </c>
      <c r="J279">
        <f t="shared" si="36"/>
        <v>0.19330289193302899</v>
      </c>
      <c r="K279">
        <f t="shared" si="36"/>
        <v>0.14759481201773098</v>
      </c>
      <c r="L279">
        <f t="shared" si="36"/>
        <v>0.21799307958477521</v>
      </c>
      <c r="M279">
        <f t="shared" si="36"/>
        <v>8.7619434844480648E-2</v>
      </c>
      <c r="N279">
        <f t="shared" si="36"/>
        <v>0.1291946308724832</v>
      </c>
      <c r="O279">
        <f t="shared" si="36"/>
        <v>8.3885848942817795E-2</v>
      </c>
      <c r="R279" s="1">
        <v>41185</v>
      </c>
      <c r="S279">
        <v>3</v>
      </c>
      <c r="T279">
        <f t="shared" ref="T279:V306" si="38">D279*VLOOKUP($C279,$R$221:$AD$225,D$256+1,FALSE)</f>
        <v>0.18790273871134622</v>
      </c>
      <c r="U279">
        <f t="shared" si="38"/>
        <v>0.22748390935095236</v>
      </c>
      <c r="V279">
        <f t="shared" si="38"/>
        <v>0.14268204734484663</v>
      </c>
      <c r="W279">
        <f t="shared" si="37"/>
        <v>0.22002036333734756</v>
      </c>
      <c r="X279">
        <f t="shared" si="37"/>
        <v>0.16499500812533419</v>
      </c>
      <c r="Y279">
        <f t="shared" si="37"/>
        <v>0.14061409666206667</v>
      </c>
      <c r="Z279">
        <f t="shared" si="37"/>
        <v>0.28772500118786376</v>
      </c>
      <c r="AA279">
        <f t="shared" si="37"/>
        <v>0.22296074461913315</v>
      </c>
      <c r="AB279">
        <f t="shared" si="37"/>
        <v>0.32922244701602399</v>
      </c>
      <c r="AC279">
        <f t="shared" si="37"/>
        <v>0.12926463011599529</v>
      </c>
      <c r="AD279">
        <f t="shared" si="37"/>
        <v>0.18764458163284428</v>
      </c>
      <c r="AE279">
        <f t="shared" si="37"/>
        <v>0.11935322140977303</v>
      </c>
    </row>
    <row r="280" spans="2:31" x14ac:dyDescent="0.25">
      <c r="B280" s="1">
        <v>41362</v>
      </c>
      <c r="C280">
        <v>3</v>
      </c>
      <c r="D280">
        <f t="shared" si="36"/>
        <v>0.22822556834957178</v>
      </c>
      <c r="E280">
        <f t="shared" si="36"/>
        <v>0.22431294874969038</v>
      </c>
      <c r="F280">
        <f t="shared" si="36"/>
        <v>0.27533664068036867</v>
      </c>
      <c r="G280">
        <f t="shared" si="36"/>
        <v>0.21910256235172618</v>
      </c>
      <c r="H280">
        <f t="shared" si="36"/>
        <v>0.22002294893861143</v>
      </c>
      <c r="I280">
        <f t="shared" si="36"/>
        <v>0.34938775510204084</v>
      </c>
      <c r="J280">
        <f t="shared" si="36"/>
        <v>0.24027686222808198</v>
      </c>
      <c r="K280">
        <f t="shared" si="36"/>
        <v>0.20330902972518228</v>
      </c>
      <c r="L280">
        <f t="shared" si="36"/>
        <v>0.27032590051457994</v>
      </c>
      <c r="M280">
        <f t="shared" si="36"/>
        <v>0.20886942239255413</v>
      </c>
      <c r="N280">
        <f t="shared" si="36"/>
        <v>0.24909200968522993</v>
      </c>
      <c r="O280">
        <f t="shared" si="36"/>
        <v>0.24350858498994762</v>
      </c>
      <c r="R280" s="1">
        <v>41362</v>
      </c>
      <c r="S280">
        <v>3</v>
      </c>
      <c r="T280">
        <f t="shared" si="38"/>
        <v>0.35087769158815768</v>
      </c>
      <c r="U280">
        <f t="shared" si="38"/>
        <v>0.35401357503155406</v>
      </c>
      <c r="V280">
        <f t="shared" si="38"/>
        <v>0.3440977588557389</v>
      </c>
      <c r="W280">
        <f t="shared" si="37"/>
        <v>0.35929905195092204</v>
      </c>
      <c r="X280">
        <f t="shared" si="37"/>
        <v>0.34690259201343032</v>
      </c>
      <c r="Y280">
        <f t="shared" si="37"/>
        <v>0.44618011624051218</v>
      </c>
      <c r="Z280">
        <f t="shared" si="37"/>
        <v>0.35764421203767016</v>
      </c>
      <c r="AA280">
        <f t="shared" si="37"/>
        <v>0.30712415995946052</v>
      </c>
      <c r="AB280">
        <f t="shared" si="37"/>
        <v>0.40825770537642286</v>
      </c>
      <c r="AC280">
        <f t="shared" si="37"/>
        <v>0.30814429100161955</v>
      </c>
      <c r="AD280">
        <f t="shared" si="37"/>
        <v>0.36178566887662011</v>
      </c>
      <c r="AE280">
        <f t="shared" si="37"/>
        <v>0.34646527901621882</v>
      </c>
    </row>
    <row r="281" spans="2:31" x14ac:dyDescent="0.25">
      <c r="B281" s="1">
        <v>41432</v>
      </c>
      <c r="C281">
        <v>3</v>
      </c>
      <c r="D281">
        <f t="shared" si="36"/>
        <v>0.19296960820212361</v>
      </c>
      <c r="E281" t="e">
        <f t="shared" si="36"/>
        <v>#N/A</v>
      </c>
      <c r="F281">
        <f t="shared" si="36"/>
        <v>0.22308766257623619</v>
      </c>
      <c r="G281" t="e">
        <f t="shared" si="36"/>
        <v>#N/A</v>
      </c>
      <c r="H281" t="e">
        <f t="shared" si="36"/>
        <v>#N/A</v>
      </c>
      <c r="I281">
        <f t="shared" si="36"/>
        <v>0.28868225292242294</v>
      </c>
      <c r="J281">
        <f t="shared" si="36"/>
        <v>0.20075757575757563</v>
      </c>
      <c r="K281" t="e">
        <f t="shared" si="36"/>
        <v>#N/A</v>
      </c>
      <c r="L281">
        <f t="shared" si="36"/>
        <v>0.22588429168383262</v>
      </c>
      <c r="M281">
        <f t="shared" si="36"/>
        <v>0.1420549581839905</v>
      </c>
      <c r="N281">
        <f t="shared" si="36"/>
        <v>0.2128111132548717</v>
      </c>
      <c r="O281" t="e">
        <f t="shared" si="36"/>
        <v>#N/A</v>
      </c>
      <c r="R281" s="1">
        <v>41432</v>
      </c>
      <c r="S281">
        <v>3</v>
      </c>
      <c r="T281">
        <f t="shared" si="38"/>
        <v>0.29667460645304772</v>
      </c>
      <c r="U281" t="e">
        <f t="shared" si="38"/>
        <v>#N/A</v>
      </c>
      <c r="V281">
        <f t="shared" si="38"/>
        <v>0.27880039696555137</v>
      </c>
      <c r="W281" t="e">
        <f t="shared" si="37"/>
        <v>#N/A</v>
      </c>
      <c r="X281" t="e">
        <f t="shared" si="37"/>
        <v>#N/A</v>
      </c>
      <c r="Y281">
        <f t="shared" si="37"/>
        <v>0.36865711314891825</v>
      </c>
      <c r="Z281">
        <f t="shared" si="37"/>
        <v>0.29882105304111772</v>
      </c>
      <c r="AA281" t="e">
        <f t="shared" si="37"/>
        <v>#N/A</v>
      </c>
      <c r="AB281">
        <f t="shared" si="37"/>
        <v>0.34114009211798152</v>
      </c>
      <c r="AC281">
        <f t="shared" si="37"/>
        <v>0.20957315758072842</v>
      </c>
      <c r="AD281">
        <f t="shared" si="37"/>
        <v>0.30909064907615624</v>
      </c>
      <c r="AE281" t="e">
        <f t="shared" si="37"/>
        <v>#N/A</v>
      </c>
    </row>
    <row r="282" spans="2:31" x14ac:dyDescent="0.25">
      <c r="B282" s="1">
        <v>41527</v>
      </c>
      <c r="C282">
        <v>3</v>
      </c>
      <c r="D282">
        <f t="shared" si="36"/>
        <v>0.14402743379691343</v>
      </c>
      <c r="E282">
        <f t="shared" si="36"/>
        <v>0.14541912057742523</v>
      </c>
      <c r="F282">
        <f t="shared" si="36"/>
        <v>0.14252825449979081</v>
      </c>
      <c r="G282">
        <f t="shared" si="36"/>
        <v>0.15741731641441156</v>
      </c>
      <c r="H282">
        <f t="shared" si="36"/>
        <v>0.16185267475645182</v>
      </c>
      <c r="I282">
        <f t="shared" si="36"/>
        <v>0.13723311373918584</v>
      </c>
      <c r="J282">
        <f t="shared" si="36"/>
        <v>0.15802064971040053</v>
      </c>
      <c r="K282">
        <f t="shared" si="36"/>
        <v>0.13862890184740512</v>
      </c>
      <c r="L282">
        <f t="shared" si="36"/>
        <v>0.16599408124831871</v>
      </c>
      <c r="M282">
        <f t="shared" si="36"/>
        <v>0.11855765665554312</v>
      </c>
      <c r="N282">
        <f t="shared" si="36"/>
        <v>0.15147625160462116</v>
      </c>
      <c r="O282">
        <f t="shared" si="36"/>
        <v>0.17254616750007673</v>
      </c>
      <c r="R282" s="1">
        <v>41527</v>
      </c>
      <c r="S282">
        <v>3</v>
      </c>
      <c r="T282">
        <f t="shared" si="38"/>
        <v>0.22143011346836244</v>
      </c>
      <c r="U282">
        <f t="shared" si="38"/>
        <v>0.22950232271702503</v>
      </c>
      <c r="V282">
        <f t="shared" si="38"/>
        <v>0.17812250787185255</v>
      </c>
      <c r="W282">
        <f t="shared" si="37"/>
        <v>0.25814345547251327</v>
      </c>
      <c r="X282">
        <f t="shared" si="37"/>
        <v>0.25518752779277326</v>
      </c>
      <c r="Y282">
        <f t="shared" si="37"/>
        <v>0.17525138115477049</v>
      </c>
      <c r="Z282">
        <f t="shared" si="37"/>
        <v>0.23520854329165519</v>
      </c>
      <c r="AA282">
        <f t="shared" si="37"/>
        <v>0.2094165964174744</v>
      </c>
      <c r="AB282">
        <f t="shared" si="37"/>
        <v>0.25069134177489233</v>
      </c>
      <c r="AC282">
        <f t="shared" si="37"/>
        <v>0.17490767501752866</v>
      </c>
      <c r="AD282">
        <f t="shared" si="37"/>
        <v>0.2200068042124379</v>
      </c>
      <c r="AE282">
        <f t="shared" si="37"/>
        <v>0.24549958297593968</v>
      </c>
    </row>
    <row r="283" spans="2:31" x14ac:dyDescent="0.25">
      <c r="B283" s="1">
        <v>41667</v>
      </c>
      <c r="C283">
        <v>3</v>
      </c>
      <c r="D283" t="e">
        <f t="shared" si="36"/>
        <v>#N/A</v>
      </c>
      <c r="E283" t="e">
        <f t="shared" si="36"/>
        <v>#N/A</v>
      </c>
      <c r="F283" t="e">
        <f t="shared" si="36"/>
        <v>#N/A</v>
      </c>
      <c r="G283">
        <f t="shared" si="36"/>
        <v>0.21896455093176395</v>
      </c>
      <c r="H283" t="e">
        <f t="shared" si="36"/>
        <v>#N/A</v>
      </c>
      <c r="I283">
        <f t="shared" si="36"/>
        <v>0.10593777388255902</v>
      </c>
      <c r="J283">
        <f t="shared" si="36"/>
        <v>0.15351224851847664</v>
      </c>
      <c r="K283">
        <f t="shared" si="36"/>
        <v>0.2034646739130434</v>
      </c>
      <c r="L283">
        <f t="shared" si="36"/>
        <v>6.4065780265920233E-2</v>
      </c>
      <c r="M283">
        <f t="shared" si="36"/>
        <v>0.20194438164141987</v>
      </c>
      <c r="N283">
        <f t="shared" si="36"/>
        <v>0.24565536417702949</v>
      </c>
      <c r="O283" t="e">
        <f t="shared" si="36"/>
        <v>#N/A</v>
      </c>
      <c r="R283" s="1">
        <v>41667</v>
      </c>
      <c r="S283">
        <v>3</v>
      </c>
      <c r="T283" t="e">
        <f t="shared" si="38"/>
        <v>#N/A</v>
      </c>
      <c r="U283" t="e">
        <f t="shared" si="38"/>
        <v>#N/A</v>
      </c>
      <c r="V283" t="e">
        <f t="shared" si="38"/>
        <v>#N/A</v>
      </c>
      <c r="W283">
        <f t="shared" si="37"/>
        <v>0.35907273158379083</v>
      </c>
      <c r="X283" t="e">
        <f t="shared" si="37"/>
        <v>#N/A</v>
      </c>
      <c r="Y283">
        <f t="shared" si="37"/>
        <v>0.13528616150665201</v>
      </c>
      <c r="Z283">
        <f t="shared" si="37"/>
        <v>0.22849793629902374</v>
      </c>
      <c r="AA283">
        <f t="shared" si="37"/>
        <v>0.30735928031055382</v>
      </c>
      <c r="AB283">
        <f t="shared" si="37"/>
        <v>9.6754874004771993E-2</v>
      </c>
      <c r="AC283">
        <f t="shared" si="37"/>
        <v>0.29792780383958267</v>
      </c>
      <c r="AD283">
        <f t="shared" si="37"/>
        <v>0.35679422376584646</v>
      </c>
      <c r="AE283" t="e">
        <f t="shared" si="37"/>
        <v>#N/A</v>
      </c>
    </row>
    <row r="284" spans="2:31" x14ac:dyDescent="0.25">
      <c r="B284" s="1">
        <v>41674</v>
      </c>
      <c r="C284">
        <v>3</v>
      </c>
      <c r="D284">
        <f t="shared" si="36"/>
        <v>0.16304680330376267</v>
      </c>
      <c r="E284">
        <f t="shared" si="36"/>
        <v>0.22524178372937737</v>
      </c>
      <c r="F284">
        <f t="shared" si="36"/>
        <v>0.13957991955906443</v>
      </c>
      <c r="G284" t="e">
        <f t="shared" si="36"/>
        <v>#N/A</v>
      </c>
      <c r="H284" t="e">
        <f t="shared" si="36"/>
        <v>#N/A</v>
      </c>
      <c r="I284" t="e">
        <f t="shared" si="36"/>
        <v>#N/A</v>
      </c>
      <c r="J284" t="e">
        <f t="shared" si="36"/>
        <v>#N/A</v>
      </c>
      <c r="K284" t="e">
        <f t="shared" si="36"/>
        <v>#N/A</v>
      </c>
      <c r="L284" t="e">
        <f t="shared" si="36"/>
        <v>#N/A</v>
      </c>
      <c r="M284" t="e">
        <f t="shared" si="36"/>
        <v>#N/A</v>
      </c>
      <c r="N284" t="e">
        <f t="shared" si="36"/>
        <v>#N/A</v>
      </c>
      <c r="O284">
        <f t="shared" si="36"/>
        <v>0.11246310801175821</v>
      </c>
      <c r="R284" s="1">
        <v>41674</v>
      </c>
      <c r="S284">
        <v>3</v>
      </c>
      <c r="T284">
        <f t="shared" si="38"/>
        <v>0.25067080072476899</v>
      </c>
      <c r="U284">
        <f t="shared" si="38"/>
        <v>0.35547947431916177</v>
      </c>
      <c r="V284">
        <f t="shared" si="38"/>
        <v>0.17443787133763355</v>
      </c>
      <c r="W284" t="e">
        <f t="shared" si="37"/>
        <v>#N/A</v>
      </c>
      <c r="X284" t="e">
        <f t="shared" si="37"/>
        <v>#N/A</v>
      </c>
      <c r="Y284" t="e">
        <f t="shared" si="37"/>
        <v>#N/A</v>
      </c>
      <c r="Z284" t="e">
        <f t="shared" si="37"/>
        <v>#N/A</v>
      </c>
      <c r="AA284" t="e">
        <f t="shared" si="37"/>
        <v>#N/A</v>
      </c>
      <c r="AB284" t="e">
        <f t="shared" si="37"/>
        <v>#N/A</v>
      </c>
      <c r="AC284" t="e">
        <f t="shared" si="37"/>
        <v>#N/A</v>
      </c>
      <c r="AD284" t="e">
        <f t="shared" si="37"/>
        <v>#N/A</v>
      </c>
      <c r="AE284">
        <f t="shared" si="37"/>
        <v>0.160013093985715</v>
      </c>
    </row>
    <row r="285" spans="2:31" x14ac:dyDescent="0.25">
      <c r="B285" s="1">
        <v>41747</v>
      </c>
      <c r="C285">
        <v>3</v>
      </c>
      <c r="D285">
        <f t="shared" si="36"/>
        <v>0.23544346648612047</v>
      </c>
      <c r="E285">
        <f t="shared" si="36"/>
        <v>0.25433715220949232</v>
      </c>
      <c r="F285">
        <f t="shared" si="36"/>
        <v>0.2608277189605388</v>
      </c>
      <c r="G285">
        <f t="shared" si="36"/>
        <v>0.21194439677364008</v>
      </c>
      <c r="H285">
        <f t="shared" si="36"/>
        <v>0.22237521514629954</v>
      </c>
      <c r="I285">
        <f t="shared" si="36"/>
        <v>0.36842891278375128</v>
      </c>
      <c r="J285">
        <f t="shared" si="36"/>
        <v>0.24370290635091482</v>
      </c>
      <c r="K285">
        <f t="shared" si="36"/>
        <v>0.19234147198313709</v>
      </c>
      <c r="L285">
        <f t="shared" si="36"/>
        <v>0.26998991499783909</v>
      </c>
      <c r="M285">
        <f t="shared" si="36"/>
        <v>0.19008419083255371</v>
      </c>
      <c r="N285">
        <f t="shared" si="36"/>
        <v>0.30185097294731844</v>
      </c>
      <c r="O285">
        <f t="shared" si="36"/>
        <v>0.27909897201281575</v>
      </c>
      <c r="R285" s="1">
        <v>41747</v>
      </c>
      <c r="S285">
        <v>3</v>
      </c>
      <c r="T285">
        <f t="shared" si="38"/>
        <v>0.3619746052888676</v>
      </c>
      <c r="U285">
        <f t="shared" si="38"/>
        <v>0.40139815832701092</v>
      </c>
      <c r="V285">
        <f t="shared" si="38"/>
        <v>0.32596545566910107</v>
      </c>
      <c r="W285">
        <f t="shared" si="37"/>
        <v>0.34756061275464578</v>
      </c>
      <c r="X285">
        <f t="shared" si="37"/>
        <v>0.35061132898150127</v>
      </c>
      <c r="Y285">
        <f t="shared" si="37"/>
        <v>0.47049632602095581</v>
      </c>
      <c r="Z285">
        <f t="shared" si="37"/>
        <v>0.36274376610773179</v>
      </c>
      <c r="AA285">
        <f t="shared" si="37"/>
        <v>0.29055626839613125</v>
      </c>
      <c r="AB285">
        <f t="shared" si="37"/>
        <v>0.40775028571799127</v>
      </c>
      <c r="AC285">
        <f t="shared" si="37"/>
        <v>0.28043050794016972</v>
      </c>
      <c r="AD285">
        <f t="shared" si="37"/>
        <v>0.43841372626445818</v>
      </c>
      <c r="AE285">
        <f t="shared" si="37"/>
        <v>0.3971034664570528</v>
      </c>
    </row>
    <row r="286" spans="2:31" x14ac:dyDescent="0.25">
      <c r="B286" s="1">
        <v>41823</v>
      </c>
      <c r="C286">
        <v>3</v>
      </c>
      <c r="D286">
        <f t="shared" si="36"/>
        <v>0.20830007667562039</v>
      </c>
      <c r="E286">
        <f t="shared" si="36"/>
        <v>0.20772684703377778</v>
      </c>
      <c r="F286">
        <f t="shared" si="36"/>
        <v>0.24894468883387591</v>
      </c>
      <c r="G286">
        <f t="shared" si="36"/>
        <v>0.21527046940218861</v>
      </c>
      <c r="H286">
        <f t="shared" si="36"/>
        <v>0.21300633875068925</v>
      </c>
      <c r="I286">
        <f t="shared" si="36"/>
        <v>0.26218465188583917</v>
      </c>
      <c r="J286">
        <f t="shared" si="36"/>
        <v>0.21141419544645226</v>
      </c>
      <c r="K286">
        <f t="shared" si="36"/>
        <v>0.18907283583610923</v>
      </c>
      <c r="L286">
        <f t="shared" si="36"/>
        <v>0.25492868687536302</v>
      </c>
      <c r="M286">
        <f t="shared" si="36"/>
        <v>0.19730580474817816</v>
      </c>
      <c r="N286">
        <f t="shared" si="36"/>
        <v>0.23259940442563853</v>
      </c>
      <c r="O286">
        <f t="shared" si="36"/>
        <v>0.22518789364196018</v>
      </c>
      <c r="R286" s="1">
        <v>41823</v>
      </c>
      <c r="S286">
        <v>3</v>
      </c>
      <c r="T286">
        <f t="shared" si="38"/>
        <v>0.32024391741082092</v>
      </c>
      <c r="U286">
        <f t="shared" si="38"/>
        <v>0.32783717640180127</v>
      </c>
      <c r="V286">
        <f t="shared" si="38"/>
        <v>0.31111482037081306</v>
      </c>
      <c r="W286">
        <f t="shared" si="37"/>
        <v>0.35301492935108508</v>
      </c>
      <c r="X286">
        <f t="shared" si="37"/>
        <v>0.33583974482826157</v>
      </c>
      <c r="Y286">
        <f t="shared" si="37"/>
        <v>0.33481877011040856</v>
      </c>
      <c r="Z286">
        <f t="shared" si="37"/>
        <v>0.31468308118761296</v>
      </c>
      <c r="AA286">
        <f t="shared" si="37"/>
        <v>0.28561857757036702</v>
      </c>
      <c r="AB286">
        <f t="shared" si="37"/>
        <v>0.38500417658923874</v>
      </c>
      <c r="AC286">
        <f t="shared" si="37"/>
        <v>0.29108452840150489</v>
      </c>
      <c r="AD286">
        <f t="shared" si="37"/>
        <v>0.33783151541782636</v>
      </c>
      <c r="AE286">
        <f t="shared" si="37"/>
        <v>0.32039850424557764</v>
      </c>
    </row>
    <row r="287" spans="2:31" x14ac:dyDescent="0.25">
      <c r="B287" s="1">
        <v>40836</v>
      </c>
      <c r="C287">
        <v>4</v>
      </c>
      <c r="D287">
        <f t="shared" si="36"/>
        <v>0.151669958903799</v>
      </c>
      <c r="E287">
        <f t="shared" si="36"/>
        <v>0.19041252452935997</v>
      </c>
      <c r="F287">
        <f t="shared" si="36"/>
        <v>0.22859552063838098</v>
      </c>
      <c r="G287">
        <f t="shared" si="36"/>
        <v>0.20252415280214803</v>
      </c>
      <c r="H287">
        <f t="shared" si="36"/>
        <v>0.20426109800080097</v>
      </c>
      <c r="I287">
        <f t="shared" si="36"/>
        <v>0.19983190675248297</v>
      </c>
      <c r="J287">
        <f t="shared" si="36"/>
        <v>0.20618123792727</v>
      </c>
      <c r="K287">
        <f t="shared" si="36"/>
        <v>0.13825740001855802</v>
      </c>
      <c r="L287">
        <f t="shared" si="36"/>
        <v>0.23173631599806202</v>
      </c>
      <c r="M287">
        <f t="shared" si="36"/>
        <v>0.124288123579302</v>
      </c>
      <c r="N287">
        <f t="shared" si="36"/>
        <v>0.25166029839883602</v>
      </c>
      <c r="O287">
        <f t="shared" si="36"/>
        <v>0.22542286659036001</v>
      </c>
      <c r="R287" s="1">
        <v>40836</v>
      </c>
      <c r="S287">
        <v>4</v>
      </c>
      <c r="T287">
        <f t="shared" si="38"/>
        <v>0.25236295931255226</v>
      </c>
      <c r="U287">
        <f t="shared" si="38"/>
        <v>0.32028385720916958</v>
      </c>
      <c r="V287">
        <f t="shared" si="38"/>
        <v>0.36950558619552193</v>
      </c>
      <c r="W287">
        <f t="shared" si="37"/>
        <v>0.33936696737601901</v>
      </c>
      <c r="X287">
        <f t="shared" si="37"/>
        <v>0.33678554005274303</v>
      </c>
      <c r="Y287">
        <f t="shared" si="37"/>
        <v>0.2584790941049887</v>
      </c>
      <c r="Z287">
        <f t="shared" si="37"/>
        <v>0.33238676420847241</v>
      </c>
      <c r="AA287">
        <f t="shared" si="37"/>
        <v>0.23371493205876714</v>
      </c>
      <c r="AB287">
        <f t="shared" si="37"/>
        <v>0.34095353197320644</v>
      </c>
      <c r="AC287">
        <f t="shared" si="37"/>
        <v>0.20942895216142776</v>
      </c>
      <c r="AD287">
        <f t="shared" si="37"/>
        <v>0.36646581027306796</v>
      </c>
      <c r="AE287">
        <f t="shared" si="37"/>
        <v>0.35710945546886047</v>
      </c>
    </row>
    <row r="288" spans="2:31" x14ac:dyDescent="0.25">
      <c r="B288" s="1">
        <v>41037</v>
      </c>
      <c r="C288">
        <v>4</v>
      </c>
      <c r="D288">
        <f t="shared" si="36"/>
        <v>0.21765331442750799</v>
      </c>
      <c r="E288">
        <f t="shared" si="36"/>
        <v>0.20956816257408953</v>
      </c>
      <c r="F288">
        <f t="shared" si="36"/>
        <v>0.22876195998840243</v>
      </c>
      <c r="G288">
        <f t="shared" si="36"/>
        <v>0.20433996383363459</v>
      </c>
      <c r="H288">
        <f t="shared" si="36"/>
        <v>0.20767405063291139</v>
      </c>
      <c r="I288">
        <f t="shared" si="36"/>
        <v>0.29700272479564038</v>
      </c>
      <c r="J288">
        <f t="shared" si="36"/>
        <v>0.19858989424206816</v>
      </c>
      <c r="K288">
        <f t="shared" si="36"/>
        <v>0.19616685456595256</v>
      </c>
      <c r="L288">
        <f t="shared" si="36"/>
        <v>0.23081081081081081</v>
      </c>
      <c r="M288">
        <f t="shared" si="36"/>
        <v>0.20590302178496148</v>
      </c>
      <c r="N288">
        <f t="shared" si="36"/>
        <v>0.2479050279329609</v>
      </c>
      <c r="O288">
        <f t="shared" si="36"/>
        <v>0.22627465574990688</v>
      </c>
      <c r="R288" s="1">
        <v>41037</v>
      </c>
      <c r="S288">
        <v>4</v>
      </c>
      <c r="T288">
        <f t="shared" si="38"/>
        <v>0.36215236642841553</v>
      </c>
      <c r="U288">
        <f t="shared" si="38"/>
        <v>0.35250464549729865</v>
      </c>
      <c r="V288">
        <f t="shared" si="38"/>
        <v>0.36977462151792861</v>
      </c>
      <c r="W288">
        <f t="shared" si="37"/>
        <v>0.34240969721617553</v>
      </c>
      <c r="X288">
        <f t="shared" si="37"/>
        <v>0.34241281370705007</v>
      </c>
      <c r="Y288">
        <f t="shared" si="37"/>
        <v>0.38416785637229839</v>
      </c>
      <c r="Z288">
        <f t="shared" si="37"/>
        <v>0.32014868576406647</v>
      </c>
      <c r="AA288">
        <f t="shared" si="37"/>
        <v>0.33160701040891621</v>
      </c>
      <c r="AB288">
        <f t="shared" si="37"/>
        <v>0.33959183662954068</v>
      </c>
      <c r="AC288">
        <f t="shared" si="37"/>
        <v>0.34695233025850697</v>
      </c>
      <c r="AD288">
        <f t="shared" si="37"/>
        <v>0.36099741401498808</v>
      </c>
      <c r="AE288">
        <f t="shared" si="37"/>
        <v>0.35845883926270966</v>
      </c>
    </row>
    <row r="289" spans="2:31" x14ac:dyDescent="0.25">
      <c r="B289" s="1">
        <v>41185</v>
      </c>
      <c r="C289">
        <v>4</v>
      </c>
      <c r="D289">
        <f t="shared" si="36"/>
        <v>0.19500624219725352</v>
      </c>
      <c r="E289">
        <f t="shared" si="36"/>
        <v>0.18389423076923089</v>
      </c>
      <c r="F289">
        <f t="shared" si="36"/>
        <v>0.19509476031215164</v>
      </c>
      <c r="G289">
        <f t="shared" si="36"/>
        <v>0.19117647058823545</v>
      </c>
      <c r="H289">
        <f t="shared" si="36"/>
        <v>0.17823431426985012</v>
      </c>
      <c r="I289">
        <f t="shared" si="36"/>
        <v>0.12513916722333548</v>
      </c>
      <c r="J289">
        <f t="shared" si="36"/>
        <v>0.21271875770273588</v>
      </c>
      <c r="K289">
        <f t="shared" si="36"/>
        <v>0.17289719626168207</v>
      </c>
      <c r="L289">
        <f t="shared" si="36"/>
        <v>0.23569962369893957</v>
      </c>
      <c r="M289">
        <f t="shared" si="36"/>
        <v>0.1396857071588925</v>
      </c>
      <c r="N289">
        <f t="shared" si="36"/>
        <v>0.22440132122213055</v>
      </c>
      <c r="O289">
        <f t="shared" si="36"/>
        <v>0.2044994944388272</v>
      </c>
      <c r="R289" s="1">
        <v>41185</v>
      </c>
      <c r="S289">
        <v>4</v>
      </c>
      <c r="T289">
        <f t="shared" si="38"/>
        <v>0.32447000527331543</v>
      </c>
      <c r="U289">
        <f t="shared" si="38"/>
        <v>0.30931974508956633</v>
      </c>
      <c r="V289">
        <f t="shared" si="38"/>
        <v>0.31535440227131389</v>
      </c>
      <c r="W289">
        <f t="shared" si="37"/>
        <v>0.32035181068285912</v>
      </c>
      <c r="X289">
        <f t="shared" si="37"/>
        <v>0.29387259921155623</v>
      </c>
      <c r="Y289">
        <f t="shared" si="37"/>
        <v>0.16186533525401867</v>
      </c>
      <c r="Z289">
        <f t="shared" si="37"/>
        <v>0.34292596295400773</v>
      </c>
      <c r="AA289">
        <f t="shared" si="37"/>
        <v>0.2922712019177735</v>
      </c>
      <c r="AB289">
        <f t="shared" si="37"/>
        <v>0.34678474471640941</v>
      </c>
      <c r="AC289">
        <f t="shared" si="37"/>
        <v>0.23537430962620698</v>
      </c>
      <c r="AD289">
        <f t="shared" si="37"/>
        <v>0.32677149527052862</v>
      </c>
      <c r="AE289">
        <f t="shared" si="37"/>
        <v>0.32396315514616847</v>
      </c>
    </row>
    <row r="290" spans="2:31" x14ac:dyDescent="0.25">
      <c r="B290" s="1">
        <v>41362</v>
      </c>
      <c r="C290">
        <v>4</v>
      </c>
      <c r="D290">
        <f t="shared" si="36"/>
        <v>0.21702838063439059</v>
      </c>
      <c r="E290">
        <f t="shared" si="36"/>
        <v>0.21391152502910366</v>
      </c>
      <c r="F290">
        <f t="shared" si="36"/>
        <v>0.23788368336025856</v>
      </c>
      <c r="G290" t="e">
        <f t="shared" si="36"/>
        <v>#N/A</v>
      </c>
      <c r="H290">
        <f t="shared" si="36"/>
        <v>0.2281067556296914</v>
      </c>
      <c r="I290">
        <f t="shared" si="36"/>
        <v>0.39574816026165166</v>
      </c>
      <c r="J290">
        <f t="shared" si="36"/>
        <v>0.22410615554736452</v>
      </c>
      <c r="K290" t="e">
        <f t="shared" si="36"/>
        <v>#N/A</v>
      </c>
      <c r="L290">
        <f t="shared" si="36"/>
        <v>0.28302958158413216</v>
      </c>
      <c r="M290">
        <f t="shared" si="36"/>
        <v>0.19899371069182398</v>
      </c>
      <c r="N290">
        <f t="shared" si="36"/>
        <v>0.27257525083612039</v>
      </c>
      <c r="O290">
        <f t="shared" si="36"/>
        <v>0.25388457269700332</v>
      </c>
      <c r="R290" s="1">
        <v>41362</v>
      </c>
      <c r="S290">
        <v>4</v>
      </c>
      <c r="T290">
        <f t="shared" si="38"/>
        <v>0.3611125419137563</v>
      </c>
      <c r="U290">
        <f t="shared" si="38"/>
        <v>0.35981040904298872</v>
      </c>
      <c r="V290">
        <f t="shared" si="38"/>
        <v>0.38451912627558305</v>
      </c>
      <c r="W290" t="e">
        <f t="shared" si="37"/>
        <v>#N/A</v>
      </c>
      <c r="X290">
        <f t="shared" si="37"/>
        <v>0.376102241867531</v>
      </c>
      <c r="Y290">
        <f t="shared" si="37"/>
        <v>0.51189335887611753</v>
      </c>
      <c r="Z290">
        <f t="shared" si="37"/>
        <v>0.3612836969572627</v>
      </c>
      <c r="AA290" t="e">
        <f t="shared" si="37"/>
        <v>#N/A</v>
      </c>
      <c r="AB290">
        <f t="shared" si="37"/>
        <v>0.41642128933652189</v>
      </c>
      <c r="AC290">
        <f t="shared" si="37"/>
        <v>0.33530994850294166</v>
      </c>
      <c r="AD290">
        <f t="shared" si="37"/>
        <v>0.39692200475633549</v>
      </c>
      <c r="AE290">
        <f t="shared" si="37"/>
        <v>0.40219780219780221</v>
      </c>
    </row>
    <row r="291" spans="2:31" x14ac:dyDescent="0.25">
      <c r="B291" s="1">
        <v>41432</v>
      </c>
      <c r="C291">
        <v>4</v>
      </c>
      <c r="D291" t="e">
        <f t="shared" ref="D291:O306" si="39">D232/VLOOKUP($C232,$R$198:$AD$202,D$197+1,FALSE)</f>
        <v>#N/A</v>
      </c>
      <c r="E291" t="e">
        <f t="shared" si="39"/>
        <v>#N/A</v>
      </c>
      <c r="F291" t="e">
        <f t="shared" si="39"/>
        <v>#N/A</v>
      </c>
      <c r="G291" t="e">
        <f t="shared" si="39"/>
        <v>#N/A</v>
      </c>
      <c r="H291" t="e">
        <f t="shared" si="39"/>
        <v>#N/A</v>
      </c>
      <c r="I291">
        <f t="shared" si="39"/>
        <v>0.28280469005465475</v>
      </c>
      <c r="J291" t="e">
        <f t="shared" si="39"/>
        <v>#N/A</v>
      </c>
      <c r="K291" t="e">
        <f t="shared" si="39"/>
        <v>#N/A</v>
      </c>
      <c r="L291">
        <f t="shared" si="39"/>
        <v>0.21965660381643073</v>
      </c>
      <c r="M291" t="e">
        <f t="shared" si="39"/>
        <v>#N/A</v>
      </c>
      <c r="N291" t="e">
        <f t="shared" si="39"/>
        <v>#N/A</v>
      </c>
      <c r="O291" t="e">
        <f t="shared" si="39"/>
        <v>#N/A</v>
      </c>
      <c r="R291" s="1">
        <v>41432</v>
      </c>
      <c r="S291">
        <v>4</v>
      </c>
      <c r="T291" t="e">
        <f t="shared" si="38"/>
        <v>#N/A</v>
      </c>
      <c r="U291" t="e">
        <f t="shared" si="38"/>
        <v>#N/A</v>
      </c>
      <c r="V291" t="e">
        <f t="shared" si="38"/>
        <v>#N/A</v>
      </c>
      <c r="W291" t="e">
        <f t="shared" si="37"/>
        <v>#N/A</v>
      </c>
      <c r="X291" t="e">
        <f t="shared" si="37"/>
        <v>#N/A</v>
      </c>
      <c r="Y291">
        <f t="shared" si="37"/>
        <v>0.36580294549514425</v>
      </c>
      <c r="Z291" t="e">
        <f t="shared" si="37"/>
        <v>#N/A</v>
      </c>
      <c r="AA291" t="e">
        <f t="shared" si="37"/>
        <v>#N/A</v>
      </c>
      <c r="AB291">
        <f t="shared" si="37"/>
        <v>0.32318065716155459</v>
      </c>
      <c r="AC291" t="e">
        <f t="shared" si="37"/>
        <v>#N/A</v>
      </c>
      <c r="AD291" t="e">
        <f t="shared" si="37"/>
        <v>#N/A</v>
      </c>
      <c r="AE291" t="e">
        <f t="shared" si="37"/>
        <v>#N/A</v>
      </c>
    </row>
    <row r="292" spans="2:31" x14ac:dyDescent="0.25">
      <c r="B292" s="1">
        <v>41527</v>
      </c>
      <c r="C292">
        <v>4</v>
      </c>
      <c r="D292">
        <f t="shared" si="39"/>
        <v>0.13955861717055779</v>
      </c>
      <c r="E292">
        <f t="shared" si="39"/>
        <v>0.17427302100161543</v>
      </c>
      <c r="F292">
        <f t="shared" si="39"/>
        <v>0.18666821642354858</v>
      </c>
      <c r="G292">
        <f t="shared" si="39"/>
        <v>0.1949740034662045</v>
      </c>
      <c r="H292">
        <f t="shared" si="39"/>
        <v>0.18496197445831516</v>
      </c>
      <c r="I292">
        <f t="shared" si="39"/>
        <v>0.20734951779181887</v>
      </c>
      <c r="J292">
        <f t="shared" si="39"/>
        <v>0.18241528586356195</v>
      </c>
      <c r="K292">
        <f t="shared" si="39"/>
        <v>0.14661058881741712</v>
      </c>
      <c r="L292">
        <f t="shared" si="39"/>
        <v>0.17826791927196906</v>
      </c>
      <c r="M292">
        <f t="shared" si="39"/>
        <v>0.14167596631835216</v>
      </c>
      <c r="N292">
        <f t="shared" si="39"/>
        <v>0.19697423606950257</v>
      </c>
      <c r="O292">
        <f t="shared" si="39"/>
        <v>0.17941728754012967</v>
      </c>
      <c r="R292" s="1">
        <v>41527</v>
      </c>
      <c r="S292">
        <v>4</v>
      </c>
      <c r="T292">
        <f t="shared" si="38"/>
        <v>0.23221095252665333</v>
      </c>
      <c r="U292">
        <f t="shared" si="38"/>
        <v>0.29313636543527644</v>
      </c>
      <c r="V292">
        <f t="shared" si="38"/>
        <v>0.30173359714588843</v>
      </c>
      <c r="W292">
        <f t="shared" si="37"/>
        <v>0.3267152848585349</v>
      </c>
      <c r="X292">
        <f t="shared" si="37"/>
        <v>0.30496516011541791</v>
      </c>
      <c r="Y292">
        <f t="shared" si="37"/>
        <v>0.26820299317025681</v>
      </c>
      <c r="Z292">
        <f t="shared" si="37"/>
        <v>0.29407344344173947</v>
      </c>
      <c r="AA292">
        <f t="shared" si="37"/>
        <v>0.24783544171927979</v>
      </c>
      <c r="AB292">
        <f t="shared" si="37"/>
        <v>0.26228550519375904</v>
      </c>
      <c r="AC292">
        <f t="shared" si="37"/>
        <v>0.23872795177874437</v>
      </c>
      <c r="AD292">
        <f t="shared" si="37"/>
        <v>0.28683238271350109</v>
      </c>
      <c r="AE292">
        <f t="shared" si="37"/>
        <v>0.28422852936027576</v>
      </c>
    </row>
    <row r="293" spans="2:31" x14ac:dyDescent="0.25">
      <c r="B293" s="1">
        <v>41667</v>
      </c>
      <c r="C293">
        <v>4</v>
      </c>
      <c r="D293" t="e">
        <f t="shared" si="39"/>
        <v>#N/A</v>
      </c>
      <c r="E293" t="e">
        <f t="shared" si="39"/>
        <v>#N/A</v>
      </c>
      <c r="F293" t="e">
        <f t="shared" si="39"/>
        <v>#N/A</v>
      </c>
      <c r="G293">
        <f t="shared" si="39"/>
        <v>0.19487425807115641</v>
      </c>
      <c r="H293" t="e">
        <f t="shared" si="39"/>
        <v>#N/A</v>
      </c>
      <c r="I293">
        <f t="shared" si="39"/>
        <v>0.13575789404582161</v>
      </c>
      <c r="J293">
        <f t="shared" si="39"/>
        <v>0.17003336144004108</v>
      </c>
      <c r="K293">
        <f t="shared" si="39"/>
        <v>0.14279478705493551</v>
      </c>
      <c r="L293">
        <f t="shared" si="39"/>
        <v>0.1624027251895141</v>
      </c>
      <c r="M293">
        <f t="shared" si="39"/>
        <v>0.15264569617166546</v>
      </c>
      <c r="N293">
        <f t="shared" si="39"/>
        <v>0.233046142063948</v>
      </c>
      <c r="O293" t="e">
        <f t="shared" si="39"/>
        <v>#N/A</v>
      </c>
      <c r="R293" s="1">
        <v>41667</v>
      </c>
      <c r="S293">
        <v>4</v>
      </c>
      <c r="T293" t="e">
        <f t="shared" si="38"/>
        <v>#N/A</v>
      </c>
      <c r="U293" t="e">
        <f t="shared" si="38"/>
        <v>#N/A</v>
      </c>
      <c r="V293" t="e">
        <f t="shared" si="38"/>
        <v>#N/A</v>
      </c>
      <c r="W293">
        <f t="shared" si="37"/>
        <v>0.32654814285715467</v>
      </c>
      <c r="X293" t="e">
        <f t="shared" si="37"/>
        <v>#N/A</v>
      </c>
      <c r="Y293">
        <f t="shared" si="37"/>
        <v>0.17560047362220849</v>
      </c>
      <c r="Z293">
        <f t="shared" si="37"/>
        <v>0.27411242353914422</v>
      </c>
      <c r="AA293">
        <f t="shared" si="37"/>
        <v>0.24138508282674739</v>
      </c>
      <c r="AB293">
        <f t="shared" si="37"/>
        <v>0.2389430526543018</v>
      </c>
      <c r="AC293">
        <f t="shared" si="37"/>
        <v>0.25721225230973993</v>
      </c>
      <c r="AD293">
        <f t="shared" si="37"/>
        <v>0.33936001755480794</v>
      </c>
      <c r="AE293" t="e">
        <f t="shared" si="37"/>
        <v>#N/A</v>
      </c>
    </row>
    <row r="294" spans="2:31" x14ac:dyDescent="0.25">
      <c r="B294" s="1">
        <v>41674</v>
      </c>
      <c r="C294">
        <v>4</v>
      </c>
      <c r="D294">
        <f t="shared" si="39"/>
        <v>0.12912997818886823</v>
      </c>
      <c r="E294">
        <f t="shared" si="39"/>
        <v>0.20200594920295922</v>
      </c>
      <c r="F294">
        <f t="shared" si="39"/>
        <v>8.7754436629558633E-2</v>
      </c>
      <c r="G294" t="e">
        <f t="shared" si="39"/>
        <v>#N/A</v>
      </c>
      <c r="H294" t="e">
        <f t="shared" si="39"/>
        <v>#N/A</v>
      </c>
      <c r="I294" t="e">
        <f t="shared" si="39"/>
        <v>#N/A</v>
      </c>
      <c r="J294" t="e">
        <f t="shared" si="39"/>
        <v>#N/A</v>
      </c>
      <c r="K294" t="e">
        <f t="shared" si="39"/>
        <v>#N/A</v>
      </c>
      <c r="L294" t="e">
        <f t="shared" si="39"/>
        <v>#N/A</v>
      </c>
      <c r="M294" t="e">
        <f t="shared" si="39"/>
        <v>#N/A</v>
      </c>
      <c r="N294" t="e">
        <f t="shared" si="39"/>
        <v>#N/A</v>
      </c>
      <c r="O294">
        <f t="shared" si="39"/>
        <v>0.14601226993865032</v>
      </c>
      <c r="R294" s="1">
        <v>41674</v>
      </c>
      <c r="S294">
        <v>4</v>
      </c>
      <c r="T294">
        <f t="shared" si="38"/>
        <v>0.21485878724591562</v>
      </c>
      <c r="U294">
        <f t="shared" si="38"/>
        <v>0.33978460581749853</v>
      </c>
      <c r="V294">
        <f t="shared" si="38"/>
        <v>0.1418477250013909</v>
      </c>
      <c r="W294" t="e">
        <f t="shared" si="37"/>
        <v>#N/A</v>
      </c>
      <c r="X294" t="e">
        <f t="shared" si="37"/>
        <v>#N/A</v>
      </c>
      <c r="Y294" t="e">
        <f t="shared" si="37"/>
        <v>#N/A</v>
      </c>
      <c r="Z294" t="e">
        <f t="shared" si="37"/>
        <v>#N/A</v>
      </c>
      <c r="AA294" t="e">
        <f t="shared" si="37"/>
        <v>#N/A</v>
      </c>
      <c r="AB294" t="e">
        <f t="shared" si="37"/>
        <v>#N/A</v>
      </c>
      <c r="AC294" t="e">
        <f t="shared" si="37"/>
        <v>#N/A</v>
      </c>
      <c r="AD294" t="e">
        <f t="shared" si="37"/>
        <v>#N/A</v>
      </c>
      <c r="AE294">
        <f t="shared" si="37"/>
        <v>0.23130910806984431</v>
      </c>
    </row>
    <row r="295" spans="2:31" x14ac:dyDescent="0.25">
      <c r="B295" s="1">
        <v>41747</v>
      </c>
      <c r="C295">
        <v>4</v>
      </c>
      <c r="D295">
        <f t="shared" si="39"/>
        <v>0.22364079759001582</v>
      </c>
      <c r="E295">
        <f t="shared" si="39"/>
        <v>0.21715328467153286</v>
      </c>
      <c r="F295">
        <f t="shared" si="39"/>
        <v>0.24129391735025524</v>
      </c>
      <c r="G295">
        <f t="shared" si="39"/>
        <v>0.21941188566728326</v>
      </c>
      <c r="H295">
        <f t="shared" si="39"/>
        <v>0.22914349276974394</v>
      </c>
      <c r="I295">
        <f t="shared" si="39"/>
        <v>0.36026655560183229</v>
      </c>
      <c r="J295">
        <f t="shared" si="39"/>
        <v>0.24294670846394967</v>
      </c>
      <c r="K295">
        <f t="shared" si="39"/>
        <v>0.20316107263363545</v>
      </c>
      <c r="L295">
        <f t="shared" si="39"/>
        <v>0.30231276744067748</v>
      </c>
      <c r="M295">
        <f t="shared" si="39"/>
        <v>0.2041666666666668</v>
      </c>
      <c r="N295">
        <f t="shared" si="39"/>
        <v>0.30936395759717328</v>
      </c>
      <c r="O295">
        <f t="shared" si="39"/>
        <v>0.2252355124179275</v>
      </c>
      <c r="R295" s="1">
        <v>41747</v>
      </c>
      <c r="S295">
        <v>4</v>
      </c>
      <c r="T295">
        <f t="shared" si="38"/>
        <v>0.37211491260859192</v>
      </c>
      <c r="U295">
        <f t="shared" si="38"/>
        <v>0.36526321885677882</v>
      </c>
      <c r="V295">
        <f t="shared" si="38"/>
        <v>0.3900314849868064</v>
      </c>
      <c r="W295">
        <f t="shared" si="37"/>
        <v>0.36766551156939331</v>
      </c>
      <c r="X295">
        <f t="shared" si="37"/>
        <v>0.37781161326043305</v>
      </c>
      <c r="Y295">
        <f t="shared" si="37"/>
        <v>0.46599852066481423</v>
      </c>
      <c r="Z295">
        <f t="shared" si="37"/>
        <v>0.39165673420738956</v>
      </c>
      <c r="AA295">
        <f t="shared" si="37"/>
        <v>0.34343027050402353</v>
      </c>
      <c r="AB295">
        <f t="shared" si="37"/>
        <v>0.44479263155437215</v>
      </c>
      <c r="AC295">
        <f t="shared" si="37"/>
        <v>0.34402652349167973</v>
      </c>
      <c r="AD295">
        <f t="shared" si="37"/>
        <v>0.45049343941593095</v>
      </c>
      <c r="AE295">
        <f t="shared" si="37"/>
        <v>0.35681265351833441</v>
      </c>
    </row>
    <row r="296" spans="2:31" x14ac:dyDescent="0.25">
      <c r="B296" s="1">
        <v>41823</v>
      </c>
      <c r="C296">
        <v>4</v>
      </c>
      <c r="D296">
        <f t="shared" si="39"/>
        <v>0.20807110532515802</v>
      </c>
      <c r="E296">
        <f t="shared" si="39"/>
        <v>0.21543862103446496</v>
      </c>
      <c r="F296">
        <f t="shared" si="39"/>
        <v>0.21978492858561599</v>
      </c>
      <c r="G296">
        <f t="shared" si="39"/>
        <v>0.19915591669255814</v>
      </c>
      <c r="H296">
        <f t="shared" si="39"/>
        <v>0.1966919459213603</v>
      </c>
      <c r="I296">
        <f t="shared" si="39"/>
        <v>0.24973147951220129</v>
      </c>
      <c r="J296">
        <f t="shared" si="39"/>
        <v>0.20819173702946497</v>
      </c>
      <c r="K296">
        <f t="shared" si="39"/>
        <v>0.19599853023449151</v>
      </c>
      <c r="L296">
        <f t="shared" si="39"/>
        <v>0.2190575037465079</v>
      </c>
      <c r="M296">
        <f t="shared" si="39"/>
        <v>0.19609072141053277</v>
      </c>
      <c r="N296">
        <f t="shared" si="39"/>
        <v>0.24329691713979862</v>
      </c>
      <c r="O296">
        <f t="shared" si="39"/>
        <v>0.21105338345549995</v>
      </c>
      <c r="R296" s="1">
        <v>41823</v>
      </c>
      <c r="S296">
        <v>4</v>
      </c>
      <c r="T296">
        <f t="shared" si="38"/>
        <v>0.34620857199939137</v>
      </c>
      <c r="U296">
        <f t="shared" si="38"/>
        <v>0.36237906465077896</v>
      </c>
      <c r="V296">
        <f t="shared" si="38"/>
        <v>0.35526399925586982</v>
      </c>
      <c r="W296">
        <f t="shared" si="37"/>
        <v>0.33372285995425083</v>
      </c>
      <c r="X296">
        <f t="shared" si="37"/>
        <v>0.3243055279713149</v>
      </c>
      <c r="Y296">
        <f t="shared" si="37"/>
        <v>0.32302332316613541</v>
      </c>
      <c r="Z296">
        <f t="shared" si="37"/>
        <v>0.3356279092211838</v>
      </c>
      <c r="AA296">
        <f t="shared" si="37"/>
        <v>0.33132246933056542</v>
      </c>
      <c r="AB296">
        <f t="shared" si="37"/>
        <v>0.32229920151242236</v>
      </c>
      <c r="AC296">
        <f t="shared" si="37"/>
        <v>0.33041833065718057</v>
      </c>
      <c r="AD296">
        <f t="shared" si="37"/>
        <v>0.35428711816622466</v>
      </c>
      <c r="AE296">
        <f t="shared" si="37"/>
        <v>0.33434566768071294</v>
      </c>
    </row>
    <row r="297" spans="2:31" x14ac:dyDescent="0.25">
      <c r="B297" s="1">
        <v>40836</v>
      </c>
      <c r="C297">
        <v>5</v>
      </c>
      <c r="D297">
        <f t="shared" si="39"/>
        <v>0.18346585016544001</v>
      </c>
      <c r="E297">
        <f t="shared" si="39"/>
        <v>0.19561445022874299</v>
      </c>
      <c r="F297">
        <f t="shared" si="39"/>
        <v>0.19272965104012799</v>
      </c>
      <c r="G297">
        <f t="shared" si="39"/>
        <v>0.20118710746083202</v>
      </c>
      <c r="H297">
        <f t="shared" si="39"/>
        <v>0.25927077664619402</v>
      </c>
      <c r="I297">
        <f t="shared" si="39"/>
        <v>0.23127205551476701</v>
      </c>
      <c r="J297">
        <f t="shared" si="39"/>
        <v>0.20609939579203801</v>
      </c>
      <c r="K297">
        <f t="shared" si="39"/>
        <v>0.13870085375625099</v>
      </c>
      <c r="L297">
        <f t="shared" si="39"/>
        <v>0.21973412493546696</v>
      </c>
      <c r="M297">
        <f t="shared" si="39"/>
        <v>0.14566465101978099</v>
      </c>
      <c r="N297">
        <f t="shared" si="39"/>
        <v>0.21260009921337999</v>
      </c>
      <c r="O297">
        <f t="shared" si="39"/>
        <v>0.19977077669385401</v>
      </c>
      <c r="R297" s="1">
        <v>40836</v>
      </c>
      <c r="S297">
        <v>5</v>
      </c>
      <c r="T297">
        <f t="shared" si="38"/>
        <v>0.30599899079992315</v>
      </c>
      <c r="U297">
        <f t="shared" si="38"/>
        <v>0.33390171165297278</v>
      </c>
      <c r="V297">
        <f t="shared" si="38"/>
        <v>0.3183317908280428</v>
      </c>
      <c r="W297">
        <f t="shared" si="37"/>
        <v>0.33883193509436077</v>
      </c>
      <c r="X297">
        <f t="shared" si="37"/>
        <v>0.40725550960220225</v>
      </c>
      <c r="Y297">
        <f t="shared" si="37"/>
        <v>0.35871159811730041</v>
      </c>
      <c r="Z297">
        <f t="shared" si="37"/>
        <v>0.35088930833136767</v>
      </c>
      <c r="AA297">
        <f t="shared" si="37"/>
        <v>0.23176207253219369</v>
      </c>
      <c r="AB297">
        <f t="shared" si="37"/>
        <v>0.36387771881719394</v>
      </c>
      <c r="AC297">
        <f t="shared" si="37"/>
        <v>0.24794599359333272</v>
      </c>
      <c r="AD297">
        <f t="shared" si="37"/>
        <v>0.28595978934642813</v>
      </c>
      <c r="AE297">
        <f t="shared" si="37"/>
        <v>0.31914023249960499</v>
      </c>
    </row>
    <row r="298" spans="2:31" x14ac:dyDescent="0.25">
      <c r="B298" s="1">
        <v>41037</v>
      </c>
      <c r="C298">
        <v>5</v>
      </c>
      <c r="D298">
        <f t="shared" si="39"/>
        <v>0.21247484909456743</v>
      </c>
      <c r="E298">
        <f t="shared" si="39"/>
        <v>0.20229445506692154</v>
      </c>
      <c r="F298" t="e">
        <f t="shared" si="39"/>
        <v>#N/A</v>
      </c>
      <c r="G298" t="e">
        <f t="shared" si="39"/>
        <v>#N/A</v>
      </c>
      <c r="H298" t="e">
        <f t="shared" si="39"/>
        <v>#N/A</v>
      </c>
      <c r="I298">
        <f t="shared" si="39"/>
        <v>0.25344874222342439</v>
      </c>
      <c r="J298" t="e">
        <f t="shared" si="39"/>
        <v>#N/A</v>
      </c>
      <c r="K298">
        <f t="shared" si="39"/>
        <v>0.19583759808938936</v>
      </c>
      <c r="L298" t="e">
        <f t="shared" si="39"/>
        <v>#N/A</v>
      </c>
      <c r="M298">
        <f t="shared" si="39"/>
        <v>0.203349908400942</v>
      </c>
      <c r="N298" t="e">
        <f t="shared" si="39"/>
        <v>#N/A</v>
      </c>
      <c r="O298" t="e">
        <f t="shared" si="39"/>
        <v>#N/A</v>
      </c>
      <c r="R298" s="1">
        <v>41037</v>
      </c>
      <c r="S298">
        <v>5</v>
      </c>
      <c r="T298">
        <f t="shared" si="38"/>
        <v>0.35438251497308382</v>
      </c>
      <c r="U298">
        <f t="shared" si="38"/>
        <v>0.34530406483654258</v>
      </c>
      <c r="V298" t="e">
        <f t="shared" si="38"/>
        <v>#N/A</v>
      </c>
      <c r="W298" t="e">
        <f t="shared" si="37"/>
        <v>#N/A</v>
      </c>
      <c r="X298" t="e">
        <f t="shared" si="37"/>
        <v>#N/A</v>
      </c>
      <c r="Y298">
        <f t="shared" si="37"/>
        <v>0.39310846769370822</v>
      </c>
      <c r="Z298" t="e">
        <f t="shared" si="37"/>
        <v>#N/A</v>
      </c>
      <c r="AA298">
        <f t="shared" si="37"/>
        <v>0.32723466643317695</v>
      </c>
      <c r="AB298" t="e">
        <f t="shared" si="37"/>
        <v>#N/A</v>
      </c>
      <c r="AC298">
        <f t="shared" si="37"/>
        <v>0.34613610599827577</v>
      </c>
      <c r="AD298" t="e">
        <f t="shared" si="37"/>
        <v>#N/A</v>
      </c>
      <c r="AE298" t="e">
        <f t="shared" si="37"/>
        <v>#N/A</v>
      </c>
    </row>
    <row r="299" spans="2:31" x14ac:dyDescent="0.25">
      <c r="B299" s="1">
        <v>41185</v>
      </c>
      <c r="C299">
        <v>5</v>
      </c>
      <c r="D299">
        <f t="shared" si="39"/>
        <v>9.2632826387517228E-2</v>
      </c>
      <c r="E299">
        <f t="shared" si="39"/>
        <v>0.17653890824622545</v>
      </c>
      <c r="F299">
        <f t="shared" si="39"/>
        <v>0.17822784810126577</v>
      </c>
      <c r="G299">
        <f t="shared" si="39"/>
        <v>0.19126328217237315</v>
      </c>
      <c r="H299">
        <f t="shared" si="39"/>
        <v>0.17208043310131491</v>
      </c>
      <c r="I299">
        <f t="shared" si="39"/>
        <v>0.18329886246122043</v>
      </c>
      <c r="J299">
        <f t="shared" si="39"/>
        <v>0.21000450653447486</v>
      </c>
      <c r="K299">
        <f t="shared" si="39"/>
        <v>0.16030881017257026</v>
      </c>
      <c r="L299">
        <f t="shared" si="39"/>
        <v>0.21801801801801812</v>
      </c>
      <c r="M299">
        <f t="shared" si="39"/>
        <v>0.16358768406961177</v>
      </c>
      <c r="N299">
        <f t="shared" si="39"/>
        <v>0.19539198084979054</v>
      </c>
      <c r="O299">
        <f t="shared" si="39"/>
        <v>0.19235340729001568</v>
      </c>
      <c r="R299" s="1">
        <v>41185</v>
      </c>
      <c r="S299">
        <v>5</v>
      </c>
      <c r="T299">
        <f t="shared" si="38"/>
        <v>0.15450042263431701</v>
      </c>
      <c r="U299">
        <f t="shared" si="38"/>
        <v>0.30134094678502615</v>
      </c>
      <c r="V299">
        <f t="shared" si="38"/>
        <v>0.29437914589328801</v>
      </c>
      <c r="W299">
        <f t="shared" si="37"/>
        <v>0.32211859312893937</v>
      </c>
      <c r="X299">
        <f t="shared" si="37"/>
        <v>0.27029928085908878</v>
      </c>
      <c r="Y299">
        <f t="shared" si="37"/>
        <v>0.28430338347708123</v>
      </c>
      <c r="Z299">
        <f t="shared" si="37"/>
        <v>0.35753785575725971</v>
      </c>
      <c r="AA299">
        <f t="shared" si="37"/>
        <v>0.26786786875917451</v>
      </c>
      <c r="AB299">
        <f t="shared" si="37"/>
        <v>0.36103586131986126</v>
      </c>
      <c r="AC299">
        <f t="shared" si="37"/>
        <v>0.27845404209126895</v>
      </c>
      <c r="AD299">
        <f t="shared" si="37"/>
        <v>0.26281384576264094</v>
      </c>
      <c r="AE299">
        <f t="shared" si="37"/>
        <v>0.30729074662758432</v>
      </c>
    </row>
    <row r="300" spans="2:31" x14ac:dyDescent="0.25">
      <c r="B300" s="1">
        <v>41362</v>
      </c>
      <c r="C300">
        <v>5</v>
      </c>
      <c r="D300" t="e">
        <f t="shared" si="39"/>
        <v>#N/A</v>
      </c>
      <c r="E300" t="e">
        <f t="shared" si="39"/>
        <v>#N/A</v>
      </c>
      <c r="F300" t="e">
        <f t="shared" si="39"/>
        <v>#N/A</v>
      </c>
      <c r="G300" t="e">
        <f t="shared" si="39"/>
        <v>#N/A</v>
      </c>
      <c r="H300" t="e">
        <f t="shared" si="39"/>
        <v>#N/A</v>
      </c>
      <c r="I300" t="e">
        <f t="shared" si="39"/>
        <v>#N/A</v>
      </c>
      <c r="J300" t="e">
        <f t="shared" si="39"/>
        <v>#N/A</v>
      </c>
      <c r="K300" t="e">
        <f t="shared" si="39"/>
        <v>#N/A</v>
      </c>
      <c r="L300" t="e">
        <f t="shared" si="39"/>
        <v>#N/A</v>
      </c>
      <c r="M300" t="e">
        <f t="shared" si="39"/>
        <v>#N/A</v>
      </c>
      <c r="N300" t="e">
        <f t="shared" si="39"/>
        <v>#N/A</v>
      </c>
      <c r="O300" t="e">
        <f t="shared" si="39"/>
        <v>#N/A</v>
      </c>
      <c r="R300" s="1">
        <v>41362</v>
      </c>
      <c r="S300">
        <v>5</v>
      </c>
      <c r="T300" t="e">
        <f t="shared" si="38"/>
        <v>#N/A</v>
      </c>
      <c r="U300" t="e">
        <f t="shared" si="38"/>
        <v>#N/A</v>
      </c>
      <c r="V300" t="e">
        <f t="shared" si="38"/>
        <v>#N/A</v>
      </c>
      <c r="W300" t="e">
        <f t="shared" si="37"/>
        <v>#N/A</v>
      </c>
      <c r="X300" t="e">
        <f t="shared" si="37"/>
        <v>#N/A</v>
      </c>
      <c r="Y300" t="e">
        <f t="shared" si="37"/>
        <v>#N/A</v>
      </c>
      <c r="Z300" t="e">
        <f t="shared" si="37"/>
        <v>#N/A</v>
      </c>
      <c r="AA300" t="e">
        <f t="shared" si="37"/>
        <v>#N/A</v>
      </c>
      <c r="AB300" t="e">
        <f t="shared" si="37"/>
        <v>#N/A</v>
      </c>
      <c r="AC300" t="e">
        <f t="shared" si="37"/>
        <v>#N/A</v>
      </c>
      <c r="AD300" t="e">
        <f t="shared" si="37"/>
        <v>#N/A</v>
      </c>
      <c r="AE300" t="e">
        <f t="shared" si="37"/>
        <v>#N/A</v>
      </c>
    </row>
    <row r="301" spans="2:31" x14ac:dyDescent="0.25">
      <c r="B301" s="1">
        <v>41432</v>
      </c>
      <c r="C301">
        <v>5</v>
      </c>
      <c r="D301" t="e">
        <f t="shared" si="39"/>
        <v>#N/A</v>
      </c>
      <c r="E301" t="e">
        <f t="shared" si="39"/>
        <v>#N/A</v>
      </c>
      <c r="F301" t="e">
        <f t="shared" si="39"/>
        <v>#N/A</v>
      </c>
      <c r="G301" t="e">
        <f t="shared" si="39"/>
        <v>#N/A</v>
      </c>
      <c r="H301" t="e">
        <f t="shared" si="39"/>
        <v>#N/A</v>
      </c>
      <c r="I301" t="e">
        <f t="shared" si="39"/>
        <v>#N/A</v>
      </c>
      <c r="J301" t="e">
        <f t="shared" si="39"/>
        <v>#N/A</v>
      </c>
      <c r="K301" t="e">
        <f t="shared" si="39"/>
        <v>#N/A</v>
      </c>
      <c r="L301" t="e">
        <f t="shared" si="39"/>
        <v>#N/A</v>
      </c>
      <c r="M301" t="e">
        <f t="shared" si="39"/>
        <v>#N/A</v>
      </c>
      <c r="N301" t="e">
        <f t="shared" si="39"/>
        <v>#N/A</v>
      </c>
      <c r="O301" t="e">
        <f t="shared" si="39"/>
        <v>#N/A</v>
      </c>
      <c r="R301" s="1">
        <v>41432</v>
      </c>
      <c r="S301">
        <v>5</v>
      </c>
      <c r="T301" t="e">
        <f t="shared" si="38"/>
        <v>#N/A</v>
      </c>
      <c r="U301" t="e">
        <f t="shared" si="38"/>
        <v>#N/A</v>
      </c>
      <c r="V301" t="e">
        <f t="shared" si="38"/>
        <v>#N/A</v>
      </c>
      <c r="W301" t="e">
        <f t="shared" si="37"/>
        <v>#N/A</v>
      </c>
      <c r="X301" t="e">
        <f t="shared" si="37"/>
        <v>#N/A</v>
      </c>
      <c r="Y301" t="e">
        <f t="shared" si="37"/>
        <v>#N/A</v>
      </c>
      <c r="Z301" t="e">
        <f t="shared" si="37"/>
        <v>#N/A</v>
      </c>
      <c r="AA301" t="e">
        <f t="shared" si="37"/>
        <v>#N/A</v>
      </c>
      <c r="AB301" t="e">
        <f t="shared" si="37"/>
        <v>#N/A</v>
      </c>
      <c r="AC301" t="e">
        <f t="shared" si="37"/>
        <v>#N/A</v>
      </c>
      <c r="AD301" t="e">
        <f t="shared" si="37"/>
        <v>#N/A</v>
      </c>
      <c r="AE301" t="e">
        <f t="shared" si="37"/>
        <v>#N/A</v>
      </c>
    </row>
    <row r="302" spans="2:31" x14ac:dyDescent="0.25">
      <c r="B302" s="1">
        <v>41527</v>
      </c>
      <c r="C302">
        <v>5</v>
      </c>
      <c r="D302">
        <f t="shared" si="39"/>
        <v>0.16103978443493419</v>
      </c>
      <c r="E302">
        <f t="shared" si="39"/>
        <v>0.19241587665381807</v>
      </c>
      <c r="F302">
        <f t="shared" si="39"/>
        <v>0.22048080754416244</v>
      </c>
      <c r="G302">
        <f t="shared" si="39"/>
        <v>0.20062545104642759</v>
      </c>
      <c r="H302">
        <f t="shared" si="39"/>
        <v>0.20146627565982372</v>
      </c>
      <c r="I302">
        <f t="shared" si="39"/>
        <v>0.22686496694995278</v>
      </c>
      <c r="J302">
        <f t="shared" si="39"/>
        <v>0.19415739268680432</v>
      </c>
      <c r="K302">
        <f t="shared" si="39"/>
        <v>0.14839882816446137</v>
      </c>
      <c r="L302">
        <f t="shared" si="39"/>
        <v>0.2033151489718841</v>
      </c>
      <c r="M302">
        <f t="shared" si="39"/>
        <v>0.14521310773184842</v>
      </c>
      <c r="N302">
        <f t="shared" si="39"/>
        <v>0.20628387873920881</v>
      </c>
      <c r="O302">
        <f t="shared" si="39"/>
        <v>0.20415165551552583</v>
      </c>
      <c r="R302" s="1">
        <v>41527</v>
      </c>
      <c r="S302">
        <v>5</v>
      </c>
      <c r="T302">
        <f t="shared" si="38"/>
        <v>0.26859500812434944</v>
      </c>
      <c r="U302">
        <f t="shared" si="38"/>
        <v>0.32844194531021786</v>
      </c>
      <c r="V302">
        <f t="shared" si="38"/>
        <v>0.36416840859704008</v>
      </c>
      <c r="W302">
        <f t="shared" si="37"/>
        <v>0.33788601399557533</v>
      </c>
      <c r="X302">
        <f t="shared" si="37"/>
        <v>0.3164577659805598</v>
      </c>
      <c r="Y302">
        <f t="shared" si="37"/>
        <v>0.35187603911035392</v>
      </c>
      <c r="Z302">
        <f t="shared" si="37"/>
        <v>0.33055775328928166</v>
      </c>
      <c r="AA302">
        <f t="shared" si="37"/>
        <v>0.24796689454548079</v>
      </c>
      <c r="AB302">
        <f t="shared" si="37"/>
        <v>0.33668804347342335</v>
      </c>
      <c r="AC302">
        <f t="shared" si="37"/>
        <v>0.24717739017175422</v>
      </c>
      <c r="AD302">
        <f t="shared" si="37"/>
        <v>0.2774640968093951</v>
      </c>
      <c r="AE302">
        <f t="shared" si="37"/>
        <v>0.32613882713311104</v>
      </c>
    </row>
    <row r="303" spans="2:31" x14ac:dyDescent="0.25">
      <c r="B303" s="1">
        <v>41667</v>
      </c>
      <c r="C303">
        <v>5</v>
      </c>
      <c r="D303" t="e">
        <f t="shared" si="39"/>
        <v>#N/A</v>
      </c>
      <c r="E303" t="e">
        <f t="shared" si="39"/>
        <v>#N/A</v>
      </c>
      <c r="F303" t="e">
        <f t="shared" si="39"/>
        <v>#N/A</v>
      </c>
      <c r="G303">
        <f t="shared" si="39"/>
        <v>0.18142440649729286</v>
      </c>
      <c r="H303" t="e">
        <f t="shared" si="39"/>
        <v>#N/A</v>
      </c>
      <c r="I303">
        <f t="shared" si="39"/>
        <v>0.19226374128671014</v>
      </c>
      <c r="J303">
        <f t="shared" si="39"/>
        <v>0.18268560707585085</v>
      </c>
      <c r="K303">
        <f t="shared" si="39"/>
        <v>0.14571284400108692</v>
      </c>
      <c r="L303">
        <f t="shared" si="39"/>
        <v>0.18348217580633269</v>
      </c>
      <c r="M303">
        <f t="shared" si="39"/>
        <v>0.14500986193293883</v>
      </c>
      <c r="N303">
        <f t="shared" si="39"/>
        <v>0.2098025734210785</v>
      </c>
      <c r="O303" t="e">
        <f t="shared" si="39"/>
        <v>#N/A</v>
      </c>
      <c r="R303" s="1">
        <v>41667</v>
      </c>
      <c r="S303">
        <v>5</v>
      </c>
      <c r="T303" t="e">
        <f t="shared" si="38"/>
        <v>#N/A</v>
      </c>
      <c r="U303" t="e">
        <f t="shared" si="38"/>
        <v>#N/A</v>
      </c>
      <c r="V303" t="e">
        <f t="shared" si="38"/>
        <v>#N/A</v>
      </c>
      <c r="W303">
        <f t="shared" si="37"/>
        <v>0.30554832018145778</v>
      </c>
      <c r="X303" t="e">
        <f t="shared" si="37"/>
        <v>#N/A</v>
      </c>
      <c r="Y303">
        <f t="shared" si="37"/>
        <v>0.29820824545126828</v>
      </c>
      <c r="Z303">
        <f t="shared" si="37"/>
        <v>0.31102675513723027</v>
      </c>
      <c r="AA303">
        <f t="shared" si="37"/>
        <v>0.24347875161316479</v>
      </c>
      <c r="AB303">
        <f t="shared" si="37"/>
        <v>0.30384481971396887</v>
      </c>
      <c r="AC303">
        <f t="shared" si="37"/>
        <v>0.24683143127780494</v>
      </c>
      <c r="AD303">
        <f t="shared" si="37"/>
        <v>0.2821969506214338</v>
      </c>
      <c r="AE303" t="e">
        <f t="shared" si="37"/>
        <v>#N/A</v>
      </c>
    </row>
    <row r="304" spans="2:31" x14ac:dyDescent="0.25">
      <c r="B304" s="1">
        <v>41674</v>
      </c>
      <c r="C304">
        <v>5</v>
      </c>
      <c r="D304">
        <f t="shared" si="39"/>
        <v>0.14126137433322866</v>
      </c>
      <c r="E304">
        <f t="shared" si="39"/>
        <v>0.18050880194249785</v>
      </c>
      <c r="F304">
        <f t="shared" si="39"/>
        <v>0.18952996568510078</v>
      </c>
      <c r="G304" t="e">
        <f t="shared" si="39"/>
        <v>#N/A</v>
      </c>
      <c r="H304" t="e">
        <f t="shared" si="39"/>
        <v>#N/A</v>
      </c>
      <c r="I304" t="e">
        <f t="shared" si="39"/>
        <v>#N/A</v>
      </c>
      <c r="J304" t="e">
        <f t="shared" si="39"/>
        <v>#N/A</v>
      </c>
      <c r="K304" t="e">
        <f t="shared" si="39"/>
        <v>#N/A</v>
      </c>
      <c r="L304" t="e">
        <f t="shared" si="39"/>
        <v>#N/A</v>
      </c>
      <c r="M304" t="e">
        <f t="shared" si="39"/>
        <v>#N/A</v>
      </c>
      <c r="N304" t="e">
        <f t="shared" si="39"/>
        <v>#N/A</v>
      </c>
      <c r="O304">
        <f t="shared" si="39"/>
        <v>0.17802208172124198</v>
      </c>
      <c r="R304" s="1">
        <v>41674</v>
      </c>
      <c r="S304">
        <v>5</v>
      </c>
      <c r="T304">
        <f t="shared" si="38"/>
        <v>0.23560699686617054</v>
      </c>
      <c r="U304">
        <f t="shared" si="38"/>
        <v>0.30811730864743286</v>
      </c>
      <c r="V304">
        <f t="shared" si="38"/>
        <v>0.31304686677170235</v>
      </c>
      <c r="W304" t="e">
        <f t="shared" si="37"/>
        <v>#N/A</v>
      </c>
      <c r="X304" t="e">
        <f t="shared" si="37"/>
        <v>#N/A</v>
      </c>
      <c r="Y304" t="e">
        <f t="shared" si="37"/>
        <v>#N/A</v>
      </c>
      <c r="Z304" t="e">
        <f t="shared" si="37"/>
        <v>#N/A</v>
      </c>
      <c r="AA304" t="e">
        <f t="shared" si="37"/>
        <v>#N/A</v>
      </c>
      <c r="AB304" t="e">
        <f t="shared" si="37"/>
        <v>#N/A</v>
      </c>
      <c r="AC304" t="e">
        <f t="shared" si="37"/>
        <v>#N/A</v>
      </c>
      <c r="AD304" t="e">
        <f t="shared" si="37"/>
        <v>#N/A</v>
      </c>
      <c r="AE304">
        <f t="shared" si="37"/>
        <v>0.28439599370256008</v>
      </c>
    </row>
    <row r="305" spans="2:31" x14ac:dyDescent="0.25">
      <c r="B305" s="1">
        <v>41747</v>
      </c>
      <c r="C305">
        <v>5</v>
      </c>
      <c r="D305">
        <f t="shared" si="39"/>
        <v>0.22220508866615266</v>
      </c>
      <c r="E305" t="e">
        <f t="shared" si="39"/>
        <v>#N/A</v>
      </c>
      <c r="F305" t="e">
        <f t="shared" si="39"/>
        <v>#N/A</v>
      </c>
      <c r="G305" t="e">
        <f t="shared" si="39"/>
        <v>#N/A</v>
      </c>
      <c r="H305" t="e">
        <f t="shared" si="39"/>
        <v>#N/A</v>
      </c>
      <c r="I305">
        <f t="shared" si="39"/>
        <v>0.26737130553924437</v>
      </c>
      <c r="J305" t="e">
        <f t="shared" si="39"/>
        <v>#N/A</v>
      </c>
      <c r="K305">
        <f t="shared" si="39"/>
        <v>0.20459392945036903</v>
      </c>
      <c r="L305" t="e">
        <f t="shared" si="39"/>
        <v>#N/A</v>
      </c>
      <c r="M305">
        <f t="shared" si="39"/>
        <v>0.201834862385321</v>
      </c>
      <c r="N305">
        <f t="shared" si="39"/>
        <v>0.36610302791977989</v>
      </c>
      <c r="O305">
        <f t="shared" si="39"/>
        <v>0.24860701409373981</v>
      </c>
      <c r="R305" s="1">
        <v>41747</v>
      </c>
      <c r="S305">
        <v>5</v>
      </c>
      <c r="T305">
        <f t="shared" si="38"/>
        <v>0.37061138528579679</v>
      </c>
      <c r="U305" t="e">
        <f t="shared" si="38"/>
        <v>#N/A</v>
      </c>
      <c r="V305" t="e">
        <f t="shared" si="38"/>
        <v>#N/A</v>
      </c>
      <c r="W305" t="e">
        <f t="shared" si="37"/>
        <v>#N/A</v>
      </c>
      <c r="X305" t="e">
        <f t="shared" si="37"/>
        <v>#N/A</v>
      </c>
      <c r="Y305">
        <f t="shared" si="37"/>
        <v>0.41470288352484264</v>
      </c>
      <c r="Z305" t="e">
        <f t="shared" si="37"/>
        <v>#N/A</v>
      </c>
      <c r="AA305">
        <f t="shared" si="37"/>
        <v>0.3418660508049392</v>
      </c>
      <c r="AB305" t="e">
        <f t="shared" si="37"/>
        <v>#N/A</v>
      </c>
      <c r="AC305">
        <f t="shared" si="37"/>
        <v>0.34355724017837441</v>
      </c>
      <c r="AD305">
        <f t="shared" si="37"/>
        <v>0.49243036635629672</v>
      </c>
      <c r="AE305">
        <f t="shared" si="37"/>
        <v>0.39715769038880461</v>
      </c>
    </row>
    <row r="306" spans="2:31" x14ac:dyDescent="0.25">
      <c r="B306" s="1">
        <v>41823</v>
      </c>
      <c r="C306">
        <v>5</v>
      </c>
      <c r="D306">
        <f t="shared" si="39"/>
        <v>0.21750471809882105</v>
      </c>
      <c r="E306">
        <f t="shared" si="39"/>
        <v>0.20450341873275443</v>
      </c>
      <c r="F306">
        <f t="shared" si="39"/>
        <v>0.2132287762215731</v>
      </c>
      <c r="G306">
        <f t="shared" si="39"/>
        <v>0.19708267002013724</v>
      </c>
      <c r="H306">
        <f t="shared" si="39"/>
        <v>0.19467063257285755</v>
      </c>
      <c r="I306">
        <f t="shared" si="39"/>
        <v>0.2194676469667074</v>
      </c>
      <c r="J306">
        <f t="shared" si="39"/>
        <v>0.20524411563382225</v>
      </c>
      <c r="K306">
        <f t="shared" si="39"/>
        <v>0.19325539842629794</v>
      </c>
      <c r="L306">
        <f t="shared" si="39"/>
        <v>0.20508505464043769</v>
      </c>
      <c r="M306">
        <f t="shared" si="39"/>
        <v>0.19785891836919375</v>
      </c>
      <c r="N306">
        <f t="shared" si="39"/>
        <v>0.20210995529536441</v>
      </c>
      <c r="O306">
        <f t="shared" si="39"/>
        <v>0.18437789938958185</v>
      </c>
      <c r="R306" s="1">
        <v>41823</v>
      </c>
      <c r="S306">
        <v>5</v>
      </c>
      <c r="T306">
        <f t="shared" si="38"/>
        <v>0.3627717320277537</v>
      </c>
      <c r="U306">
        <f t="shared" si="38"/>
        <v>0.34907462855582988</v>
      </c>
      <c r="V306">
        <f t="shared" si="38"/>
        <v>0.35219021994987515</v>
      </c>
      <c r="W306">
        <f t="shared" si="37"/>
        <v>0.33191939234718149</v>
      </c>
      <c r="X306">
        <f t="shared" si="37"/>
        <v>0.30578335398451073</v>
      </c>
      <c r="Y306">
        <f t="shared" si="37"/>
        <v>0.34040251946238437</v>
      </c>
      <c r="Z306">
        <f t="shared" ref="Z306:AE306" si="40">J306*VLOOKUP($C306,$R$221:$AD$225,J$256+1,FALSE)</f>
        <v>0.34943317275177244</v>
      </c>
      <c r="AA306">
        <f t="shared" si="40"/>
        <v>0.322919942122527</v>
      </c>
      <c r="AB306">
        <f t="shared" si="40"/>
        <v>0.33961899121485423</v>
      </c>
      <c r="AC306">
        <f t="shared" si="40"/>
        <v>0.33678950770073807</v>
      </c>
      <c r="AD306">
        <f t="shared" si="40"/>
        <v>0.27184992130728536</v>
      </c>
      <c r="AE306">
        <f t="shared" si="40"/>
        <v>0.29454961657958167</v>
      </c>
    </row>
  </sheetData>
  <conditionalFormatting sqref="S212:AD216">
    <cfRule type="expression" dxfId="9" priority="1">
      <formula>S212&lt;S198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G71"/>
  <sheetViews>
    <sheetView workbookViewId="0">
      <selection activeCell="M29" sqref="M29"/>
    </sheetView>
  </sheetViews>
  <sheetFormatPr defaultRowHeight="15" x14ac:dyDescent="0.25"/>
  <cols>
    <col min="4" max="4" width="11.28515625" customWidth="1"/>
    <col min="5" max="5" width="12" customWidth="1"/>
    <col min="20" max="20" width="11.85546875" customWidth="1"/>
    <col min="21" max="21" width="11.5703125" customWidth="1"/>
  </cols>
  <sheetData>
    <row r="3" spans="5:22" x14ac:dyDescent="0.25">
      <c r="E3" t="s">
        <v>120</v>
      </c>
    </row>
    <row r="6" spans="5:22" x14ac:dyDescent="0.25">
      <c r="K6" t="s">
        <v>121</v>
      </c>
    </row>
    <row r="7" spans="5:22" x14ac:dyDescent="0.25">
      <c r="F7" t="s">
        <v>122</v>
      </c>
    </row>
    <row r="8" spans="5:22" x14ac:dyDescent="0.25">
      <c r="E8" t="s">
        <v>22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2</v>
      </c>
      <c r="L8" t="s">
        <v>3</v>
      </c>
      <c r="M8" t="s">
        <v>11</v>
      </c>
      <c r="N8" t="s">
        <v>12</v>
      </c>
      <c r="O8" t="s">
        <v>13</v>
      </c>
      <c r="P8" t="s">
        <v>14</v>
      </c>
      <c r="Q8" t="s">
        <v>15</v>
      </c>
    </row>
    <row r="9" spans="5:22" x14ac:dyDescent="0.25">
      <c r="E9">
        <v>1</v>
      </c>
      <c r="F9" s="26">
        <v>1.19008845525405</v>
      </c>
      <c r="G9" s="26">
        <v>1.2610818754711988</v>
      </c>
      <c r="H9" s="26">
        <v>1.2779736674637066</v>
      </c>
      <c r="I9" s="26">
        <v>1.3743876688691443</v>
      </c>
      <c r="J9" s="26">
        <v>1.2202615798818885</v>
      </c>
      <c r="K9" s="26">
        <v>1.3871163801742945</v>
      </c>
      <c r="L9" s="26">
        <v>1.500403752861234</v>
      </c>
      <c r="M9" s="26">
        <v>1.2837577707195926</v>
      </c>
      <c r="N9" s="9">
        <v>1.3568770902554803</v>
      </c>
      <c r="O9" s="26">
        <v>1.1666388901434039</v>
      </c>
      <c r="P9" s="26">
        <v>1.3876874222154809</v>
      </c>
      <c r="Q9" s="26">
        <v>1.3288885126843084</v>
      </c>
      <c r="S9" s="27" t="s">
        <v>123</v>
      </c>
      <c r="U9" s="9" t="s">
        <v>124</v>
      </c>
      <c r="V9" s="9" t="s">
        <v>125</v>
      </c>
    </row>
    <row r="10" spans="5:22" x14ac:dyDescent="0.25">
      <c r="E10">
        <v>2</v>
      </c>
      <c r="F10" s="26">
        <v>1.4458416068614428</v>
      </c>
      <c r="G10" s="26">
        <v>1.4587913666986656</v>
      </c>
      <c r="H10" s="26">
        <v>1.1529707225769472</v>
      </c>
      <c r="I10" s="26">
        <v>1.4973274941232309</v>
      </c>
      <c r="J10" s="26">
        <v>1.4843593135750022</v>
      </c>
      <c r="K10" s="26">
        <v>1.3965477842093701</v>
      </c>
      <c r="L10" s="26">
        <v>1.4664543824771641</v>
      </c>
      <c r="M10" s="26">
        <v>1.4075449486799556</v>
      </c>
      <c r="N10" s="9">
        <v>1.4415444766566654</v>
      </c>
      <c r="O10" s="26">
        <v>1.3180018724797586</v>
      </c>
      <c r="P10" s="26">
        <v>1.3698561739616666</v>
      </c>
      <c r="Q10" s="26">
        <v>1.1775255303479537</v>
      </c>
      <c r="S10" s="9" t="s">
        <v>126</v>
      </c>
      <c r="U10" s="9" t="s">
        <v>127</v>
      </c>
      <c r="V10" s="28" t="s">
        <v>128</v>
      </c>
    </row>
    <row r="11" spans="5:22" x14ac:dyDescent="0.25">
      <c r="E11">
        <v>3</v>
      </c>
      <c r="F11" s="26">
        <v>1.5374162243325882</v>
      </c>
      <c r="G11" s="26">
        <v>1.5782128361506047</v>
      </c>
      <c r="H11" s="26">
        <v>1.249734717491499</v>
      </c>
      <c r="I11" s="26">
        <v>1.6398669558877084</v>
      </c>
      <c r="J11" s="26">
        <v>1.5766654964261004</v>
      </c>
      <c r="K11" s="26">
        <v>1.2770342112024005</v>
      </c>
      <c r="L11" s="26">
        <v>1.4884671321293419</v>
      </c>
      <c r="M11" s="26">
        <v>1.5106272474695672</v>
      </c>
      <c r="N11" s="9">
        <v>1.5102426537719187</v>
      </c>
      <c r="O11" s="26">
        <v>1.4752963237600472</v>
      </c>
      <c r="P11" s="26">
        <v>1.4524178006905872</v>
      </c>
      <c r="Q11" s="26">
        <v>1.4228051919833602</v>
      </c>
      <c r="S11" s="29" t="s">
        <v>129</v>
      </c>
      <c r="U11" s="9" t="s">
        <v>130</v>
      </c>
      <c r="V11" s="28" t="s">
        <v>131</v>
      </c>
    </row>
    <row r="12" spans="5:22" x14ac:dyDescent="0.25">
      <c r="E12">
        <v>4</v>
      </c>
      <c r="F12" s="29">
        <v>1.6638954815872316</v>
      </c>
      <c r="G12" s="29">
        <v>1.6820524700295361</v>
      </c>
      <c r="H12" s="29">
        <v>1.6164165647849631</v>
      </c>
      <c r="I12" s="29">
        <v>1.675686394341108</v>
      </c>
      <c r="J12" s="29">
        <v>1.6487992248598526</v>
      </c>
      <c r="K12" s="29">
        <v>1.2934825989782888</v>
      </c>
      <c r="L12" s="29">
        <v>1.6121096543504174</v>
      </c>
      <c r="M12" s="29">
        <v>1.690433438119016</v>
      </c>
      <c r="N12" s="29">
        <v>1.4712995263809139</v>
      </c>
      <c r="O12" s="29">
        <v>1.6850278701633281</v>
      </c>
      <c r="P12" s="29">
        <v>1.456192385547783</v>
      </c>
      <c r="Q12" s="29">
        <v>1.5841758241758244</v>
      </c>
    </row>
    <row r="13" spans="5:22" x14ac:dyDescent="0.25">
      <c r="E13">
        <v>5</v>
      </c>
      <c r="F13" s="29">
        <v>1.6678798289926386</v>
      </c>
      <c r="G13" s="29">
        <v>1.7069378630388641</v>
      </c>
      <c r="H13" s="29">
        <v>1.6517011736910341</v>
      </c>
      <c r="I13" s="29">
        <v>1.6841632616062441</v>
      </c>
      <c r="J13" s="29">
        <v>1.5707728995541641</v>
      </c>
      <c r="K13" s="29">
        <v>1.5510373586591668</v>
      </c>
      <c r="L13" s="29">
        <v>1.7025246822432614</v>
      </c>
      <c r="M13" s="29">
        <v>1.6709491416648803</v>
      </c>
      <c r="N13" s="29">
        <v>1.6559909341530819</v>
      </c>
      <c r="O13" s="29">
        <v>1.7021699627019469</v>
      </c>
      <c r="P13" s="29">
        <v>1.3450595291558134</v>
      </c>
      <c r="Q13" s="29">
        <v>1.5975321204696673</v>
      </c>
    </row>
    <row r="19" spans="4:33" x14ac:dyDescent="0.25">
      <c r="F19" s="52" t="s">
        <v>132</v>
      </c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V19" s="53" t="s">
        <v>133</v>
      </c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</row>
    <row r="20" spans="4:33" x14ac:dyDescent="0.25">
      <c r="E20" t="s">
        <v>122</v>
      </c>
      <c r="F20" t="s">
        <v>6</v>
      </c>
      <c r="G20" t="s">
        <v>7</v>
      </c>
      <c r="H20" t="s">
        <v>8</v>
      </c>
      <c r="I20" t="s">
        <v>9</v>
      </c>
      <c r="J20" t="s">
        <v>10</v>
      </c>
      <c r="K20" t="s">
        <v>2</v>
      </c>
      <c r="L20" t="s">
        <v>3</v>
      </c>
      <c r="M20" t="s">
        <v>11</v>
      </c>
      <c r="N20" t="s">
        <v>12</v>
      </c>
      <c r="O20" t="s">
        <v>13</v>
      </c>
      <c r="P20" t="s">
        <v>14</v>
      </c>
      <c r="Q20" t="s">
        <v>15</v>
      </c>
      <c r="T20" t="s">
        <v>134</v>
      </c>
      <c r="V20" s="25" t="s">
        <v>6</v>
      </c>
      <c r="W20" s="25" t="s">
        <v>7</v>
      </c>
      <c r="X20" s="25" t="s">
        <v>8</v>
      </c>
      <c r="Y20" s="25" t="s">
        <v>9</v>
      </c>
      <c r="Z20" s="25" t="s">
        <v>10</v>
      </c>
      <c r="AA20" s="25" t="s">
        <v>2</v>
      </c>
      <c r="AB20" s="25" t="s">
        <v>3</v>
      </c>
      <c r="AC20" s="25" t="s">
        <v>11</v>
      </c>
      <c r="AD20" s="25" t="s">
        <v>12</v>
      </c>
      <c r="AE20" s="25" t="s">
        <v>13</v>
      </c>
      <c r="AF20" s="25" t="s">
        <v>14</v>
      </c>
      <c r="AG20" s="25" t="s">
        <v>15</v>
      </c>
    </row>
    <row r="21" spans="4:33" x14ac:dyDescent="0.25">
      <c r="D21" t="s">
        <v>135</v>
      </c>
      <c r="E21" t="s">
        <v>22</v>
      </c>
      <c r="F21" s="30">
        <v>1</v>
      </c>
      <c r="G21" s="30">
        <v>2</v>
      </c>
      <c r="H21" s="30">
        <v>3</v>
      </c>
      <c r="I21" s="30">
        <v>4</v>
      </c>
      <c r="J21" s="30">
        <v>5</v>
      </c>
      <c r="K21" s="30">
        <v>6</v>
      </c>
      <c r="L21" s="30">
        <v>7</v>
      </c>
      <c r="M21" s="30">
        <v>8</v>
      </c>
      <c r="N21" s="30">
        <v>9</v>
      </c>
      <c r="O21" s="30">
        <v>10</v>
      </c>
      <c r="P21" s="30">
        <v>11</v>
      </c>
      <c r="Q21" s="30">
        <v>12</v>
      </c>
      <c r="T21" t="s">
        <v>37</v>
      </c>
      <c r="U21" t="s">
        <v>22</v>
      </c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</row>
    <row r="22" spans="4:33" x14ac:dyDescent="0.25">
      <c r="D22" s="1">
        <v>40836</v>
      </c>
      <c r="E22">
        <v>1</v>
      </c>
      <c r="F22">
        <v>0.1395499379277878</v>
      </c>
      <c r="G22">
        <v>0.12040927766745094</v>
      </c>
      <c r="H22">
        <v>0.22219554074920964</v>
      </c>
      <c r="I22">
        <v>0.2165081050889551</v>
      </c>
      <c r="J22">
        <v>0.21898008848942355</v>
      </c>
      <c r="K22">
        <v>0.16939324219562479</v>
      </c>
      <c r="L22">
        <v>0.16788668001391668</v>
      </c>
      <c r="M22">
        <v>0.13021203817157928</v>
      </c>
      <c r="N22">
        <v>0.20012496341892447</v>
      </c>
      <c r="O22">
        <v>0.15675384488703273</v>
      </c>
      <c r="P22">
        <v>0.21168181269114189</v>
      </c>
      <c r="Q22">
        <v>0.21611606290837967</v>
      </c>
      <c r="T22" s="1">
        <v>40836</v>
      </c>
      <c r="U22">
        <v>1</v>
      </c>
      <c r="V22">
        <f>F22*VLOOKUP($E22,$E$9:$Q$13,F$21+1,FALSE)</f>
        <v>0.16607677005927957</v>
      </c>
      <c r="W22">
        <f t="shared" ref="W22:AG37" si="0">G22*VLOOKUP($E22,$E$9:$Q$13,G$21+1,FALSE)</f>
        <v>0.15184595770500137</v>
      </c>
      <c r="X22">
        <f t="shared" si="0"/>
        <v>0.28396005010534892</v>
      </c>
      <c r="Y22">
        <f t="shared" si="0"/>
        <v>0.29756606984448475</v>
      </c>
      <c r="Z22">
        <f t="shared" si="0"/>
        <v>0.26721298874277971</v>
      </c>
      <c r="AA22">
        <f t="shared" si="0"/>
        <v>0.23496814094038262</v>
      </c>
      <c r="AB22">
        <f t="shared" si="0"/>
        <v>0.25189780474829371</v>
      </c>
      <c r="AC22">
        <f t="shared" si="0"/>
        <v>0.16716071584400111</v>
      </c>
      <c r="AD22">
        <f t="shared" si="0"/>
        <v>0.27154497805135469</v>
      </c>
      <c r="AE22">
        <f t="shared" si="0"/>
        <v>0.18287513162471916</v>
      </c>
      <c r="AF22">
        <f t="shared" si="0"/>
        <v>0.29374818898327099</v>
      </c>
      <c r="AG22">
        <f t="shared" si="0"/>
        <v>0.28719415340550508</v>
      </c>
    </row>
    <row r="23" spans="4:33" x14ac:dyDescent="0.25">
      <c r="D23" s="1">
        <v>41037</v>
      </c>
      <c r="E23">
        <v>1</v>
      </c>
      <c r="F23">
        <v>0.27331975560081473</v>
      </c>
      <c r="G23">
        <v>0.21676646706586822</v>
      </c>
      <c r="H23">
        <v>0.25637225844694717</v>
      </c>
      <c r="I23">
        <v>0.25034578146611358</v>
      </c>
      <c r="J23">
        <v>0.22822527832351008</v>
      </c>
      <c r="K23">
        <v>0.2749706227967097</v>
      </c>
      <c r="L23">
        <v>0.22688251165072362</v>
      </c>
      <c r="M23">
        <v>0.25189620758483044</v>
      </c>
      <c r="N23">
        <v>0.23549049820236267</v>
      </c>
      <c r="O23">
        <v>0.27</v>
      </c>
      <c r="P23">
        <v>0.24495289367429349</v>
      </c>
      <c r="Q23">
        <v>0.27109400064164274</v>
      </c>
      <c r="T23" s="1">
        <v>41037</v>
      </c>
      <c r="U23">
        <v>1</v>
      </c>
      <c r="V23">
        <f t="shared" ref="V23:AG58" si="1">F23*VLOOKUP($E23,$E$9:$Q$13,F$21+1,FALSE)</f>
        <v>0.32527468573338808</v>
      </c>
      <c r="W23">
        <f t="shared" si="0"/>
        <v>0.27336026282669096</v>
      </c>
      <c r="X23">
        <f t="shared" si="0"/>
        <v>0.3276369953633983</v>
      </c>
      <c r="Y23">
        <f t="shared" si="0"/>
        <v>0.34407215500043609</v>
      </c>
      <c r="Z23">
        <f t="shared" si="0"/>
        <v>0.27849453869603014</v>
      </c>
      <c r="AA23">
        <f t="shared" si="0"/>
        <v>0.38141625494804332</v>
      </c>
      <c r="AB23">
        <f t="shared" si="0"/>
        <v>0.34041537193932836</v>
      </c>
      <c r="AC23">
        <f t="shared" si="0"/>
        <v>0.32337371390182168</v>
      </c>
      <c r="AD23">
        <f t="shared" si="0"/>
        <v>0.31953166198363531</v>
      </c>
      <c r="AE23">
        <f t="shared" si="0"/>
        <v>0.31499250033871906</v>
      </c>
      <c r="AF23">
        <f t="shared" si="0"/>
        <v>0.33991804958710309</v>
      </c>
      <c r="AG23">
        <f t="shared" si="0"/>
        <v>0.36025370331031159</v>
      </c>
    </row>
    <row r="24" spans="4:33" x14ac:dyDescent="0.25">
      <c r="D24" s="1">
        <v>41185</v>
      </c>
      <c r="E24">
        <v>1</v>
      </c>
      <c r="F24">
        <v>6.2681744749596049E-2</v>
      </c>
      <c r="G24">
        <v>6.1151832460733004E-2</v>
      </c>
      <c r="H24">
        <v>7.5479836100927344E-2</v>
      </c>
      <c r="I24" t="e">
        <v>#N/A</v>
      </c>
      <c r="J24">
        <v>6.1690314620604557E-2</v>
      </c>
      <c r="K24">
        <v>5.8778479800880863E-2</v>
      </c>
      <c r="L24">
        <v>6.9487506839321589E-2</v>
      </c>
      <c r="M24">
        <v>5.8961710124500757E-2</v>
      </c>
      <c r="N24">
        <v>0.13904253290101071</v>
      </c>
      <c r="O24">
        <v>6.7824994766589777E-2</v>
      </c>
      <c r="P24">
        <v>8.9023195034302546E-2</v>
      </c>
      <c r="Q24">
        <v>5.1220166264413954E-2</v>
      </c>
      <c r="T24" s="1">
        <v>41185</v>
      </c>
      <c r="U24">
        <v>1</v>
      </c>
      <c r="V24">
        <f>F24*VLOOKUP($E24,$E$9:$Q$13,F$21+1,FALSE)</f>
        <v>7.4596820781675427E-2</v>
      </c>
      <c r="W24">
        <f t="shared" si="0"/>
        <v>7.7117467568081702E-2</v>
      </c>
      <c r="X24">
        <f t="shared" si="0"/>
        <v>9.6461242961461593E-2</v>
      </c>
      <c r="Y24" t="e">
        <f t="shared" si="0"/>
        <v>#N/A</v>
      </c>
      <c r="Z24">
        <f t="shared" si="0"/>
        <v>7.5278320782349681E-2</v>
      </c>
      <c r="AA24">
        <f t="shared" si="0"/>
        <v>8.1532592133545745E-2</v>
      </c>
      <c r="AB24">
        <f t="shared" si="0"/>
        <v>0.10425931603868878</v>
      </c>
      <c r="AC24">
        <f t="shared" si="0"/>
        <v>7.5692553547243926E-2</v>
      </c>
      <c r="AD24">
        <f t="shared" si="0"/>
        <v>0.18866362746447529</v>
      </c>
      <c r="AE24">
        <f t="shared" si="0"/>
        <v>7.9127276618476475E-2</v>
      </c>
      <c r="AF24">
        <f t="shared" si="0"/>
        <v>0.1235363680345373</v>
      </c>
      <c r="AG24">
        <f t="shared" si="0"/>
        <v>6.8065890566560053E-2</v>
      </c>
    </row>
    <row r="25" spans="4:33" x14ac:dyDescent="0.25">
      <c r="D25" s="1">
        <v>41362</v>
      </c>
      <c r="E25">
        <v>1</v>
      </c>
      <c r="F25">
        <v>0.24371931850996251</v>
      </c>
      <c r="G25">
        <v>0.21343392552932575</v>
      </c>
      <c r="H25">
        <v>0.27658884565499353</v>
      </c>
      <c r="I25">
        <v>0.24781659388646285</v>
      </c>
      <c r="J25">
        <v>0.24183648416400672</v>
      </c>
      <c r="K25">
        <v>0.28354519774011305</v>
      </c>
      <c r="L25">
        <v>0.22332730560578651</v>
      </c>
      <c r="M25">
        <v>0.19948556730494416</v>
      </c>
      <c r="N25">
        <v>0.25948539031836038</v>
      </c>
      <c r="O25">
        <v>0.25162295507660321</v>
      </c>
      <c r="P25">
        <v>0.25662555759643135</v>
      </c>
      <c r="Q25">
        <v>0.24265208475734801</v>
      </c>
      <c r="T25" s="1">
        <v>41362</v>
      </c>
      <c r="U25">
        <v>1</v>
      </c>
      <c r="V25">
        <f t="shared" si="1"/>
        <v>0.29004754728109111</v>
      </c>
      <c r="W25">
        <f t="shared" si="0"/>
        <v>0.26915765509570228</v>
      </c>
      <c r="X25">
        <f t="shared" si="0"/>
        <v>0.35347326146126518</v>
      </c>
      <c r="Y25">
        <f t="shared" si="0"/>
        <v>0.34059607077870713</v>
      </c>
      <c r="Z25">
        <f t="shared" si="0"/>
        <v>0.29510377023905215</v>
      </c>
      <c r="AA25">
        <f t="shared" si="0"/>
        <v>0.3933101883050702</v>
      </c>
      <c r="AB25">
        <f t="shared" si="0"/>
        <v>0.33508112744730978</v>
      </c>
      <c r="AC25">
        <f t="shared" si="0"/>
        <v>0.25609114717412834</v>
      </c>
      <c r="AD25">
        <f t="shared" si="0"/>
        <v>0.35208978137898439</v>
      </c>
      <c r="AE25">
        <f t="shared" si="0"/>
        <v>0.29355312504517195</v>
      </c>
      <c r="AF25">
        <f t="shared" si="0"/>
        <v>0.35611605849560224</v>
      </c>
      <c r="AG25">
        <f t="shared" si="0"/>
        <v>0.32245756801293896</v>
      </c>
    </row>
    <row r="26" spans="4:33" x14ac:dyDescent="0.25">
      <c r="D26" s="1">
        <v>41432</v>
      </c>
      <c r="E26">
        <v>1</v>
      </c>
      <c r="F26">
        <v>0.16126791141988706</v>
      </c>
      <c r="G26">
        <v>0.1444621877495153</v>
      </c>
      <c r="H26">
        <v>0.16090632397700366</v>
      </c>
      <c r="I26">
        <v>0.1343542328806703</v>
      </c>
      <c r="J26">
        <v>0.17018938659427327</v>
      </c>
      <c r="K26">
        <v>0.21393909557634144</v>
      </c>
      <c r="L26">
        <v>0.13862441381270421</v>
      </c>
      <c r="M26">
        <v>0.10480484189723319</v>
      </c>
      <c r="N26">
        <v>0.16243360695316267</v>
      </c>
      <c r="O26">
        <v>0.13297818876268958</v>
      </c>
      <c r="P26">
        <v>0.15666006105725455</v>
      </c>
      <c r="Q26">
        <v>0.1453697949036668</v>
      </c>
      <c r="T26" s="1">
        <v>41432</v>
      </c>
      <c r="U26">
        <v>1</v>
      </c>
      <c r="V26">
        <f t="shared" si="1"/>
        <v>0.19192307958374036</v>
      </c>
      <c r="W26">
        <f t="shared" si="0"/>
        <v>0.1821786466618312</v>
      </c>
      <c r="X26">
        <f t="shared" si="0"/>
        <v>0.20563404497099472</v>
      </c>
      <c r="Y26">
        <f t="shared" si="0"/>
        <v>0.18465480093156661</v>
      </c>
      <c r="Z26">
        <f t="shared" si="0"/>
        <v>0.2076755697646574</v>
      </c>
      <c r="AA26">
        <f t="shared" si="0"/>
        <v>0.29675842383361717</v>
      </c>
      <c r="AB26">
        <f t="shared" si="0"/>
        <v>0.20799259072277007</v>
      </c>
      <c r="AC26">
        <f t="shared" si="0"/>
        <v>0.13454403019461145</v>
      </c>
      <c r="AD26">
        <f t="shared" si="0"/>
        <v>0.22040243996230971</v>
      </c>
      <c r="AE26">
        <f t="shared" si="0"/>
        <v>0.15513752655138424</v>
      </c>
      <c r="AF26">
        <f t="shared" si="0"/>
        <v>0.21739519629266141</v>
      </c>
      <c r="AG26">
        <f t="shared" si="0"/>
        <v>0.19318025053875673</v>
      </c>
    </row>
    <row r="27" spans="4:33" x14ac:dyDescent="0.25">
      <c r="D27" s="1">
        <v>41527</v>
      </c>
      <c r="E27">
        <v>1</v>
      </c>
      <c r="F27">
        <v>9.8274750080619158E-2</v>
      </c>
      <c r="G27">
        <v>0.1605498553012365</v>
      </c>
      <c r="H27">
        <v>0.12371537633356185</v>
      </c>
      <c r="I27">
        <v>0.13014113776084499</v>
      </c>
      <c r="J27">
        <v>0.1120578363026075</v>
      </c>
      <c r="K27">
        <v>9.1350885826771797E-2</v>
      </c>
      <c r="L27">
        <v>9.5799219527125321E-2</v>
      </c>
      <c r="M27">
        <v>9.3794410232117542E-2</v>
      </c>
      <c r="N27">
        <v>0.10094569422553379</v>
      </c>
      <c r="O27">
        <v>0.10585390053330038</v>
      </c>
      <c r="P27">
        <v>9.6935654301763E-2</v>
      </c>
      <c r="Q27">
        <v>9.0348928852905463E-2</v>
      </c>
      <c r="T27" s="1">
        <v>41527</v>
      </c>
      <c r="U27">
        <v>1</v>
      </c>
      <c r="V27">
        <f t="shared" si="1"/>
        <v>0.11695564551392189</v>
      </c>
      <c r="W27">
        <f t="shared" si="0"/>
        <v>0.20246651262991291</v>
      </c>
      <c r="X27">
        <f t="shared" si="0"/>
        <v>0.15810499321465468</v>
      </c>
      <c r="Y27">
        <f t="shared" si="0"/>
        <v>0.17886437495110591</v>
      </c>
      <c r="Z27">
        <f t="shared" si="0"/>
        <v>0.13673987236476587</v>
      </c>
      <c r="AA27">
        <f t="shared" si="0"/>
        <v>0.12671431007374695</v>
      </c>
      <c r="AB27">
        <f t="shared" si="0"/>
        <v>0.14373750849967604</v>
      </c>
      <c r="AC27">
        <f t="shared" si="0"/>
        <v>0.12040930298554216</v>
      </c>
      <c r="AD27">
        <f t="shared" si="0"/>
        <v>0.13697089985456173</v>
      </c>
      <c r="AE27">
        <f t="shared" si="0"/>
        <v>0.12349327703551982</v>
      </c>
      <c r="AF27">
        <f t="shared" si="0"/>
        <v>0.13451638823878448</v>
      </c>
      <c r="AG27">
        <f t="shared" si="0"/>
        <v>0.12006365368595794</v>
      </c>
    </row>
    <row r="28" spans="4:33" x14ac:dyDescent="0.25">
      <c r="D28" s="1">
        <v>41667</v>
      </c>
      <c r="E28">
        <v>1</v>
      </c>
      <c r="F28" t="e">
        <v>#N/A</v>
      </c>
      <c r="G28" t="e">
        <v>#N/A</v>
      </c>
      <c r="H28" t="e">
        <v>#N/A</v>
      </c>
      <c r="I28">
        <v>0.25309600549162603</v>
      </c>
      <c r="J28" t="e">
        <v>#N/A</v>
      </c>
      <c r="K28">
        <v>0.23556922540758291</v>
      </c>
      <c r="L28">
        <v>0.21485359989171485</v>
      </c>
      <c r="M28">
        <v>0.24306395150383364</v>
      </c>
      <c r="N28">
        <v>0.22465477589924987</v>
      </c>
      <c r="O28">
        <v>0.25537240906858227</v>
      </c>
      <c r="P28">
        <v>0.23934328906850999</v>
      </c>
      <c r="Q28" t="e">
        <v>#N/A</v>
      </c>
      <c r="T28" s="1">
        <v>41667</v>
      </c>
      <c r="U28">
        <v>1</v>
      </c>
      <c r="V28" t="e">
        <f t="shared" si="1"/>
        <v>#N/A</v>
      </c>
      <c r="W28" t="e">
        <f t="shared" si="0"/>
        <v>#N/A</v>
      </c>
      <c r="X28" t="e">
        <f t="shared" si="0"/>
        <v>#N/A</v>
      </c>
      <c r="Y28">
        <f t="shared" si="0"/>
        <v>0.34785202898772805</v>
      </c>
      <c r="Z28" t="e">
        <f t="shared" si="0"/>
        <v>#N/A</v>
      </c>
      <c r="AA28">
        <f t="shared" si="0"/>
        <v>0.32676193122782887</v>
      </c>
      <c r="AB28">
        <f t="shared" si="0"/>
        <v>0.32236714759327495</v>
      </c>
      <c r="AC28">
        <f t="shared" si="0"/>
        <v>0.31203523652485665</v>
      </c>
      <c r="AD28">
        <f t="shared" si="0"/>
        <v>0.30482891863417116</v>
      </c>
      <c r="AE28">
        <f t="shared" si="0"/>
        <v>0.29792738388901818</v>
      </c>
      <c r="AF28">
        <f t="shared" si="0"/>
        <v>0.33213367183205533</v>
      </c>
      <c r="AG28" t="e">
        <f t="shared" si="0"/>
        <v>#N/A</v>
      </c>
    </row>
    <row r="29" spans="4:33" x14ac:dyDescent="0.25">
      <c r="D29" s="1">
        <v>41674</v>
      </c>
      <c r="E29">
        <v>1</v>
      </c>
      <c r="F29">
        <v>0.2544002368761264</v>
      </c>
      <c r="G29">
        <v>0.22925262205115352</v>
      </c>
      <c r="H29">
        <v>0.26944307681777746</v>
      </c>
      <c r="I29" t="e">
        <v>#N/A</v>
      </c>
      <c r="J29">
        <v>0.23139774574247152</v>
      </c>
      <c r="K29" t="e">
        <v>#N/A</v>
      </c>
      <c r="L29" t="e">
        <v>#N/A</v>
      </c>
      <c r="M29" t="e">
        <v>#N/A</v>
      </c>
      <c r="N29" t="e">
        <v>#N/A</v>
      </c>
      <c r="O29" t="e">
        <v>#N/A</v>
      </c>
      <c r="P29" t="e">
        <v>#N/A</v>
      </c>
      <c r="Q29">
        <v>0.23968768921785005</v>
      </c>
      <c r="T29" s="1">
        <v>41674</v>
      </c>
      <c r="U29">
        <v>1</v>
      </c>
      <c r="V29">
        <f t="shared" si="1"/>
        <v>0.30275878492017366</v>
      </c>
      <c r="W29">
        <f t="shared" si="0"/>
        <v>0.28910632657295859</v>
      </c>
      <c r="X29">
        <f t="shared" si="0"/>
        <v>0.34434115705352025</v>
      </c>
      <c r="Y29" t="e">
        <f t="shared" si="0"/>
        <v>#N/A</v>
      </c>
      <c r="Z29">
        <f t="shared" si="0"/>
        <v>0.28236577880081587</v>
      </c>
      <c r="AA29" t="e">
        <f t="shared" si="0"/>
        <v>#N/A</v>
      </c>
      <c r="AB29" t="e">
        <f t="shared" si="0"/>
        <v>#N/A</v>
      </c>
      <c r="AC29" t="e">
        <f t="shared" si="0"/>
        <v>#N/A</v>
      </c>
      <c r="AD29" t="e">
        <f t="shared" si="0"/>
        <v>#N/A</v>
      </c>
      <c r="AE29" t="e">
        <f t="shared" si="0"/>
        <v>#N/A</v>
      </c>
      <c r="AF29" t="e">
        <f t="shared" si="0"/>
        <v>#N/A</v>
      </c>
      <c r="AG29">
        <f t="shared" si="0"/>
        <v>0.3185182168334475</v>
      </c>
    </row>
    <row r="30" spans="4:33" x14ac:dyDescent="0.25">
      <c r="D30" s="1">
        <v>41747</v>
      </c>
      <c r="E30">
        <v>1</v>
      </c>
      <c r="F30">
        <v>0.26478405315614617</v>
      </c>
      <c r="G30">
        <v>0.22674933569530556</v>
      </c>
      <c r="H30">
        <v>0.26513935502699548</v>
      </c>
      <c r="I30">
        <v>0.24335831062670304</v>
      </c>
      <c r="J30">
        <v>0.24557365439093462</v>
      </c>
      <c r="K30">
        <v>0.30033118354540689</v>
      </c>
      <c r="L30">
        <v>0.24903817697543651</v>
      </c>
      <c r="M30">
        <v>0.23572399728076157</v>
      </c>
      <c r="N30">
        <v>0.26150531014314315</v>
      </c>
      <c r="O30">
        <v>0.26590069757899032</v>
      </c>
      <c r="P30">
        <v>0.25516491482421166</v>
      </c>
      <c r="Q30">
        <v>0.28934300993124512</v>
      </c>
      <c r="T30" s="1">
        <v>41747</v>
      </c>
      <c r="U30">
        <v>1</v>
      </c>
      <c r="V30">
        <f t="shared" si="1"/>
        <v>0.31511644479650425</v>
      </c>
      <c r="W30">
        <f t="shared" si="0"/>
        <v>0.28594947752048439</v>
      </c>
      <c r="X30">
        <f t="shared" si="0"/>
        <v>0.33884111393281113</v>
      </c>
      <c r="Y30">
        <f t="shared" si="0"/>
        <v>0.33446866124216751</v>
      </c>
      <c r="Z30">
        <f t="shared" si="0"/>
        <v>0.29966409548445078</v>
      </c>
      <c r="AA30">
        <f t="shared" si="0"/>
        <v>0.41659430417296645</v>
      </c>
      <c r="AB30">
        <f t="shared" si="0"/>
        <v>0.37365781533966508</v>
      </c>
      <c r="AC30">
        <f t="shared" si="0"/>
        <v>0.30261251325426181</v>
      </c>
      <c r="AD30">
        <f t="shared" si="0"/>
        <v>0.354830564313385</v>
      </c>
      <c r="AE30">
        <f t="shared" si="0"/>
        <v>0.31021009471191013</v>
      </c>
      <c r="AF30">
        <f t="shared" si="0"/>
        <v>0.35408914289224303</v>
      </c>
      <c r="AG30">
        <f t="shared" si="0"/>
        <v>0.38450460212313342</v>
      </c>
    </row>
    <row r="31" spans="4:33" x14ac:dyDescent="0.25">
      <c r="D31" s="1">
        <v>41823</v>
      </c>
      <c r="E31">
        <v>1</v>
      </c>
      <c r="F31" s="25">
        <v>0.2174711474622481</v>
      </c>
      <c r="G31" s="25">
        <v>0.19968809961982789</v>
      </c>
      <c r="H31" s="25">
        <v>0.25651763275970296</v>
      </c>
      <c r="I31" s="25">
        <v>0.19398912139810168</v>
      </c>
      <c r="J31" s="25">
        <v>0.21931431468246984</v>
      </c>
      <c r="K31" s="25">
        <v>0.2349698930348797</v>
      </c>
      <c r="L31" s="25">
        <v>0.20630725927355928</v>
      </c>
      <c r="M31" s="25">
        <v>0.19839626023428139</v>
      </c>
      <c r="N31" s="25">
        <v>0.23980774829211887</v>
      </c>
      <c r="O31" s="25">
        <v>0.25148329851081042</v>
      </c>
      <c r="P31" s="25">
        <v>0.22165861549421764</v>
      </c>
      <c r="Q31" s="25">
        <v>0.22444446003802249</v>
      </c>
      <c r="T31" s="1">
        <v>41823</v>
      </c>
      <c r="U31">
        <v>1</v>
      </c>
      <c r="V31">
        <f t="shared" si="1"/>
        <v>0.25880990194567255</v>
      </c>
      <c r="W31">
        <f t="shared" si="0"/>
        <v>0.25182304317785215</v>
      </c>
      <c r="X31">
        <f t="shared" si="0"/>
        <v>0.32782277990702585</v>
      </c>
      <c r="Y31">
        <f t="shared" si="0"/>
        <v>0.26661625634431041</v>
      </c>
      <c r="Z31">
        <f t="shared" si="0"/>
        <v>0.26762083212514431</v>
      </c>
      <c r="AA31">
        <f t="shared" si="0"/>
        <v>0.32593058747648351</v>
      </c>
      <c r="AB31">
        <f t="shared" si="0"/>
        <v>0.30954418605656397</v>
      </c>
      <c r="AC31">
        <f t="shared" si="0"/>
        <v>0.25469274075746523</v>
      </c>
      <c r="AD31">
        <f t="shared" si="0"/>
        <v>0.32538963972332891</v>
      </c>
      <c r="AE31">
        <f t="shared" si="0"/>
        <v>0.29339019626425422</v>
      </c>
      <c r="AF31">
        <f t="shared" si="0"/>
        <v>0.30759287274702335</v>
      </c>
      <c r="AG31">
        <f t="shared" si="0"/>
        <v>0.29826166468016041</v>
      </c>
    </row>
    <row r="32" spans="4:33" x14ac:dyDescent="0.25">
      <c r="D32" s="1">
        <v>40836</v>
      </c>
      <c r="E32">
        <v>2</v>
      </c>
      <c r="F32">
        <v>9.6106089202344272E-2</v>
      </c>
      <c r="G32">
        <v>0.11773863968084101</v>
      </c>
      <c r="H32">
        <v>0.26306429896095301</v>
      </c>
      <c r="I32">
        <v>0.19150218044522593</v>
      </c>
      <c r="J32">
        <v>0.20465764948088397</v>
      </c>
      <c r="K32">
        <v>0.15001400809922799</v>
      </c>
      <c r="L32">
        <v>0.18022905364677499</v>
      </c>
      <c r="M32">
        <v>8.6811683727497396E-2</v>
      </c>
      <c r="N32">
        <v>0.20452035805746796</v>
      </c>
      <c r="O32">
        <v>8.9912386853187379E-2</v>
      </c>
      <c r="P32">
        <v>0.24072791536312196</v>
      </c>
      <c r="Q32">
        <v>0.21086278452298104</v>
      </c>
      <c r="T32" s="1">
        <v>40836</v>
      </c>
      <c r="U32">
        <v>2</v>
      </c>
      <c r="V32">
        <f t="shared" si="1"/>
        <v>0.13895418244148661</v>
      </c>
      <c r="W32">
        <f t="shared" si="0"/>
        <v>0.17175611109325581</v>
      </c>
      <c r="X32">
        <f t="shared" si="0"/>
        <v>0.30330543485720807</v>
      </c>
      <c r="Y32">
        <f t="shared" si="0"/>
        <v>0.28674147996518495</v>
      </c>
      <c r="Z32">
        <f t="shared" si="0"/>
        <v>0.30378548810131834</v>
      </c>
      <c r="AA32">
        <f t="shared" si="0"/>
        <v>0.20950173061134336</v>
      </c>
      <c r="AB32">
        <f t="shared" si="0"/>
        <v>0.26429768557002509</v>
      </c>
      <c r="AC32">
        <f t="shared" si="0"/>
        <v>0.12219134691704087</v>
      </c>
      <c r="AD32">
        <f t="shared" si="0"/>
        <v>0.29482519252158645</v>
      </c>
      <c r="AE32">
        <f t="shared" si="0"/>
        <v>0.11850469423162539</v>
      </c>
      <c r="AF32">
        <f t="shared" si="0"/>
        <v>0.32976262110509413</v>
      </c>
      <c r="AG32">
        <f t="shared" si="0"/>
        <v>0.24829631217606954</v>
      </c>
    </row>
    <row r="33" spans="4:33" x14ac:dyDescent="0.25">
      <c r="D33" s="1">
        <v>41037</v>
      </c>
      <c r="E33">
        <v>2</v>
      </c>
      <c r="F33">
        <v>0.24043535620052764</v>
      </c>
      <c r="G33">
        <v>0.22363796133567679</v>
      </c>
      <c r="H33">
        <v>0.29581447963800905</v>
      </c>
      <c r="I33">
        <v>0.22300686089419389</v>
      </c>
      <c r="J33">
        <v>0.226372198765833</v>
      </c>
      <c r="K33">
        <v>0.28981032201146889</v>
      </c>
      <c r="L33">
        <v>0.22048663262240903</v>
      </c>
      <c r="M33">
        <v>0.21995994659546045</v>
      </c>
      <c r="N33">
        <v>0.22891072891072906</v>
      </c>
      <c r="O33">
        <v>0.25727195707427275</v>
      </c>
      <c r="P33">
        <v>0.25321543408360131</v>
      </c>
      <c r="Q33">
        <v>0.29474516001580409</v>
      </c>
      <c r="T33" s="1">
        <v>41037</v>
      </c>
      <c r="U33">
        <v>2</v>
      </c>
      <c r="V33">
        <f t="shared" si="1"/>
        <v>0.34763144175527427</v>
      </c>
      <c r="W33">
        <f t="shared" si="0"/>
        <v>0.32624112726257526</v>
      </c>
      <c r="X33">
        <f t="shared" si="0"/>
        <v>0.34106543433695896</v>
      </c>
      <c r="Y33">
        <f t="shared" si="0"/>
        <v>0.33391430419499124</v>
      </c>
      <c r="Z33">
        <f t="shared" si="0"/>
        <v>0.33601768157251583</v>
      </c>
      <c r="AA33">
        <f t="shared" si="0"/>
        <v>0.40473396304612091</v>
      </c>
      <c r="AB33">
        <f t="shared" si="0"/>
        <v>0.32333358868676415</v>
      </c>
      <c r="AC33">
        <f t="shared" si="0"/>
        <v>0.30960351174235318</v>
      </c>
      <c r="AD33">
        <f t="shared" si="0"/>
        <v>0.32998499690871275</v>
      </c>
      <c r="AE33">
        <f t="shared" si="0"/>
        <v>0.33908492116042355</v>
      </c>
      <c r="AF33">
        <f t="shared" si="0"/>
        <v>0.34686872572180466</v>
      </c>
      <c r="AG33">
        <f t="shared" si="0"/>
        <v>0.34706995086510217</v>
      </c>
    </row>
    <row r="34" spans="4:33" x14ac:dyDescent="0.25">
      <c r="D34" s="1">
        <v>41185</v>
      </c>
      <c r="E34">
        <v>2</v>
      </c>
      <c r="F34">
        <v>0.19024390243902445</v>
      </c>
      <c r="G34">
        <v>8.6799778147531981E-2</v>
      </c>
      <c r="H34">
        <v>0.11509387954157517</v>
      </c>
      <c r="I34">
        <v>8.4746978180764626E-2</v>
      </c>
      <c r="J34">
        <v>0.17433795712484243</v>
      </c>
      <c r="K34">
        <v>9.1652216992816338E-2</v>
      </c>
      <c r="L34">
        <v>0.12630686634642552</v>
      </c>
      <c r="M34">
        <v>8.5684966649563779E-2</v>
      </c>
      <c r="N34">
        <v>0.18133475139590532</v>
      </c>
      <c r="O34">
        <v>9.0412319920516654E-2</v>
      </c>
      <c r="P34">
        <v>0.10040844111640557</v>
      </c>
      <c r="Q34" t="e">
        <v>#N/A</v>
      </c>
      <c r="T34" s="1">
        <v>41185</v>
      </c>
      <c r="U34">
        <v>2</v>
      </c>
      <c r="V34">
        <f t="shared" si="1"/>
        <v>0.27506254959803067</v>
      </c>
      <c r="W34">
        <f t="shared" si="0"/>
        <v>0.12662276699297914</v>
      </c>
      <c r="X34">
        <f t="shared" si="0"/>
        <v>0.13269987345923404</v>
      </c>
      <c r="Y34">
        <f t="shared" si="0"/>
        <v>0.12689398047392042</v>
      </c>
      <c r="Z34">
        <f t="shared" si="0"/>
        <v>0.25878017036789924</v>
      </c>
      <c r="AA34">
        <f t="shared" si="0"/>
        <v>0.12799670055919404</v>
      </c>
      <c r="AB34">
        <f t="shared" si="0"/>
        <v>0.18522325769067313</v>
      </c>
      <c r="AC34">
        <f t="shared" si="0"/>
        <v>0.12060544198540396</v>
      </c>
      <c r="AD34">
        <f t="shared" si="0"/>
        <v>0.26140210930067687</v>
      </c>
      <c r="AE34">
        <f t="shared" si="0"/>
        <v>0.11916360695047994</v>
      </c>
      <c r="AF34">
        <f t="shared" si="0"/>
        <v>0.13754512298117463</v>
      </c>
      <c r="AG34" t="e">
        <f t="shared" si="0"/>
        <v>#N/A</v>
      </c>
    </row>
    <row r="35" spans="4:33" x14ac:dyDescent="0.25">
      <c r="D35" s="1">
        <v>41362</v>
      </c>
      <c r="E35">
        <v>2</v>
      </c>
      <c r="F35">
        <v>0.23972892842016102</v>
      </c>
      <c r="G35">
        <v>0.22159975101151563</v>
      </c>
      <c r="H35">
        <v>0.30792580101180422</v>
      </c>
      <c r="I35">
        <v>0.21870455839225406</v>
      </c>
      <c r="J35">
        <v>0.24008919722497515</v>
      </c>
      <c r="K35">
        <v>0.29684456564082601</v>
      </c>
      <c r="L35">
        <v>0.23440997761432672</v>
      </c>
      <c r="M35">
        <v>0.19954194102490691</v>
      </c>
      <c r="N35">
        <v>0.25492909028017974</v>
      </c>
      <c r="O35">
        <v>0.24716553287981854</v>
      </c>
      <c r="P35">
        <v>0.24482338611449447</v>
      </c>
      <c r="Q35">
        <v>0.28644501278772388</v>
      </c>
      <c r="T35" s="1">
        <v>41362</v>
      </c>
      <c r="U35">
        <v>2</v>
      </c>
      <c r="V35">
        <f t="shared" si="1"/>
        <v>0.34661005907817743</v>
      </c>
      <c r="W35">
        <f t="shared" si="0"/>
        <v>0.32326780363817292</v>
      </c>
      <c r="X35">
        <f t="shared" si="0"/>
        <v>0.35502943329266518</v>
      </c>
      <c r="Y35">
        <f t="shared" si="0"/>
        <v>0.32747234837080158</v>
      </c>
      <c r="Z35">
        <f t="shared" si="0"/>
        <v>0.35637863598963743</v>
      </c>
      <c r="AA35">
        <f t="shared" si="0"/>
        <v>0.41455762040028848</v>
      </c>
      <c r="AB35">
        <f t="shared" si="0"/>
        <v>0.34375153896890337</v>
      </c>
      <c r="AC35">
        <f t="shared" si="0"/>
        <v>0.28086425113940133</v>
      </c>
      <c r="AD35">
        <f t="shared" si="0"/>
        <v>0.36749162203250152</v>
      </c>
      <c r="AE35">
        <f t="shared" si="0"/>
        <v>0.3257646351480582</v>
      </c>
      <c r="AF35">
        <f t="shared" si="0"/>
        <v>0.33537282699914123</v>
      </c>
      <c r="AG35">
        <f t="shared" si="0"/>
        <v>0.33729631559839096</v>
      </c>
    </row>
    <row r="36" spans="4:33" x14ac:dyDescent="0.25">
      <c r="D36" s="1">
        <v>41432</v>
      </c>
      <c r="E36">
        <v>2</v>
      </c>
      <c r="F36">
        <v>0.18045380183512341</v>
      </c>
      <c r="G36">
        <v>0.16556480666245138</v>
      </c>
      <c r="H36">
        <v>0.21476776498610545</v>
      </c>
      <c r="I36">
        <v>0.15661539259707977</v>
      </c>
      <c r="J36">
        <v>0.19532202638288426</v>
      </c>
      <c r="K36">
        <v>0.25372364433554706</v>
      </c>
      <c r="L36">
        <v>0.17280383091149254</v>
      </c>
      <c r="M36">
        <v>0.11058890147225367</v>
      </c>
      <c r="N36">
        <v>0.18943033630748105</v>
      </c>
      <c r="O36">
        <v>0.13058844318784241</v>
      </c>
      <c r="P36">
        <v>0.17473096196500462</v>
      </c>
      <c r="Q36">
        <v>0.17907383468937718</v>
      </c>
      <c r="T36" s="1">
        <v>41432</v>
      </c>
      <c r="U36">
        <v>2</v>
      </c>
      <c r="V36">
        <f t="shared" si="1"/>
        <v>0.26090761480955121</v>
      </c>
      <c r="W36">
        <f t="shared" si="0"/>
        <v>0.24152451058831778</v>
      </c>
      <c r="X36">
        <f t="shared" si="0"/>
        <v>0.24762094518226599</v>
      </c>
      <c r="Y36">
        <f t="shared" si="0"/>
        <v>0.23450453333851146</v>
      </c>
      <c r="Z36">
        <f t="shared" si="0"/>
        <v>0.28992806900777657</v>
      </c>
      <c r="AA36">
        <f t="shared" si="0"/>
        <v>0.35433719329833452</v>
      </c>
      <c r="AB36">
        <f t="shared" si="0"/>
        <v>0.25340893514900109</v>
      </c>
      <c r="AC36">
        <f t="shared" si="0"/>
        <v>0.15565884964733595</v>
      </c>
      <c r="AD36">
        <f t="shared" si="0"/>
        <v>0.27307225501526389</v>
      </c>
      <c r="AE36">
        <f t="shared" si="0"/>
        <v>0.17211581264579287</v>
      </c>
      <c r="AF36">
        <f t="shared" si="0"/>
        <v>0.23935628703002271</v>
      </c>
      <c r="AG36">
        <f t="shared" si="0"/>
        <v>0.21086401216405065</v>
      </c>
    </row>
    <row r="37" spans="4:33" x14ac:dyDescent="0.25">
      <c r="D37" s="1">
        <v>41527</v>
      </c>
      <c r="E37">
        <v>2</v>
      </c>
      <c r="F37">
        <v>0.12633996937212852</v>
      </c>
      <c r="G37">
        <v>0.12741475045293726</v>
      </c>
      <c r="H37">
        <v>8.7861561611770528E-2</v>
      </c>
      <c r="I37">
        <v>0.14991808445354562</v>
      </c>
      <c r="J37">
        <v>0.12896890343698847</v>
      </c>
      <c r="K37">
        <v>0.12094332981344603</v>
      </c>
      <c r="L37">
        <v>0.14914186400173821</v>
      </c>
      <c r="M37">
        <v>0.17272662333023789</v>
      </c>
      <c r="N37">
        <v>0.12536461636017782</v>
      </c>
      <c r="O37">
        <v>8.2746669554857738E-2</v>
      </c>
      <c r="P37" t="e">
        <v>#N/A</v>
      </c>
      <c r="Q37">
        <v>0.12509032517061411</v>
      </c>
      <c r="T37" s="1">
        <v>41527</v>
      </c>
      <c r="U37">
        <v>2</v>
      </c>
      <c r="V37">
        <f t="shared" si="1"/>
        <v>0.18266758432782376</v>
      </c>
      <c r="W37">
        <f t="shared" si="0"/>
        <v>0.18587153795080977</v>
      </c>
      <c r="X37">
        <f t="shared" si="0"/>
        <v>0.10130180817826204</v>
      </c>
      <c r="Y37">
        <f t="shared" si="0"/>
        <v>0.22447646971858237</v>
      </c>
      <c r="Z37">
        <f t="shared" si="0"/>
        <v>0.19143619297824893</v>
      </c>
      <c r="AA37">
        <f t="shared" si="0"/>
        <v>0.16890313926587111</v>
      </c>
      <c r="AB37">
        <f t="shared" si="0"/>
        <v>0.2187097400761622</v>
      </c>
      <c r="AC37">
        <f t="shared" si="0"/>
        <v>0.24312048617102172</v>
      </c>
      <c r="AD37">
        <f t="shared" si="0"/>
        <v>0.18071867028219615</v>
      </c>
      <c r="AE37">
        <f t="shared" si="0"/>
        <v>0.10906026541476634</v>
      </c>
      <c r="AF37" t="e">
        <f t="shared" si="0"/>
        <v>#N/A</v>
      </c>
      <c r="AG37">
        <f t="shared" si="0"/>
        <v>0.14729705148792535</v>
      </c>
    </row>
    <row r="38" spans="4:33" x14ac:dyDescent="0.25">
      <c r="D38" s="1">
        <v>41667</v>
      </c>
      <c r="E38">
        <v>2</v>
      </c>
      <c r="F38" t="e">
        <v>#N/A</v>
      </c>
      <c r="G38" t="e">
        <v>#N/A</v>
      </c>
      <c r="H38" t="e">
        <v>#N/A</v>
      </c>
      <c r="I38">
        <v>0.21416896154384057</v>
      </c>
      <c r="J38" t="e">
        <v>#N/A</v>
      </c>
      <c r="K38">
        <v>0.14726753670473089</v>
      </c>
      <c r="L38">
        <v>0.19938055205745203</v>
      </c>
      <c r="M38">
        <v>0.20925011225864396</v>
      </c>
      <c r="N38">
        <v>0.20637687475033578</v>
      </c>
      <c r="O38">
        <v>0.233950308487577</v>
      </c>
      <c r="P38">
        <v>0.24527435524603927</v>
      </c>
      <c r="Q38" t="e">
        <v>#N/A</v>
      </c>
      <c r="T38" s="1">
        <v>41667</v>
      </c>
      <c r="U38">
        <v>2</v>
      </c>
      <c r="V38" t="e">
        <f t="shared" si="1"/>
        <v>#N/A</v>
      </c>
      <c r="W38" t="e">
        <f t="shared" si="1"/>
        <v>#N/A</v>
      </c>
      <c r="X38" t="e">
        <f t="shared" si="1"/>
        <v>#N/A</v>
      </c>
      <c r="Y38">
        <f t="shared" si="1"/>
        <v>0.3206810745074134</v>
      </c>
      <c r="Z38" t="e">
        <f t="shared" si="1"/>
        <v>#N/A</v>
      </c>
      <c r="AA38">
        <f t="shared" si="1"/>
        <v>0.205666152070964</v>
      </c>
      <c r="AB38">
        <f t="shared" si="1"/>
        <v>0.2923824843453669</v>
      </c>
      <c r="AC38">
        <f t="shared" si="1"/>
        <v>0.29452893852036793</v>
      </c>
      <c r="AD38">
        <f t="shared" si="1"/>
        <v>0.29750144390601097</v>
      </c>
      <c r="AE38">
        <f t="shared" si="1"/>
        <v>0.30834694465384366</v>
      </c>
      <c r="AF38">
        <f t="shared" si="1"/>
        <v>0.33599058984825397</v>
      </c>
      <c r="AG38" t="e">
        <f t="shared" si="1"/>
        <v>#N/A</v>
      </c>
    </row>
    <row r="39" spans="4:33" x14ac:dyDescent="0.25">
      <c r="D39" s="1">
        <v>41674</v>
      </c>
      <c r="E39">
        <v>2</v>
      </c>
      <c r="F39">
        <v>0.21842903828197943</v>
      </c>
      <c r="G39">
        <v>0.23477766083425</v>
      </c>
      <c r="H39">
        <v>0.19953410981697167</v>
      </c>
      <c r="I39" t="e">
        <v>#N/A</v>
      </c>
      <c r="J39">
        <v>0.1764936593018695</v>
      </c>
      <c r="K39" t="e">
        <v>#N/A</v>
      </c>
      <c r="L39" t="e">
        <v>#N/A</v>
      </c>
      <c r="M39" t="e">
        <v>#N/A</v>
      </c>
      <c r="N39" t="e">
        <v>#N/A</v>
      </c>
      <c r="O39" t="e">
        <v>#N/A</v>
      </c>
      <c r="P39" t="e">
        <v>#N/A</v>
      </c>
      <c r="Q39">
        <v>0.19945205479452074</v>
      </c>
      <c r="T39" s="1">
        <v>41674</v>
      </c>
      <c r="U39">
        <v>2</v>
      </c>
      <c r="V39">
        <f t="shared" si="1"/>
        <v>0.31581379169481677</v>
      </c>
      <c r="W39">
        <f t="shared" si="1"/>
        <v>0.34249162471871136</v>
      </c>
      <c r="X39">
        <f t="shared" si="1"/>
        <v>0.23005698677442177</v>
      </c>
      <c r="Y39" t="e">
        <f t="shared" si="1"/>
        <v>#N/A</v>
      </c>
      <c r="Z39">
        <f t="shared" si="1"/>
        <v>0.26198000697166329</v>
      </c>
      <c r="AA39" t="e">
        <f t="shared" si="1"/>
        <v>#N/A</v>
      </c>
      <c r="AB39" t="e">
        <f t="shared" si="1"/>
        <v>#N/A</v>
      </c>
      <c r="AC39" t="e">
        <f t="shared" si="1"/>
        <v>#N/A</v>
      </c>
      <c r="AD39" t="e">
        <f t="shared" si="1"/>
        <v>#N/A</v>
      </c>
      <c r="AE39" t="e">
        <f t="shared" si="1"/>
        <v>#N/A</v>
      </c>
      <c r="AF39" t="e">
        <f t="shared" si="1"/>
        <v>#N/A</v>
      </c>
      <c r="AG39">
        <f t="shared" si="1"/>
        <v>0.23485988660090718</v>
      </c>
    </row>
    <row r="40" spans="4:33" x14ac:dyDescent="0.25">
      <c r="D40" s="1">
        <v>41747</v>
      </c>
      <c r="E40">
        <v>2</v>
      </c>
      <c r="F40">
        <v>0.24139025551499757</v>
      </c>
      <c r="G40">
        <v>0.25758995053374523</v>
      </c>
      <c r="H40">
        <v>0.30154125113327312</v>
      </c>
      <c r="I40">
        <v>0.22770936103473924</v>
      </c>
      <c r="J40">
        <v>0.23267999223753141</v>
      </c>
      <c r="K40">
        <v>0.31731036398999729</v>
      </c>
      <c r="L40">
        <v>0.23748036991798985</v>
      </c>
      <c r="M40">
        <v>0.21493654409371923</v>
      </c>
      <c r="N40">
        <v>0.27729826003562141</v>
      </c>
      <c r="O40">
        <v>0.24115931461903034</v>
      </c>
      <c r="P40">
        <v>0.31699126930826066</v>
      </c>
      <c r="Q40">
        <v>0.27433173406442757</v>
      </c>
      <c r="T40" s="1">
        <v>41747</v>
      </c>
      <c r="U40">
        <v>2</v>
      </c>
      <c r="V40">
        <f t="shared" si="1"/>
        <v>0.34901207491449837</v>
      </c>
      <c r="W40">
        <f t="shared" si="1"/>
        <v>0.37576999598696387</v>
      </c>
      <c r="X40">
        <f t="shared" si="1"/>
        <v>0.34766823420588661</v>
      </c>
      <c r="Y40">
        <f t="shared" si="1"/>
        <v>0.34095548694654815</v>
      </c>
      <c r="Z40">
        <f t="shared" si="1"/>
        <v>0.34538071356033895</v>
      </c>
      <c r="AA40">
        <f t="shared" si="1"/>
        <v>0.44313908573689942</v>
      </c>
      <c r="AB40">
        <f t="shared" si="1"/>
        <v>0.34825412921853427</v>
      </c>
      <c r="AC40">
        <f t="shared" si="1"/>
        <v>0.30253284692584104</v>
      </c>
      <c r="AD40">
        <f t="shared" si="1"/>
        <v>0.39973777514085379</v>
      </c>
      <c r="AE40">
        <f t="shared" si="1"/>
        <v>0.3178484282338172</v>
      </c>
      <c r="AF40">
        <f t="shared" si="1"/>
        <v>0.43423244735386624</v>
      </c>
      <c r="AG40">
        <f t="shared" si="1"/>
        <v>0.32303262064548888</v>
      </c>
    </row>
    <row r="41" spans="4:33" x14ac:dyDescent="0.25">
      <c r="D41" s="1">
        <v>41823</v>
      </c>
      <c r="E41">
        <v>2</v>
      </c>
      <c r="F41" s="25">
        <v>0.2090328016428665</v>
      </c>
      <c r="G41" s="25">
        <v>0.22174452122323091</v>
      </c>
      <c r="H41" s="25">
        <v>0.28186121880945836</v>
      </c>
      <c r="I41" s="25">
        <v>0.25158310045799248</v>
      </c>
      <c r="J41" s="25">
        <v>0.20817171054700156</v>
      </c>
      <c r="K41" s="25">
        <v>0.27969415878116677</v>
      </c>
      <c r="L41" s="25">
        <v>0.23509351142396659</v>
      </c>
      <c r="M41" s="25">
        <v>0.19649031444410694</v>
      </c>
      <c r="N41" s="25">
        <v>0.22620834934635009</v>
      </c>
      <c r="O41" s="25">
        <v>0.26615374497513933</v>
      </c>
      <c r="P41" s="25">
        <v>0.25396641980788887</v>
      </c>
      <c r="Q41" s="25">
        <v>0.24500774120772004</v>
      </c>
      <c r="T41" s="1">
        <v>41823</v>
      </c>
      <c r="U41">
        <v>2</v>
      </c>
      <c r="V41">
        <f t="shared" si="1"/>
        <v>0.30222832181407133</v>
      </c>
      <c r="W41">
        <f t="shared" si="1"/>
        <v>0.3234789931731783</v>
      </c>
      <c r="X41">
        <f t="shared" si="1"/>
        <v>0.32497773311716022</v>
      </c>
      <c r="Y41">
        <f t="shared" si="1"/>
        <v>0.37670229337251893</v>
      </c>
      <c r="Z41">
        <f t="shared" si="1"/>
        <v>0.3090016173732813</v>
      </c>
      <c r="AA41">
        <f t="shared" si="1"/>
        <v>0.39060625770214219</v>
      </c>
      <c r="AB41">
        <f t="shared" si="1"/>
        <v>0.34475391011962103</v>
      </c>
      <c r="AC41">
        <f t="shared" si="1"/>
        <v>0.27656894956033884</v>
      </c>
      <c r="AD41">
        <f t="shared" si="1"/>
        <v>0.32608939657385239</v>
      </c>
      <c r="AE41">
        <f t="shared" si="1"/>
        <v>0.35079113424473379</v>
      </c>
      <c r="AF41">
        <f t="shared" si="1"/>
        <v>0.34789746815277706</v>
      </c>
      <c r="AG41">
        <f t="shared" si="1"/>
        <v>0.28850287040497474</v>
      </c>
    </row>
    <row r="42" spans="4:33" x14ac:dyDescent="0.25">
      <c r="D42" s="1">
        <v>40836</v>
      </c>
      <c r="E42">
        <v>3</v>
      </c>
      <c r="F42">
        <v>0.12460690894474302</v>
      </c>
      <c r="G42">
        <v>0.13138086331784651</v>
      </c>
      <c r="H42">
        <v>0.21868721435983504</v>
      </c>
      <c r="I42">
        <v>0.20583789982889389</v>
      </c>
      <c r="J42">
        <v>0.21665241321842899</v>
      </c>
      <c r="K42" t="e">
        <v>#N/A</v>
      </c>
      <c r="L42">
        <v>0.21677753299253499</v>
      </c>
      <c r="M42">
        <v>0.11793991043088799</v>
      </c>
      <c r="N42">
        <v>0.23351525454057398</v>
      </c>
      <c r="O42">
        <v>9.5610110598869105E-2</v>
      </c>
      <c r="P42">
        <v>0.24562552634041399</v>
      </c>
      <c r="Q42">
        <v>0.23868475082555915</v>
      </c>
      <c r="T42" s="1">
        <v>40836</v>
      </c>
      <c r="U42">
        <v>3</v>
      </c>
      <c r="V42">
        <f t="shared" si="1"/>
        <v>0.19157268347558143</v>
      </c>
      <c r="W42">
        <f t="shared" si="1"/>
        <v>0.20734696491277349</v>
      </c>
      <c r="X42">
        <f t="shared" si="1"/>
        <v>0.27330100405699131</v>
      </c>
      <c r="Y42">
        <f t="shared" si="1"/>
        <v>0.33754677019872725</v>
      </c>
      <c r="Z42">
        <f t="shared" si="1"/>
        <v>0.34158838463894697</v>
      </c>
      <c r="AA42" t="e">
        <f t="shared" si="1"/>
        <v>#N/A</v>
      </c>
      <c r="AB42">
        <f t="shared" si="1"/>
        <v>0.32266623284347234</v>
      </c>
      <c r="AC42">
        <f t="shared" si="1"/>
        <v>0.17816324226101962</v>
      </c>
      <c r="AD42">
        <f t="shared" si="1"/>
        <v>0.35266469771358155</v>
      </c>
      <c r="AE42">
        <f t="shared" si="1"/>
        <v>0.1410532446808031</v>
      </c>
      <c r="AF42">
        <f t="shared" si="1"/>
        <v>0.35675088676081196</v>
      </c>
      <c r="AG42">
        <f t="shared" si="1"/>
        <v>0.33960190272186019</v>
      </c>
    </row>
    <row r="43" spans="4:33" x14ac:dyDescent="0.25">
      <c r="D43" s="1">
        <v>41037</v>
      </c>
      <c r="E43">
        <v>3</v>
      </c>
      <c r="F43">
        <v>0.22889305816135092</v>
      </c>
      <c r="G43">
        <v>0.22584207620099389</v>
      </c>
      <c r="H43">
        <v>0.24903821492690434</v>
      </c>
      <c r="I43">
        <v>0.2119639840892841</v>
      </c>
      <c r="J43">
        <v>0.21417372216995914</v>
      </c>
      <c r="K43">
        <v>0.3210332103321033</v>
      </c>
      <c r="L43">
        <v>0.21177315147164391</v>
      </c>
      <c r="M43">
        <v>0.20748705694942257</v>
      </c>
      <c r="N43">
        <v>0.22741611700602241</v>
      </c>
      <c r="O43">
        <v>0.20616570327552977</v>
      </c>
      <c r="P43">
        <v>0.23886205045625353</v>
      </c>
      <c r="Q43">
        <v>0.24092490738809147</v>
      </c>
      <c r="T43" s="1">
        <v>41037</v>
      </c>
      <c r="U43">
        <v>3</v>
      </c>
      <c r="V43">
        <f t="shared" si="1"/>
        <v>0.3519039012543636</v>
      </c>
      <c r="W43">
        <f t="shared" si="1"/>
        <v>0.35642686360331155</v>
      </c>
      <c r="X43">
        <f t="shared" si="1"/>
        <v>0.31123170317626203</v>
      </c>
      <c r="Y43">
        <f t="shared" si="1"/>
        <v>0.34759273334632496</v>
      </c>
      <c r="Z43">
        <f t="shared" si="1"/>
        <v>0.33768031798652431</v>
      </c>
      <c r="AA43">
        <f t="shared" si="1"/>
        <v>0.40997039252623185</v>
      </c>
      <c r="AB43">
        <f t="shared" si="1"/>
        <v>0.31521737543299055</v>
      </c>
      <c r="AC43">
        <f t="shared" si="1"/>
        <v>0.31343560172506757</v>
      </c>
      <c r="AD43">
        <f t="shared" si="1"/>
        <v>0.34345352005768043</v>
      </c>
      <c r="AE43">
        <f t="shared" si="1"/>
        <v>0.3041555041277938</v>
      </c>
      <c r="AF43">
        <f t="shared" si="1"/>
        <v>0.34692749399211581</v>
      </c>
      <c r="AG43">
        <f t="shared" si="1"/>
        <v>0.34278920910988675</v>
      </c>
    </row>
    <row r="44" spans="4:33" x14ac:dyDescent="0.25">
      <c r="D44" s="1">
        <v>41185</v>
      </c>
      <c r="E44">
        <v>3</v>
      </c>
      <c r="F44">
        <v>0.12221982293241193</v>
      </c>
      <c r="G44">
        <v>0.1441401971522453</v>
      </c>
      <c r="H44">
        <v>0.11416986769099434</v>
      </c>
      <c r="I44">
        <v>0.13416964257215858</v>
      </c>
      <c r="J44">
        <v>0.10464807436918985</v>
      </c>
      <c r="K44">
        <v>0.11010989010989024</v>
      </c>
      <c r="L44">
        <v>0.19330289193302899</v>
      </c>
      <c r="M44">
        <v>0.14759481201773098</v>
      </c>
      <c r="N44">
        <v>0.21799307958477521</v>
      </c>
      <c r="O44">
        <v>8.7619434844480648E-2</v>
      </c>
      <c r="P44">
        <v>0.1291946308724832</v>
      </c>
      <c r="Q44">
        <v>8.3885848942817795E-2</v>
      </c>
      <c r="T44" s="1">
        <v>41185</v>
      </c>
      <c r="U44">
        <v>3</v>
      </c>
      <c r="V44">
        <f t="shared" si="1"/>
        <v>0.18790273871134622</v>
      </c>
      <c r="W44">
        <f t="shared" si="1"/>
        <v>0.22748390935095236</v>
      </c>
      <c r="X44">
        <f t="shared" si="1"/>
        <v>0.14268204734484663</v>
      </c>
      <c r="Y44">
        <f t="shared" si="1"/>
        <v>0.22002036333734756</v>
      </c>
      <c r="Z44">
        <f t="shared" si="1"/>
        <v>0.16499500812533419</v>
      </c>
      <c r="AA44">
        <f t="shared" si="1"/>
        <v>0.14061409666206667</v>
      </c>
      <c r="AB44">
        <f t="shared" si="1"/>
        <v>0.28772500118786376</v>
      </c>
      <c r="AC44">
        <f t="shared" si="1"/>
        <v>0.22296074461913315</v>
      </c>
      <c r="AD44">
        <f t="shared" si="1"/>
        <v>0.32922244701602399</v>
      </c>
      <c r="AE44">
        <f t="shared" si="1"/>
        <v>0.12926463011599529</v>
      </c>
      <c r="AF44">
        <f t="shared" si="1"/>
        <v>0.18764458163284428</v>
      </c>
      <c r="AG44">
        <f t="shared" si="1"/>
        <v>0.11935322140977303</v>
      </c>
    </row>
    <row r="45" spans="4:33" x14ac:dyDescent="0.25">
      <c r="D45" s="1">
        <v>41362</v>
      </c>
      <c r="E45">
        <v>3</v>
      </c>
      <c r="F45">
        <v>0.22822556834957178</v>
      </c>
      <c r="G45">
        <v>0.22431294874969038</v>
      </c>
      <c r="H45">
        <v>0.27533664068036867</v>
      </c>
      <c r="I45">
        <v>0.21910256235172618</v>
      </c>
      <c r="J45">
        <v>0.22002294893861143</v>
      </c>
      <c r="K45">
        <v>0.34938775510204084</v>
      </c>
      <c r="L45">
        <v>0.24027686222808198</v>
      </c>
      <c r="M45">
        <v>0.20330902972518228</v>
      </c>
      <c r="N45">
        <v>0.27032590051457994</v>
      </c>
      <c r="O45">
        <v>0.20886942239255413</v>
      </c>
      <c r="P45">
        <v>0.24909200968522993</v>
      </c>
      <c r="Q45">
        <v>0.24350858498994762</v>
      </c>
      <c r="T45" s="1">
        <v>41362</v>
      </c>
      <c r="U45">
        <v>3</v>
      </c>
      <c r="V45">
        <f t="shared" si="1"/>
        <v>0.35087769158815768</v>
      </c>
      <c r="W45">
        <f t="shared" si="1"/>
        <v>0.35401357503155406</v>
      </c>
      <c r="X45">
        <f t="shared" si="1"/>
        <v>0.3440977588557389</v>
      </c>
      <c r="Y45">
        <f t="shared" si="1"/>
        <v>0.35929905195092204</v>
      </c>
      <c r="Z45">
        <f t="shared" si="1"/>
        <v>0.34690259201343032</v>
      </c>
      <c r="AA45">
        <f t="shared" si="1"/>
        <v>0.44618011624051218</v>
      </c>
      <c r="AB45">
        <f t="shared" si="1"/>
        <v>0.35764421203767016</v>
      </c>
      <c r="AC45">
        <f t="shared" si="1"/>
        <v>0.30712415995946052</v>
      </c>
      <c r="AD45">
        <f t="shared" si="1"/>
        <v>0.40825770537642286</v>
      </c>
      <c r="AE45">
        <f t="shared" si="1"/>
        <v>0.30814429100161955</v>
      </c>
      <c r="AF45">
        <f t="shared" si="1"/>
        <v>0.36178566887662011</v>
      </c>
      <c r="AG45">
        <f t="shared" si="1"/>
        <v>0.34646527901621882</v>
      </c>
    </row>
    <row r="46" spans="4:33" x14ac:dyDescent="0.25">
      <c r="D46" s="1">
        <v>41432</v>
      </c>
      <c r="E46">
        <v>3</v>
      </c>
      <c r="F46">
        <v>0.19296960820212361</v>
      </c>
      <c r="G46" t="e">
        <v>#N/A</v>
      </c>
      <c r="H46">
        <v>0.22308766257623619</v>
      </c>
      <c r="I46" t="e">
        <v>#N/A</v>
      </c>
      <c r="J46" t="e">
        <v>#N/A</v>
      </c>
      <c r="K46">
        <v>0.28868225292242294</v>
      </c>
      <c r="L46">
        <v>0.20075757575757563</v>
      </c>
      <c r="M46" t="e">
        <v>#N/A</v>
      </c>
      <c r="N46">
        <v>0.22588429168383262</v>
      </c>
      <c r="O46">
        <v>0.1420549581839905</v>
      </c>
      <c r="P46">
        <v>0.2128111132548717</v>
      </c>
      <c r="Q46" t="e">
        <v>#N/A</v>
      </c>
      <c r="T46" s="1">
        <v>41432</v>
      </c>
      <c r="U46">
        <v>3</v>
      </c>
      <c r="V46">
        <f t="shared" si="1"/>
        <v>0.29667460645304772</v>
      </c>
      <c r="W46" t="e">
        <f t="shared" si="1"/>
        <v>#N/A</v>
      </c>
      <c r="X46">
        <f t="shared" si="1"/>
        <v>0.27880039696555137</v>
      </c>
      <c r="Y46" t="e">
        <f t="shared" si="1"/>
        <v>#N/A</v>
      </c>
      <c r="Z46" t="e">
        <f t="shared" si="1"/>
        <v>#N/A</v>
      </c>
      <c r="AA46">
        <f t="shared" si="1"/>
        <v>0.36865711314891825</v>
      </c>
      <c r="AB46">
        <f t="shared" si="1"/>
        <v>0.29882105304111772</v>
      </c>
      <c r="AC46" t="e">
        <f t="shared" si="1"/>
        <v>#N/A</v>
      </c>
      <c r="AD46">
        <f t="shared" si="1"/>
        <v>0.34114009211798152</v>
      </c>
      <c r="AE46">
        <f t="shared" si="1"/>
        <v>0.20957315758072842</v>
      </c>
      <c r="AF46">
        <f t="shared" si="1"/>
        <v>0.30909064907615624</v>
      </c>
      <c r="AG46" t="e">
        <f t="shared" si="1"/>
        <v>#N/A</v>
      </c>
    </row>
    <row r="47" spans="4:33" x14ac:dyDescent="0.25">
      <c r="D47" s="1">
        <v>41527</v>
      </c>
      <c r="E47">
        <v>3</v>
      </c>
      <c r="F47">
        <v>0.14402743379691343</v>
      </c>
      <c r="G47">
        <v>0.14541912057742523</v>
      </c>
      <c r="H47">
        <v>0.14252825449979081</v>
      </c>
      <c r="I47">
        <v>0.15741731641441156</v>
      </c>
      <c r="J47">
        <v>0.16185267475645182</v>
      </c>
      <c r="K47">
        <v>0.13723311373918584</v>
      </c>
      <c r="L47">
        <v>0.15802064971040053</v>
      </c>
      <c r="M47">
        <v>0.13862890184740512</v>
      </c>
      <c r="N47">
        <v>0.16599408124831871</v>
      </c>
      <c r="O47">
        <v>0.11855765665554312</v>
      </c>
      <c r="P47">
        <v>0.15147625160462116</v>
      </c>
      <c r="Q47">
        <v>0.17254616750007673</v>
      </c>
      <c r="T47" s="1">
        <v>41527</v>
      </c>
      <c r="U47">
        <v>3</v>
      </c>
      <c r="V47">
        <f t="shared" si="1"/>
        <v>0.22143011346836244</v>
      </c>
      <c r="W47">
        <f t="shared" si="1"/>
        <v>0.22950232271702503</v>
      </c>
      <c r="X47">
        <f t="shared" si="1"/>
        <v>0.17812250787185255</v>
      </c>
      <c r="Y47">
        <f t="shared" si="1"/>
        <v>0.25814345547251327</v>
      </c>
      <c r="Z47">
        <f t="shared" si="1"/>
        <v>0.25518752779277326</v>
      </c>
      <c r="AA47">
        <f t="shared" si="1"/>
        <v>0.17525138115477049</v>
      </c>
      <c r="AB47">
        <f t="shared" si="1"/>
        <v>0.23520854329165519</v>
      </c>
      <c r="AC47">
        <f t="shared" si="1"/>
        <v>0.2094165964174744</v>
      </c>
      <c r="AD47">
        <f t="shared" si="1"/>
        <v>0.25069134177489233</v>
      </c>
      <c r="AE47">
        <f t="shared" si="1"/>
        <v>0.17490767501752866</v>
      </c>
      <c r="AF47">
        <f t="shared" si="1"/>
        <v>0.2200068042124379</v>
      </c>
      <c r="AG47">
        <f t="shared" si="1"/>
        <v>0.24549958297593968</v>
      </c>
    </row>
    <row r="48" spans="4:33" x14ac:dyDescent="0.25">
      <c r="D48" s="1">
        <v>41667</v>
      </c>
      <c r="E48">
        <v>3</v>
      </c>
      <c r="F48" t="e">
        <v>#N/A</v>
      </c>
      <c r="G48" t="e">
        <v>#N/A</v>
      </c>
      <c r="H48" t="e">
        <v>#N/A</v>
      </c>
      <c r="I48">
        <v>0.21896455093176395</v>
      </c>
      <c r="J48" t="e">
        <v>#N/A</v>
      </c>
      <c r="K48">
        <v>0.10593777388255902</v>
      </c>
      <c r="L48">
        <v>0.15351224851847664</v>
      </c>
      <c r="M48">
        <v>0.2034646739130434</v>
      </c>
      <c r="N48">
        <v>6.4065780265920233E-2</v>
      </c>
      <c r="O48">
        <v>0.20194438164141987</v>
      </c>
      <c r="P48">
        <v>0.24565536417702949</v>
      </c>
      <c r="Q48" t="e">
        <v>#N/A</v>
      </c>
      <c r="T48" s="1">
        <v>41667</v>
      </c>
      <c r="U48">
        <v>3</v>
      </c>
      <c r="V48" t="e">
        <f t="shared" si="1"/>
        <v>#N/A</v>
      </c>
      <c r="W48" t="e">
        <f t="shared" si="1"/>
        <v>#N/A</v>
      </c>
      <c r="X48" t="e">
        <f t="shared" si="1"/>
        <v>#N/A</v>
      </c>
      <c r="Y48">
        <f t="shared" si="1"/>
        <v>0.35907273158379083</v>
      </c>
      <c r="Z48" t="e">
        <f t="shared" si="1"/>
        <v>#N/A</v>
      </c>
      <c r="AA48">
        <f t="shared" si="1"/>
        <v>0.13528616150665201</v>
      </c>
      <c r="AB48">
        <f t="shared" si="1"/>
        <v>0.22849793629902374</v>
      </c>
      <c r="AC48">
        <f t="shared" si="1"/>
        <v>0.30735928031055382</v>
      </c>
      <c r="AD48">
        <f t="shared" si="1"/>
        <v>9.6754874004771993E-2</v>
      </c>
      <c r="AE48">
        <f t="shared" si="1"/>
        <v>0.29792780383958267</v>
      </c>
      <c r="AF48">
        <f t="shared" si="1"/>
        <v>0.35679422376584646</v>
      </c>
      <c r="AG48" t="e">
        <f t="shared" si="1"/>
        <v>#N/A</v>
      </c>
    </row>
    <row r="49" spans="4:33" x14ac:dyDescent="0.25">
      <c r="D49" s="1">
        <v>41674</v>
      </c>
      <c r="E49">
        <v>3</v>
      </c>
      <c r="F49">
        <v>0.16304680330376267</v>
      </c>
      <c r="G49">
        <v>0.22524178372937737</v>
      </c>
      <c r="H49">
        <v>0.13957991955906443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  <c r="N49" t="e">
        <v>#N/A</v>
      </c>
      <c r="O49" t="e">
        <v>#N/A</v>
      </c>
      <c r="P49" t="e">
        <v>#N/A</v>
      </c>
      <c r="Q49">
        <v>0.11246310801175821</v>
      </c>
      <c r="T49" s="1">
        <v>41674</v>
      </c>
      <c r="U49">
        <v>3</v>
      </c>
      <c r="V49">
        <f t="shared" si="1"/>
        <v>0.25067080072476899</v>
      </c>
      <c r="W49">
        <f t="shared" si="1"/>
        <v>0.35547947431916177</v>
      </c>
      <c r="X49">
        <f t="shared" si="1"/>
        <v>0.17443787133763355</v>
      </c>
      <c r="Y49" t="e">
        <f t="shared" si="1"/>
        <v>#N/A</v>
      </c>
      <c r="Z49" t="e">
        <f t="shared" si="1"/>
        <v>#N/A</v>
      </c>
      <c r="AA49" t="e">
        <f t="shared" si="1"/>
        <v>#N/A</v>
      </c>
      <c r="AB49" t="e">
        <f t="shared" si="1"/>
        <v>#N/A</v>
      </c>
      <c r="AC49" t="e">
        <f t="shared" si="1"/>
        <v>#N/A</v>
      </c>
      <c r="AD49" t="e">
        <f t="shared" si="1"/>
        <v>#N/A</v>
      </c>
      <c r="AE49" t="e">
        <f t="shared" si="1"/>
        <v>#N/A</v>
      </c>
      <c r="AF49" t="e">
        <f t="shared" si="1"/>
        <v>#N/A</v>
      </c>
      <c r="AG49">
        <f t="shared" si="1"/>
        <v>0.160013093985715</v>
      </c>
    </row>
    <row r="50" spans="4:33" x14ac:dyDescent="0.25">
      <c r="D50" s="1">
        <v>41747</v>
      </c>
      <c r="E50">
        <v>3</v>
      </c>
      <c r="F50">
        <v>0.23544346648612047</v>
      </c>
      <c r="G50">
        <v>0.25433715220949232</v>
      </c>
      <c r="H50">
        <v>0.2608277189605388</v>
      </c>
      <c r="I50">
        <v>0.21194439677364008</v>
      </c>
      <c r="J50">
        <v>0.22237521514629954</v>
      </c>
      <c r="K50">
        <v>0.36842891278375128</v>
      </c>
      <c r="L50">
        <v>0.24370290635091482</v>
      </c>
      <c r="M50">
        <v>0.19234147198313709</v>
      </c>
      <c r="N50">
        <v>0.26998991499783909</v>
      </c>
      <c r="O50">
        <v>0.19008419083255371</v>
      </c>
      <c r="P50">
        <v>0.30185097294731844</v>
      </c>
      <c r="Q50">
        <v>0.27909897201281575</v>
      </c>
      <c r="T50" s="1">
        <v>41747</v>
      </c>
      <c r="U50">
        <v>3</v>
      </c>
      <c r="V50">
        <f t="shared" si="1"/>
        <v>0.3619746052888676</v>
      </c>
      <c r="W50">
        <f t="shared" si="1"/>
        <v>0.40139815832701092</v>
      </c>
      <c r="X50">
        <f t="shared" si="1"/>
        <v>0.32596545566910107</v>
      </c>
      <c r="Y50">
        <f t="shared" si="1"/>
        <v>0.34756061275464578</v>
      </c>
      <c r="Z50">
        <f t="shared" si="1"/>
        <v>0.35061132898150127</v>
      </c>
      <c r="AA50">
        <f t="shared" si="1"/>
        <v>0.47049632602095581</v>
      </c>
      <c r="AB50">
        <f t="shared" si="1"/>
        <v>0.36274376610773179</v>
      </c>
      <c r="AC50">
        <f t="shared" si="1"/>
        <v>0.29055626839613125</v>
      </c>
      <c r="AD50">
        <f t="shared" si="1"/>
        <v>0.40775028571799127</v>
      </c>
      <c r="AE50">
        <f t="shared" si="1"/>
        <v>0.28043050794016972</v>
      </c>
      <c r="AF50">
        <f t="shared" si="1"/>
        <v>0.43841372626445818</v>
      </c>
      <c r="AG50">
        <f t="shared" si="1"/>
        <v>0.3971034664570528</v>
      </c>
    </row>
    <row r="51" spans="4:33" x14ac:dyDescent="0.25">
      <c r="D51" s="1">
        <v>41823</v>
      </c>
      <c r="E51">
        <v>3</v>
      </c>
      <c r="F51">
        <v>0.20830007667562039</v>
      </c>
      <c r="G51">
        <v>0.20772684703377778</v>
      </c>
      <c r="H51">
        <v>0.24894468883387591</v>
      </c>
      <c r="I51">
        <v>0.21527046940218861</v>
      </c>
      <c r="J51">
        <v>0.21300633875068925</v>
      </c>
      <c r="K51">
        <v>0.26218465188583917</v>
      </c>
      <c r="L51">
        <v>0.21141419544645226</v>
      </c>
      <c r="M51">
        <v>0.18907283583610923</v>
      </c>
      <c r="N51">
        <v>0.25492868687536302</v>
      </c>
      <c r="O51">
        <v>0.19730580474817816</v>
      </c>
      <c r="P51">
        <v>0.23259940442563853</v>
      </c>
      <c r="Q51">
        <v>0.22518789364196018</v>
      </c>
      <c r="T51" s="1">
        <v>41823</v>
      </c>
      <c r="U51">
        <v>3</v>
      </c>
      <c r="V51">
        <f t="shared" si="1"/>
        <v>0.32024391741082092</v>
      </c>
      <c r="W51">
        <f t="shared" si="1"/>
        <v>0.32783717640180127</v>
      </c>
      <c r="X51">
        <f t="shared" si="1"/>
        <v>0.31111482037081306</v>
      </c>
      <c r="Y51">
        <f t="shared" si="1"/>
        <v>0.35301492935108508</v>
      </c>
      <c r="Z51">
        <f t="shared" si="1"/>
        <v>0.33583974482826157</v>
      </c>
      <c r="AA51">
        <f t="shared" si="1"/>
        <v>0.33481877011040856</v>
      </c>
      <c r="AB51">
        <f t="shared" si="1"/>
        <v>0.31468308118761296</v>
      </c>
      <c r="AC51">
        <f t="shared" si="1"/>
        <v>0.28561857757036702</v>
      </c>
      <c r="AD51">
        <f t="shared" si="1"/>
        <v>0.38500417658923874</v>
      </c>
      <c r="AE51">
        <f t="shared" si="1"/>
        <v>0.29108452840150489</v>
      </c>
      <c r="AF51">
        <f t="shared" si="1"/>
        <v>0.33783151541782636</v>
      </c>
      <c r="AG51">
        <f t="shared" si="1"/>
        <v>0.32039850424557764</v>
      </c>
    </row>
    <row r="52" spans="4:33" x14ac:dyDescent="0.25">
      <c r="D52" s="1">
        <v>40836</v>
      </c>
      <c r="E52">
        <v>4</v>
      </c>
      <c r="F52">
        <v>0.151669958903799</v>
      </c>
      <c r="G52">
        <v>0.19041252452935997</v>
      </c>
      <c r="H52">
        <v>0.22859552063838098</v>
      </c>
      <c r="I52">
        <v>0.20252415280214803</v>
      </c>
      <c r="J52">
        <v>0.20426109800080097</v>
      </c>
      <c r="K52">
        <v>0.19983190675248297</v>
      </c>
      <c r="L52">
        <v>0.20618123792727</v>
      </c>
      <c r="M52">
        <v>0.13825740001855802</v>
      </c>
      <c r="N52">
        <v>0.23173631599806202</v>
      </c>
      <c r="O52">
        <v>0.124288123579302</v>
      </c>
      <c r="P52">
        <v>0.25166029839883602</v>
      </c>
      <c r="Q52">
        <v>0.22542286659036001</v>
      </c>
      <c r="T52" s="1">
        <v>40836</v>
      </c>
      <c r="U52">
        <v>4</v>
      </c>
      <c r="V52">
        <f t="shared" si="1"/>
        <v>0.25236295931255226</v>
      </c>
      <c r="W52">
        <f t="shared" si="1"/>
        <v>0.32028385720916958</v>
      </c>
      <c r="X52">
        <f t="shared" si="1"/>
        <v>0.36950558619552193</v>
      </c>
      <c r="Y52">
        <f t="shared" si="1"/>
        <v>0.33936696737601901</v>
      </c>
      <c r="Z52">
        <f t="shared" si="1"/>
        <v>0.33678554005274303</v>
      </c>
      <c r="AA52">
        <f t="shared" si="1"/>
        <v>0.2584790941049887</v>
      </c>
      <c r="AB52">
        <f t="shared" si="1"/>
        <v>0.33238676420847241</v>
      </c>
      <c r="AC52">
        <f t="shared" si="1"/>
        <v>0.23371493205876714</v>
      </c>
      <c r="AD52">
        <f t="shared" si="1"/>
        <v>0.34095353197320644</v>
      </c>
      <c r="AE52">
        <f t="shared" si="1"/>
        <v>0.20942895216142776</v>
      </c>
      <c r="AF52">
        <f t="shared" si="1"/>
        <v>0.36646581027306796</v>
      </c>
      <c r="AG52">
        <f t="shared" si="1"/>
        <v>0.35710945546886047</v>
      </c>
    </row>
    <row r="53" spans="4:33" x14ac:dyDescent="0.25">
      <c r="D53" s="1">
        <v>41037</v>
      </c>
      <c r="E53">
        <v>4</v>
      </c>
      <c r="F53">
        <v>0.21765331442750799</v>
      </c>
      <c r="G53">
        <v>0.20956816257408953</v>
      </c>
      <c r="H53">
        <v>0.22876195998840243</v>
      </c>
      <c r="I53">
        <v>0.20433996383363459</v>
      </c>
      <c r="J53">
        <v>0.20767405063291139</v>
      </c>
      <c r="K53">
        <v>0.29700272479564038</v>
      </c>
      <c r="L53">
        <v>0.19858989424206816</v>
      </c>
      <c r="M53">
        <v>0.19616685456595256</v>
      </c>
      <c r="N53">
        <v>0.23081081081081081</v>
      </c>
      <c r="O53">
        <v>0.20590302178496148</v>
      </c>
      <c r="P53">
        <v>0.2479050279329609</v>
      </c>
      <c r="Q53">
        <v>0.22627465574990688</v>
      </c>
      <c r="T53" s="1">
        <v>41037</v>
      </c>
      <c r="U53">
        <v>4</v>
      </c>
      <c r="V53">
        <f t="shared" si="1"/>
        <v>0.36215236642841553</v>
      </c>
      <c r="W53">
        <f t="shared" si="1"/>
        <v>0.35250464549729865</v>
      </c>
      <c r="X53">
        <f t="shared" si="1"/>
        <v>0.36977462151792861</v>
      </c>
      <c r="Y53">
        <f t="shared" si="1"/>
        <v>0.34240969721617553</v>
      </c>
      <c r="Z53">
        <f t="shared" si="1"/>
        <v>0.34241281370705007</v>
      </c>
      <c r="AA53">
        <f t="shared" si="1"/>
        <v>0.38416785637229839</v>
      </c>
      <c r="AB53">
        <f t="shared" si="1"/>
        <v>0.32014868576406647</v>
      </c>
      <c r="AC53">
        <f t="shared" si="1"/>
        <v>0.33160701040891621</v>
      </c>
      <c r="AD53">
        <f t="shared" si="1"/>
        <v>0.33959183662954068</v>
      </c>
      <c r="AE53">
        <f t="shared" si="1"/>
        <v>0.34695233025850697</v>
      </c>
      <c r="AF53">
        <f t="shared" si="1"/>
        <v>0.36099741401498808</v>
      </c>
      <c r="AG53">
        <f t="shared" si="1"/>
        <v>0.35845883926270966</v>
      </c>
    </row>
    <row r="54" spans="4:33" x14ac:dyDescent="0.25">
      <c r="D54" s="1">
        <v>41185</v>
      </c>
      <c r="E54">
        <v>4</v>
      </c>
      <c r="F54">
        <v>0.19500624219725352</v>
      </c>
      <c r="G54">
        <v>0.18389423076923089</v>
      </c>
      <c r="H54">
        <v>0.19509476031215164</v>
      </c>
      <c r="I54">
        <v>0.19117647058823545</v>
      </c>
      <c r="J54">
        <v>0.17823431426985012</v>
      </c>
      <c r="K54">
        <v>0.12513916722333548</v>
      </c>
      <c r="L54">
        <v>0.21271875770273588</v>
      </c>
      <c r="M54">
        <v>0.17289719626168207</v>
      </c>
      <c r="N54">
        <v>0.23569962369893957</v>
      </c>
      <c r="O54">
        <v>0.1396857071588925</v>
      </c>
      <c r="P54">
        <v>0.22440132122213055</v>
      </c>
      <c r="Q54">
        <v>0.2044994944388272</v>
      </c>
      <c r="T54" s="1">
        <v>41185</v>
      </c>
      <c r="U54">
        <v>4</v>
      </c>
      <c r="V54">
        <f t="shared" si="1"/>
        <v>0.32447000527331543</v>
      </c>
      <c r="W54">
        <f t="shared" si="1"/>
        <v>0.30931974508956633</v>
      </c>
      <c r="X54">
        <f t="shared" si="1"/>
        <v>0.31535440227131389</v>
      </c>
      <c r="Y54">
        <f t="shared" si="1"/>
        <v>0.32035181068285912</v>
      </c>
      <c r="Z54">
        <f t="shared" si="1"/>
        <v>0.29387259921155623</v>
      </c>
      <c r="AA54">
        <f t="shared" si="1"/>
        <v>0.16186533525401867</v>
      </c>
      <c r="AB54">
        <f t="shared" si="1"/>
        <v>0.34292596295400773</v>
      </c>
      <c r="AC54">
        <f t="shared" si="1"/>
        <v>0.2922712019177735</v>
      </c>
      <c r="AD54">
        <f t="shared" si="1"/>
        <v>0.34678474471640941</v>
      </c>
      <c r="AE54">
        <f t="shared" si="1"/>
        <v>0.23537430962620698</v>
      </c>
      <c r="AF54">
        <f t="shared" si="1"/>
        <v>0.32677149527052862</v>
      </c>
      <c r="AG54">
        <f t="shared" si="1"/>
        <v>0.32396315514616847</v>
      </c>
    </row>
    <row r="55" spans="4:33" x14ac:dyDescent="0.25">
      <c r="D55" s="1">
        <v>41362</v>
      </c>
      <c r="E55">
        <v>4</v>
      </c>
      <c r="F55">
        <v>0.21702838063439059</v>
      </c>
      <c r="G55">
        <v>0.21391152502910366</v>
      </c>
      <c r="H55">
        <v>0.23788368336025856</v>
      </c>
      <c r="I55" t="e">
        <v>#N/A</v>
      </c>
      <c r="J55">
        <v>0.2281067556296914</v>
      </c>
      <c r="K55">
        <v>0.39574816026165166</v>
      </c>
      <c r="L55">
        <v>0.22410615554736452</v>
      </c>
      <c r="M55" t="e">
        <v>#N/A</v>
      </c>
      <c r="N55">
        <v>0.28302958158413216</v>
      </c>
      <c r="O55">
        <v>0.19899371069182398</v>
      </c>
      <c r="P55">
        <v>0.27257525083612039</v>
      </c>
      <c r="Q55">
        <v>0.25388457269700332</v>
      </c>
      <c r="T55" s="1">
        <v>41362</v>
      </c>
      <c r="U55">
        <v>4</v>
      </c>
      <c r="V55">
        <f t="shared" si="1"/>
        <v>0.3611125419137563</v>
      </c>
      <c r="W55">
        <f t="shared" si="1"/>
        <v>0.35981040904298872</v>
      </c>
      <c r="X55">
        <f t="shared" si="1"/>
        <v>0.38451912627558305</v>
      </c>
      <c r="Y55" t="e">
        <f t="shared" si="1"/>
        <v>#N/A</v>
      </c>
      <c r="Z55">
        <f t="shared" si="1"/>
        <v>0.376102241867531</v>
      </c>
      <c r="AA55">
        <f t="shared" si="1"/>
        <v>0.51189335887611753</v>
      </c>
      <c r="AB55">
        <f t="shared" si="1"/>
        <v>0.3612836969572627</v>
      </c>
      <c r="AC55" t="e">
        <f t="shared" si="1"/>
        <v>#N/A</v>
      </c>
      <c r="AD55">
        <f t="shared" si="1"/>
        <v>0.41642128933652189</v>
      </c>
      <c r="AE55">
        <f t="shared" si="1"/>
        <v>0.33530994850294166</v>
      </c>
      <c r="AF55">
        <f t="shared" si="1"/>
        <v>0.39692200475633549</v>
      </c>
      <c r="AG55">
        <f t="shared" si="1"/>
        <v>0.40219780219780221</v>
      </c>
    </row>
    <row r="56" spans="4:33" x14ac:dyDescent="0.25">
      <c r="D56" s="1">
        <v>41432</v>
      </c>
      <c r="E56">
        <v>4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>
        <v>0.28280469005465475</v>
      </c>
      <c r="L56" t="e">
        <v>#N/A</v>
      </c>
      <c r="M56" t="e">
        <v>#N/A</v>
      </c>
      <c r="N56">
        <v>0.21965660381643073</v>
      </c>
      <c r="O56" t="e">
        <v>#N/A</v>
      </c>
      <c r="P56" t="e">
        <v>#N/A</v>
      </c>
      <c r="Q56" t="e">
        <v>#N/A</v>
      </c>
      <c r="T56" s="1">
        <v>41432</v>
      </c>
      <c r="U56">
        <v>4</v>
      </c>
      <c r="V56" t="e">
        <f t="shared" si="1"/>
        <v>#N/A</v>
      </c>
      <c r="W56" t="e">
        <f t="shared" si="1"/>
        <v>#N/A</v>
      </c>
      <c r="X56" t="e">
        <f t="shared" si="1"/>
        <v>#N/A</v>
      </c>
      <c r="Y56" t="e">
        <f t="shared" si="1"/>
        <v>#N/A</v>
      </c>
      <c r="Z56" t="e">
        <f t="shared" si="1"/>
        <v>#N/A</v>
      </c>
      <c r="AA56">
        <f t="shared" si="1"/>
        <v>0.36580294549514425</v>
      </c>
      <c r="AB56" t="e">
        <f t="shared" si="1"/>
        <v>#N/A</v>
      </c>
      <c r="AC56" t="e">
        <f t="shared" si="1"/>
        <v>#N/A</v>
      </c>
      <c r="AD56">
        <f t="shared" si="1"/>
        <v>0.32318065716155459</v>
      </c>
      <c r="AE56" t="e">
        <f t="shared" si="1"/>
        <v>#N/A</v>
      </c>
      <c r="AF56" t="e">
        <f t="shared" si="1"/>
        <v>#N/A</v>
      </c>
      <c r="AG56" t="e">
        <f t="shared" si="1"/>
        <v>#N/A</v>
      </c>
    </row>
    <row r="57" spans="4:33" x14ac:dyDescent="0.25">
      <c r="D57" s="1">
        <v>41527</v>
      </c>
      <c r="E57">
        <v>4</v>
      </c>
      <c r="F57">
        <v>0.13955861717055779</v>
      </c>
      <c r="G57">
        <v>0.17427302100161543</v>
      </c>
      <c r="H57">
        <v>0.18666821642354858</v>
      </c>
      <c r="I57">
        <v>0.1949740034662045</v>
      </c>
      <c r="J57">
        <v>0.18496197445831516</v>
      </c>
      <c r="K57">
        <v>0.20734951779181887</v>
      </c>
      <c r="L57">
        <v>0.18241528586356195</v>
      </c>
      <c r="M57">
        <v>0.14661058881741712</v>
      </c>
      <c r="N57">
        <v>0.17826791927196906</v>
      </c>
      <c r="O57">
        <v>0.14167596631835216</v>
      </c>
      <c r="P57">
        <v>0.19697423606950257</v>
      </c>
      <c r="Q57">
        <v>0.17941728754012967</v>
      </c>
      <c r="T57" s="1">
        <v>41527</v>
      </c>
      <c r="U57">
        <v>4</v>
      </c>
      <c r="V57">
        <f t="shared" si="1"/>
        <v>0.23221095252665333</v>
      </c>
      <c r="W57">
        <f t="shared" si="1"/>
        <v>0.29313636543527644</v>
      </c>
      <c r="X57">
        <f t="shared" si="1"/>
        <v>0.30173359714588843</v>
      </c>
      <c r="Y57">
        <f t="shared" si="1"/>
        <v>0.3267152848585349</v>
      </c>
      <c r="Z57">
        <f t="shared" si="1"/>
        <v>0.30496516011541791</v>
      </c>
      <c r="AA57">
        <f t="shared" si="1"/>
        <v>0.26820299317025681</v>
      </c>
      <c r="AB57">
        <f t="shared" si="1"/>
        <v>0.29407344344173947</v>
      </c>
      <c r="AC57">
        <f t="shared" si="1"/>
        <v>0.24783544171927979</v>
      </c>
      <c r="AD57">
        <f t="shared" si="1"/>
        <v>0.26228550519375904</v>
      </c>
      <c r="AE57">
        <f t="shared" si="1"/>
        <v>0.23872795177874437</v>
      </c>
      <c r="AF57">
        <f t="shared" si="1"/>
        <v>0.28683238271350109</v>
      </c>
      <c r="AG57">
        <f t="shared" si="1"/>
        <v>0.28422852936027576</v>
      </c>
    </row>
    <row r="58" spans="4:33" x14ac:dyDescent="0.25">
      <c r="D58" s="1">
        <v>41667</v>
      </c>
      <c r="E58">
        <v>4</v>
      </c>
      <c r="F58" t="e">
        <v>#N/A</v>
      </c>
      <c r="G58" t="e">
        <v>#N/A</v>
      </c>
      <c r="H58" t="e">
        <v>#N/A</v>
      </c>
      <c r="I58">
        <v>0.19487425807115641</v>
      </c>
      <c r="J58" t="e">
        <v>#N/A</v>
      </c>
      <c r="K58">
        <v>0.13575789404582161</v>
      </c>
      <c r="L58">
        <v>0.17003336144004108</v>
      </c>
      <c r="M58">
        <v>0.14279478705493551</v>
      </c>
      <c r="N58">
        <v>0.1624027251895141</v>
      </c>
      <c r="O58">
        <v>0.15264569617166546</v>
      </c>
      <c r="P58">
        <v>0.233046142063948</v>
      </c>
      <c r="Q58" t="e">
        <v>#N/A</v>
      </c>
      <c r="T58" s="1">
        <v>41667</v>
      </c>
      <c r="U58">
        <v>4</v>
      </c>
      <c r="V58" t="e">
        <f t="shared" si="1"/>
        <v>#N/A</v>
      </c>
      <c r="W58" t="e">
        <f t="shared" ref="W58:AG71" si="2">G58*VLOOKUP($E58,$E$9:$Q$13,G$21+1,FALSE)</f>
        <v>#N/A</v>
      </c>
      <c r="X58" t="e">
        <f t="shared" si="2"/>
        <v>#N/A</v>
      </c>
      <c r="Y58">
        <f t="shared" si="2"/>
        <v>0.32654814285715467</v>
      </c>
      <c r="Z58" t="e">
        <f t="shared" si="2"/>
        <v>#N/A</v>
      </c>
      <c r="AA58">
        <f t="shared" si="2"/>
        <v>0.17560047362220849</v>
      </c>
      <c r="AB58">
        <f t="shared" si="2"/>
        <v>0.27411242353914422</v>
      </c>
      <c r="AC58">
        <f t="shared" si="2"/>
        <v>0.24138508282674739</v>
      </c>
      <c r="AD58">
        <f t="shared" si="2"/>
        <v>0.2389430526543018</v>
      </c>
      <c r="AE58">
        <f t="shared" si="2"/>
        <v>0.25721225230973993</v>
      </c>
      <c r="AF58">
        <f t="shared" si="2"/>
        <v>0.33936001755480794</v>
      </c>
      <c r="AG58" t="e">
        <f t="shared" si="2"/>
        <v>#N/A</v>
      </c>
    </row>
    <row r="59" spans="4:33" x14ac:dyDescent="0.25">
      <c r="D59" s="1">
        <v>41674</v>
      </c>
      <c r="E59">
        <v>4</v>
      </c>
      <c r="F59">
        <v>0.12912997818886823</v>
      </c>
      <c r="G59">
        <v>0.20200594920295922</v>
      </c>
      <c r="H59">
        <v>8.7754436629558633E-2</v>
      </c>
      <c r="I59" t="e">
        <v>#N/A</v>
      </c>
      <c r="J59" t="e">
        <v>#N/A</v>
      </c>
      <c r="K59" t="e">
        <v>#N/A</v>
      </c>
      <c r="L59" t="e">
        <v>#N/A</v>
      </c>
      <c r="M59" t="e">
        <v>#N/A</v>
      </c>
      <c r="N59" t="e">
        <v>#N/A</v>
      </c>
      <c r="O59" t="e">
        <v>#N/A</v>
      </c>
      <c r="P59" t="e">
        <v>#N/A</v>
      </c>
      <c r="Q59">
        <v>0.14601226993865032</v>
      </c>
      <c r="T59" s="1">
        <v>41674</v>
      </c>
      <c r="U59">
        <v>4</v>
      </c>
      <c r="V59">
        <f t="shared" ref="V59:V71" si="3">F59*VLOOKUP($E59,$E$9:$Q$13,F$21+1,FALSE)</f>
        <v>0.21485878724591562</v>
      </c>
      <c r="W59">
        <f t="shared" si="2"/>
        <v>0.33978460581749853</v>
      </c>
      <c r="X59">
        <f t="shared" si="2"/>
        <v>0.1418477250013909</v>
      </c>
      <c r="Y59" t="e">
        <f t="shared" si="2"/>
        <v>#N/A</v>
      </c>
      <c r="Z59" t="e">
        <f t="shared" si="2"/>
        <v>#N/A</v>
      </c>
      <c r="AA59" t="e">
        <f t="shared" si="2"/>
        <v>#N/A</v>
      </c>
      <c r="AB59" t="e">
        <f t="shared" si="2"/>
        <v>#N/A</v>
      </c>
      <c r="AC59" t="e">
        <f t="shared" si="2"/>
        <v>#N/A</v>
      </c>
      <c r="AD59" t="e">
        <f t="shared" si="2"/>
        <v>#N/A</v>
      </c>
      <c r="AE59" t="e">
        <f t="shared" si="2"/>
        <v>#N/A</v>
      </c>
      <c r="AF59" t="e">
        <f t="shared" si="2"/>
        <v>#N/A</v>
      </c>
      <c r="AG59">
        <f t="shared" si="2"/>
        <v>0.23130910806984431</v>
      </c>
    </row>
    <row r="60" spans="4:33" x14ac:dyDescent="0.25">
      <c r="D60" s="1">
        <v>41747</v>
      </c>
      <c r="E60">
        <v>4</v>
      </c>
      <c r="F60">
        <v>0.22364079759001582</v>
      </c>
      <c r="G60">
        <v>0.21715328467153286</v>
      </c>
      <c r="H60">
        <v>0.24129391735025524</v>
      </c>
      <c r="I60">
        <v>0.21941188566728326</v>
      </c>
      <c r="J60">
        <v>0.22914349276974394</v>
      </c>
      <c r="K60">
        <v>0.36026655560183229</v>
      </c>
      <c r="L60">
        <v>0.24294670846394967</v>
      </c>
      <c r="M60">
        <v>0.20316107263363545</v>
      </c>
      <c r="N60">
        <v>0.30231276744067748</v>
      </c>
      <c r="O60">
        <v>0.2041666666666668</v>
      </c>
      <c r="P60">
        <v>0.30936395759717328</v>
      </c>
      <c r="Q60">
        <v>0.2252355124179275</v>
      </c>
      <c r="T60" s="1">
        <v>41747</v>
      </c>
      <c r="U60">
        <v>4</v>
      </c>
      <c r="V60">
        <f t="shared" si="3"/>
        <v>0.37211491260859192</v>
      </c>
      <c r="W60">
        <f t="shared" si="2"/>
        <v>0.36526321885677882</v>
      </c>
      <c r="X60">
        <f t="shared" si="2"/>
        <v>0.3900314849868064</v>
      </c>
      <c r="Y60">
        <f t="shared" si="2"/>
        <v>0.36766551156939331</v>
      </c>
      <c r="Z60">
        <f t="shared" si="2"/>
        <v>0.37781161326043305</v>
      </c>
      <c r="AA60">
        <f t="shared" si="2"/>
        <v>0.46599852066481423</v>
      </c>
      <c r="AB60">
        <f t="shared" si="2"/>
        <v>0.39165673420738956</v>
      </c>
      <c r="AC60">
        <f t="shared" si="2"/>
        <v>0.34343027050402353</v>
      </c>
      <c r="AD60">
        <f t="shared" si="2"/>
        <v>0.44479263155437215</v>
      </c>
      <c r="AE60">
        <f t="shared" si="2"/>
        <v>0.34402652349167973</v>
      </c>
      <c r="AF60">
        <f t="shared" si="2"/>
        <v>0.45049343941593095</v>
      </c>
      <c r="AG60">
        <f t="shared" si="2"/>
        <v>0.35681265351833441</v>
      </c>
    </row>
    <row r="61" spans="4:33" x14ac:dyDescent="0.25">
      <c r="D61" s="1">
        <v>41823</v>
      </c>
      <c r="E61">
        <v>4</v>
      </c>
      <c r="F61">
        <v>0.20807110532515802</v>
      </c>
      <c r="G61">
        <v>0.21543862103446496</v>
      </c>
      <c r="H61">
        <v>0.21978492858561599</v>
      </c>
      <c r="I61">
        <v>0.19915591669255814</v>
      </c>
      <c r="J61">
        <v>0.1966919459213603</v>
      </c>
      <c r="K61">
        <v>0.24973147951220129</v>
      </c>
      <c r="L61">
        <v>0.20819173702946497</v>
      </c>
      <c r="M61">
        <v>0.19599853023449151</v>
      </c>
      <c r="N61">
        <v>0.2190575037465079</v>
      </c>
      <c r="O61">
        <v>0.19609072141053277</v>
      </c>
      <c r="P61">
        <v>0.24329691713979862</v>
      </c>
      <c r="Q61">
        <v>0.21105338345549995</v>
      </c>
      <c r="T61" s="1">
        <v>41823</v>
      </c>
      <c r="U61">
        <v>4</v>
      </c>
      <c r="V61">
        <f t="shared" si="3"/>
        <v>0.34620857199939137</v>
      </c>
      <c r="W61">
        <f t="shared" si="2"/>
        <v>0.36237906465077896</v>
      </c>
      <c r="X61">
        <f t="shared" si="2"/>
        <v>0.35526399925586982</v>
      </c>
      <c r="Y61">
        <f t="shared" si="2"/>
        <v>0.33372285995425083</v>
      </c>
      <c r="Z61">
        <f t="shared" si="2"/>
        <v>0.3243055279713149</v>
      </c>
      <c r="AA61">
        <f t="shared" si="2"/>
        <v>0.32302332316613541</v>
      </c>
      <c r="AB61">
        <f t="shared" si="2"/>
        <v>0.3356279092211838</v>
      </c>
      <c r="AC61">
        <f t="shared" si="2"/>
        <v>0.33132246933056542</v>
      </c>
      <c r="AD61">
        <f t="shared" si="2"/>
        <v>0.32229920151242236</v>
      </c>
      <c r="AE61">
        <f t="shared" si="2"/>
        <v>0.33041833065718057</v>
      </c>
      <c r="AF61">
        <f t="shared" si="2"/>
        <v>0.35428711816622466</v>
      </c>
      <c r="AG61">
        <f t="shared" si="2"/>
        <v>0.33434566768071294</v>
      </c>
    </row>
    <row r="62" spans="4:33" x14ac:dyDescent="0.25">
      <c r="D62" s="1">
        <v>40836</v>
      </c>
      <c r="E62">
        <v>5</v>
      </c>
      <c r="F62">
        <v>0.18346585016544001</v>
      </c>
      <c r="G62">
        <v>0.19561445022874299</v>
      </c>
      <c r="H62">
        <v>0.19272965104012799</v>
      </c>
      <c r="I62">
        <v>0.20118710746083202</v>
      </c>
      <c r="J62">
        <v>0.25927077664619402</v>
      </c>
      <c r="K62">
        <v>0.23127205551476701</v>
      </c>
      <c r="L62">
        <v>0.20609939579203801</v>
      </c>
      <c r="M62">
        <v>0.13870085375625099</v>
      </c>
      <c r="N62">
        <v>0.21973412493546696</v>
      </c>
      <c r="O62">
        <v>0.14566465101978099</v>
      </c>
      <c r="P62">
        <v>0.21260009921337999</v>
      </c>
      <c r="Q62">
        <v>0.19977077669385401</v>
      </c>
      <c r="T62" s="1">
        <v>40836</v>
      </c>
      <c r="U62">
        <v>5</v>
      </c>
      <c r="V62">
        <f t="shared" si="3"/>
        <v>0.30599899079992315</v>
      </c>
      <c r="W62">
        <f t="shared" si="2"/>
        <v>0.33390171165297278</v>
      </c>
      <c r="X62">
        <f t="shared" si="2"/>
        <v>0.3183317908280428</v>
      </c>
      <c r="Y62">
        <f t="shared" si="2"/>
        <v>0.33883193509436077</v>
      </c>
      <c r="Z62">
        <f t="shared" si="2"/>
        <v>0.40725550960220225</v>
      </c>
      <c r="AA62">
        <f t="shared" si="2"/>
        <v>0.35871159811730041</v>
      </c>
      <c r="AB62">
        <f t="shared" si="2"/>
        <v>0.35088930833136767</v>
      </c>
      <c r="AC62">
        <f t="shared" si="2"/>
        <v>0.23176207253219369</v>
      </c>
      <c r="AD62">
        <f t="shared" si="2"/>
        <v>0.36387771881719394</v>
      </c>
      <c r="AE62">
        <f t="shared" si="2"/>
        <v>0.24794599359333272</v>
      </c>
      <c r="AF62">
        <f t="shared" si="2"/>
        <v>0.28595978934642813</v>
      </c>
      <c r="AG62">
        <f t="shared" si="2"/>
        <v>0.31914023249960499</v>
      </c>
    </row>
    <row r="63" spans="4:33" x14ac:dyDescent="0.25">
      <c r="D63" s="1">
        <v>41037</v>
      </c>
      <c r="E63">
        <v>5</v>
      </c>
      <c r="F63">
        <v>0.21247484909456743</v>
      </c>
      <c r="G63">
        <v>0.20229445506692154</v>
      </c>
      <c r="H63" t="e">
        <v>#N/A</v>
      </c>
      <c r="I63" t="e">
        <v>#N/A</v>
      </c>
      <c r="J63" t="e">
        <v>#N/A</v>
      </c>
      <c r="K63">
        <v>0.25344874222342439</v>
      </c>
      <c r="L63" t="e">
        <v>#N/A</v>
      </c>
      <c r="M63">
        <v>0.19583759808938936</v>
      </c>
      <c r="N63" t="e">
        <v>#N/A</v>
      </c>
      <c r="O63">
        <v>0.203349908400942</v>
      </c>
      <c r="P63" t="e">
        <v>#N/A</v>
      </c>
      <c r="Q63" t="e">
        <v>#N/A</v>
      </c>
      <c r="T63" s="1">
        <v>41037</v>
      </c>
      <c r="U63">
        <v>5</v>
      </c>
      <c r="V63">
        <f t="shared" si="3"/>
        <v>0.35438251497308382</v>
      </c>
      <c r="W63">
        <f t="shared" si="2"/>
        <v>0.34530406483654258</v>
      </c>
      <c r="X63" t="e">
        <f t="shared" si="2"/>
        <v>#N/A</v>
      </c>
      <c r="Y63" t="e">
        <f t="shared" si="2"/>
        <v>#N/A</v>
      </c>
      <c r="Z63" t="e">
        <f t="shared" si="2"/>
        <v>#N/A</v>
      </c>
      <c r="AA63">
        <f t="shared" si="2"/>
        <v>0.39310846769370822</v>
      </c>
      <c r="AB63" t="e">
        <f t="shared" si="2"/>
        <v>#N/A</v>
      </c>
      <c r="AC63">
        <f t="shared" si="2"/>
        <v>0.32723466643317695</v>
      </c>
      <c r="AD63" t="e">
        <f t="shared" si="2"/>
        <v>#N/A</v>
      </c>
      <c r="AE63">
        <f t="shared" si="2"/>
        <v>0.34613610599827577</v>
      </c>
      <c r="AF63" t="e">
        <f t="shared" si="2"/>
        <v>#N/A</v>
      </c>
      <c r="AG63" t="e">
        <f t="shared" si="2"/>
        <v>#N/A</v>
      </c>
    </row>
    <row r="64" spans="4:33" x14ac:dyDescent="0.25">
      <c r="D64" s="1">
        <v>41185</v>
      </c>
      <c r="E64">
        <v>5</v>
      </c>
      <c r="F64">
        <v>9.2632826387517228E-2</v>
      </c>
      <c r="G64">
        <v>0.17653890824622545</v>
      </c>
      <c r="H64">
        <v>0.17822784810126577</v>
      </c>
      <c r="I64">
        <v>0.19126328217237315</v>
      </c>
      <c r="J64">
        <v>0.17208043310131491</v>
      </c>
      <c r="K64">
        <v>0.18329886246122043</v>
      </c>
      <c r="L64">
        <v>0.21000450653447486</v>
      </c>
      <c r="M64">
        <v>0.16030881017257026</v>
      </c>
      <c r="N64">
        <v>0.21801801801801812</v>
      </c>
      <c r="O64">
        <v>0.16358768406961177</v>
      </c>
      <c r="P64">
        <v>0.19539198084979054</v>
      </c>
      <c r="Q64">
        <v>0.19235340729001568</v>
      </c>
      <c r="T64" s="1">
        <v>41185</v>
      </c>
      <c r="U64">
        <v>5</v>
      </c>
      <c r="V64">
        <f t="shared" si="3"/>
        <v>0.15450042263431701</v>
      </c>
      <c r="W64">
        <f t="shared" si="2"/>
        <v>0.30134094678502615</v>
      </c>
      <c r="X64">
        <f t="shared" si="2"/>
        <v>0.29437914589328801</v>
      </c>
      <c r="Y64">
        <f t="shared" si="2"/>
        <v>0.32211859312893937</v>
      </c>
      <c r="Z64">
        <f t="shared" si="2"/>
        <v>0.27029928085908878</v>
      </c>
      <c r="AA64">
        <f t="shared" si="2"/>
        <v>0.28430338347708123</v>
      </c>
      <c r="AB64">
        <f t="shared" si="2"/>
        <v>0.35753785575725971</v>
      </c>
      <c r="AC64">
        <f t="shared" si="2"/>
        <v>0.26786786875917451</v>
      </c>
      <c r="AD64">
        <f t="shared" si="2"/>
        <v>0.36103586131986126</v>
      </c>
      <c r="AE64">
        <f t="shared" si="2"/>
        <v>0.27845404209126895</v>
      </c>
      <c r="AF64">
        <f t="shared" si="2"/>
        <v>0.26281384576264094</v>
      </c>
      <c r="AG64">
        <f t="shared" si="2"/>
        <v>0.30729074662758432</v>
      </c>
    </row>
    <row r="65" spans="4:33" x14ac:dyDescent="0.25">
      <c r="D65" s="1">
        <v>41362</v>
      </c>
      <c r="E65">
        <v>5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t="e">
        <v>#N/A</v>
      </c>
      <c r="L65" t="e">
        <v>#N/A</v>
      </c>
      <c r="M65" t="e">
        <v>#N/A</v>
      </c>
      <c r="N65" t="e">
        <v>#N/A</v>
      </c>
      <c r="O65" t="e">
        <v>#N/A</v>
      </c>
      <c r="P65" t="e">
        <v>#N/A</v>
      </c>
      <c r="Q65" t="e">
        <v>#N/A</v>
      </c>
      <c r="T65" s="1">
        <v>41362</v>
      </c>
      <c r="U65">
        <v>5</v>
      </c>
      <c r="V65" t="e">
        <f t="shared" si="3"/>
        <v>#N/A</v>
      </c>
      <c r="W65" t="e">
        <f t="shared" si="2"/>
        <v>#N/A</v>
      </c>
      <c r="X65" t="e">
        <f t="shared" si="2"/>
        <v>#N/A</v>
      </c>
      <c r="Y65" t="e">
        <f t="shared" si="2"/>
        <v>#N/A</v>
      </c>
      <c r="Z65" t="e">
        <f t="shared" si="2"/>
        <v>#N/A</v>
      </c>
      <c r="AA65" t="e">
        <f t="shared" si="2"/>
        <v>#N/A</v>
      </c>
      <c r="AB65" t="e">
        <f t="shared" si="2"/>
        <v>#N/A</v>
      </c>
      <c r="AC65" t="e">
        <f t="shared" si="2"/>
        <v>#N/A</v>
      </c>
      <c r="AD65" t="e">
        <f t="shared" si="2"/>
        <v>#N/A</v>
      </c>
      <c r="AE65" t="e">
        <f t="shared" si="2"/>
        <v>#N/A</v>
      </c>
      <c r="AF65" t="e">
        <f t="shared" si="2"/>
        <v>#N/A</v>
      </c>
      <c r="AG65" t="e">
        <f t="shared" si="2"/>
        <v>#N/A</v>
      </c>
    </row>
    <row r="66" spans="4:33" x14ac:dyDescent="0.25">
      <c r="D66" s="1">
        <v>41432</v>
      </c>
      <c r="E66">
        <v>5</v>
      </c>
      <c r="F66" t="e">
        <v>#N/A</v>
      </c>
      <c r="G66" t="e">
        <v>#N/A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M66" t="e">
        <v>#N/A</v>
      </c>
      <c r="N66" t="e">
        <v>#N/A</v>
      </c>
      <c r="O66" t="e">
        <v>#N/A</v>
      </c>
      <c r="P66" t="e">
        <v>#N/A</v>
      </c>
      <c r="Q66" t="e">
        <v>#N/A</v>
      </c>
      <c r="T66" s="1">
        <v>41432</v>
      </c>
      <c r="U66">
        <v>5</v>
      </c>
      <c r="V66" t="e">
        <f t="shared" si="3"/>
        <v>#N/A</v>
      </c>
      <c r="W66" t="e">
        <f t="shared" si="2"/>
        <v>#N/A</v>
      </c>
      <c r="X66" t="e">
        <f t="shared" si="2"/>
        <v>#N/A</v>
      </c>
      <c r="Y66" t="e">
        <f t="shared" si="2"/>
        <v>#N/A</v>
      </c>
      <c r="Z66" t="e">
        <f t="shared" si="2"/>
        <v>#N/A</v>
      </c>
      <c r="AA66" t="e">
        <f t="shared" si="2"/>
        <v>#N/A</v>
      </c>
      <c r="AB66" t="e">
        <f t="shared" si="2"/>
        <v>#N/A</v>
      </c>
      <c r="AC66" t="e">
        <f t="shared" si="2"/>
        <v>#N/A</v>
      </c>
      <c r="AD66" t="e">
        <f t="shared" si="2"/>
        <v>#N/A</v>
      </c>
      <c r="AE66" t="e">
        <f t="shared" si="2"/>
        <v>#N/A</v>
      </c>
      <c r="AF66" t="e">
        <f t="shared" si="2"/>
        <v>#N/A</v>
      </c>
      <c r="AG66" t="e">
        <f t="shared" si="2"/>
        <v>#N/A</v>
      </c>
    </row>
    <row r="67" spans="4:33" x14ac:dyDescent="0.25">
      <c r="D67" s="1">
        <v>41527</v>
      </c>
      <c r="E67">
        <v>5</v>
      </c>
      <c r="F67">
        <v>0.16103978443493419</v>
      </c>
      <c r="G67">
        <v>0.19241587665381807</v>
      </c>
      <c r="H67">
        <v>0.22048080754416244</v>
      </c>
      <c r="I67">
        <v>0.20062545104642759</v>
      </c>
      <c r="J67">
        <v>0.20146627565982372</v>
      </c>
      <c r="K67">
        <v>0.22686496694995278</v>
      </c>
      <c r="L67">
        <v>0.19415739268680432</v>
      </c>
      <c r="M67">
        <v>0.14839882816446137</v>
      </c>
      <c r="N67">
        <v>0.2033151489718841</v>
      </c>
      <c r="O67">
        <v>0.14521310773184842</v>
      </c>
      <c r="P67">
        <v>0.20628387873920881</v>
      </c>
      <c r="Q67">
        <v>0.20415165551552583</v>
      </c>
      <c r="T67" s="1">
        <v>41527</v>
      </c>
      <c r="U67">
        <v>5</v>
      </c>
      <c r="V67">
        <f t="shared" si="3"/>
        <v>0.26859500812434944</v>
      </c>
      <c r="W67">
        <f t="shared" si="2"/>
        <v>0.32844194531021786</v>
      </c>
      <c r="X67">
        <f t="shared" si="2"/>
        <v>0.36416840859704008</v>
      </c>
      <c r="Y67">
        <f t="shared" si="2"/>
        <v>0.33788601399557533</v>
      </c>
      <c r="Z67">
        <f t="shared" si="2"/>
        <v>0.3164577659805598</v>
      </c>
      <c r="AA67">
        <f t="shared" si="2"/>
        <v>0.35187603911035392</v>
      </c>
      <c r="AB67">
        <f t="shared" si="2"/>
        <v>0.33055775328928166</v>
      </c>
      <c r="AC67">
        <f t="shared" si="2"/>
        <v>0.24796689454548079</v>
      </c>
      <c r="AD67">
        <f t="shared" si="2"/>
        <v>0.33668804347342335</v>
      </c>
      <c r="AE67">
        <f t="shared" si="2"/>
        <v>0.24717739017175422</v>
      </c>
      <c r="AF67">
        <f t="shared" si="2"/>
        <v>0.2774640968093951</v>
      </c>
      <c r="AG67">
        <f t="shared" si="2"/>
        <v>0.32613882713311104</v>
      </c>
    </row>
    <row r="68" spans="4:33" x14ac:dyDescent="0.25">
      <c r="D68" s="1">
        <v>41667</v>
      </c>
      <c r="E68">
        <v>5</v>
      </c>
      <c r="F68" t="e">
        <v>#N/A</v>
      </c>
      <c r="G68" t="e">
        <v>#N/A</v>
      </c>
      <c r="H68" t="e">
        <v>#N/A</v>
      </c>
      <c r="I68">
        <v>0.18142440649729286</v>
      </c>
      <c r="J68" t="e">
        <v>#N/A</v>
      </c>
      <c r="K68">
        <v>0.19226374128671014</v>
      </c>
      <c r="L68">
        <v>0.18268560707585085</v>
      </c>
      <c r="M68">
        <v>0.14571284400108692</v>
      </c>
      <c r="N68">
        <v>0.18348217580633269</v>
      </c>
      <c r="O68">
        <v>0.14500986193293883</v>
      </c>
      <c r="P68">
        <v>0.2098025734210785</v>
      </c>
      <c r="Q68" t="e">
        <v>#N/A</v>
      </c>
      <c r="T68" s="1">
        <v>41667</v>
      </c>
      <c r="U68">
        <v>5</v>
      </c>
      <c r="V68" t="e">
        <f t="shared" si="3"/>
        <v>#N/A</v>
      </c>
      <c r="W68" t="e">
        <f t="shared" si="2"/>
        <v>#N/A</v>
      </c>
      <c r="X68" t="e">
        <f t="shared" si="2"/>
        <v>#N/A</v>
      </c>
      <c r="Y68">
        <f t="shared" si="2"/>
        <v>0.30554832018145778</v>
      </c>
      <c r="Z68" t="e">
        <f t="shared" si="2"/>
        <v>#N/A</v>
      </c>
      <c r="AA68">
        <f t="shared" si="2"/>
        <v>0.29820824545126828</v>
      </c>
      <c r="AB68">
        <f t="shared" si="2"/>
        <v>0.31102675513723027</v>
      </c>
      <c r="AC68">
        <f t="shared" si="2"/>
        <v>0.24347875161316479</v>
      </c>
      <c r="AD68">
        <f t="shared" si="2"/>
        <v>0.30384481971396887</v>
      </c>
      <c r="AE68">
        <f t="shared" si="2"/>
        <v>0.24683143127780494</v>
      </c>
      <c r="AF68">
        <f t="shared" si="2"/>
        <v>0.2821969506214338</v>
      </c>
      <c r="AG68" t="e">
        <f t="shared" si="2"/>
        <v>#N/A</v>
      </c>
    </row>
    <row r="69" spans="4:33" x14ac:dyDescent="0.25">
      <c r="D69" s="1">
        <v>41674</v>
      </c>
      <c r="E69">
        <v>5</v>
      </c>
      <c r="F69">
        <v>0.14126137433322866</v>
      </c>
      <c r="G69">
        <v>0.18050880194249785</v>
      </c>
      <c r="H69">
        <v>0.18952996568510078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  <c r="N69" t="e">
        <v>#N/A</v>
      </c>
      <c r="O69" t="e">
        <v>#N/A</v>
      </c>
      <c r="P69" t="e">
        <v>#N/A</v>
      </c>
      <c r="Q69">
        <v>0.17802208172124198</v>
      </c>
      <c r="T69" s="1">
        <v>41674</v>
      </c>
      <c r="U69">
        <v>5</v>
      </c>
      <c r="V69">
        <f t="shared" si="3"/>
        <v>0.23560699686617054</v>
      </c>
      <c r="W69">
        <f t="shared" si="2"/>
        <v>0.30811730864743286</v>
      </c>
      <c r="X69">
        <f t="shared" si="2"/>
        <v>0.31304686677170235</v>
      </c>
      <c r="Y69" t="e">
        <f t="shared" si="2"/>
        <v>#N/A</v>
      </c>
      <c r="Z69" t="e">
        <f t="shared" si="2"/>
        <v>#N/A</v>
      </c>
      <c r="AA69" t="e">
        <f t="shared" si="2"/>
        <v>#N/A</v>
      </c>
      <c r="AB69" t="e">
        <f t="shared" si="2"/>
        <v>#N/A</v>
      </c>
      <c r="AC69" t="e">
        <f t="shared" si="2"/>
        <v>#N/A</v>
      </c>
      <c r="AD69" t="e">
        <f t="shared" si="2"/>
        <v>#N/A</v>
      </c>
      <c r="AE69" t="e">
        <f t="shared" si="2"/>
        <v>#N/A</v>
      </c>
      <c r="AF69" t="e">
        <f t="shared" si="2"/>
        <v>#N/A</v>
      </c>
      <c r="AG69">
        <f t="shared" si="2"/>
        <v>0.28439599370256008</v>
      </c>
    </row>
    <row r="70" spans="4:33" x14ac:dyDescent="0.25">
      <c r="D70" s="1">
        <v>41747</v>
      </c>
      <c r="E70">
        <v>5</v>
      </c>
      <c r="F70">
        <v>0.22220508866615266</v>
      </c>
      <c r="G70" t="e">
        <v>#N/A</v>
      </c>
      <c r="H70" t="e">
        <v>#N/A</v>
      </c>
      <c r="I70" t="e">
        <v>#N/A</v>
      </c>
      <c r="J70" t="e">
        <v>#N/A</v>
      </c>
      <c r="K70">
        <v>0.26737130553924437</v>
      </c>
      <c r="L70" t="e">
        <v>#N/A</v>
      </c>
      <c r="M70">
        <v>0.20459392945036903</v>
      </c>
      <c r="N70" t="e">
        <v>#N/A</v>
      </c>
      <c r="O70">
        <v>0.201834862385321</v>
      </c>
      <c r="P70">
        <v>0.36610302791977989</v>
      </c>
      <c r="Q70">
        <v>0.24860701409373981</v>
      </c>
      <c r="T70" s="1">
        <v>41747</v>
      </c>
      <c r="U70">
        <v>5</v>
      </c>
      <c r="V70">
        <f t="shared" si="3"/>
        <v>0.37061138528579679</v>
      </c>
      <c r="W70" t="e">
        <f t="shared" si="2"/>
        <v>#N/A</v>
      </c>
      <c r="X70" t="e">
        <f t="shared" si="2"/>
        <v>#N/A</v>
      </c>
      <c r="Y70" t="e">
        <f t="shared" si="2"/>
        <v>#N/A</v>
      </c>
      <c r="Z70" t="e">
        <f t="shared" si="2"/>
        <v>#N/A</v>
      </c>
      <c r="AA70">
        <f t="shared" si="2"/>
        <v>0.41470288352484264</v>
      </c>
      <c r="AB70" t="e">
        <f t="shared" si="2"/>
        <v>#N/A</v>
      </c>
      <c r="AC70">
        <f t="shared" si="2"/>
        <v>0.3418660508049392</v>
      </c>
      <c r="AD70" t="e">
        <f t="shared" si="2"/>
        <v>#N/A</v>
      </c>
      <c r="AE70">
        <f t="shared" si="2"/>
        <v>0.34355724017837441</v>
      </c>
      <c r="AF70">
        <f t="shared" si="2"/>
        <v>0.49243036635629672</v>
      </c>
      <c r="AG70">
        <f t="shared" si="2"/>
        <v>0.39715769038880461</v>
      </c>
    </row>
    <row r="71" spans="4:33" x14ac:dyDescent="0.25">
      <c r="D71" s="1">
        <v>41823</v>
      </c>
      <c r="E71">
        <v>5</v>
      </c>
      <c r="F71">
        <v>0.21750471809882105</v>
      </c>
      <c r="G71">
        <v>0.20450341873275443</v>
      </c>
      <c r="H71">
        <v>0.2132287762215731</v>
      </c>
      <c r="I71">
        <v>0.19708267002013724</v>
      </c>
      <c r="J71">
        <v>0.19467063257285755</v>
      </c>
      <c r="K71">
        <v>0.2194676469667074</v>
      </c>
      <c r="L71">
        <v>0.20524411563382225</v>
      </c>
      <c r="M71">
        <v>0.19325539842629794</v>
      </c>
      <c r="N71">
        <v>0.20508505464043769</v>
      </c>
      <c r="O71">
        <v>0.19785891836919375</v>
      </c>
      <c r="P71">
        <v>0.20210995529536441</v>
      </c>
      <c r="Q71">
        <v>0.18437789938958185</v>
      </c>
      <c r="T71" s="1">
        <v>41823</v>
      </c>
      <c r="U71">
        <v>5</v>
      </c>
      <c r="V71">
        <f t="shared" si="3"/>
        <v>0.3627717320277537</v>
      </c>
      <c r="W71">
        <f t="shared" si="2"/>
        <v>0.34907462855582988</v>
      </c>
      <c r="X71">
        <f t="shared" si="2"/>
        <v>0.35219021994987515</v>
      </c>
      <c r="Y71">
        <f t="shared" si="2"/>
        <v>0.33191939234718149</v>
      </c>
      <c r="Z71">
        <f t="shared" si="2"/>
        <v>0.30578335398451073</v>
      </c>
      <c r="AA71">
        <f t="shared" si="2"/>
        <v>0.34040251946238437</v>
      </c>
      <c r="AB71">
        <f t="shared" si="2"/>
        <v>0.34943317275177244</v>
      </c>
      <c r="AC71">
        <f t="shared" si="2"/>
        <v>0.322919942122527</v>
      </c>
      <c r="AD71">
        <f t="shared" si="2"/>
        <v>0.33961899121485423</v>
      </c>
      <c r="AE71">
        <f t="shared" si="2"/>
        <v>0.33678950770073807</v>
      </c>
      <c r="AF71">
        <f t="shared" si="2"/>
        <v>0.27184992130728536</v>
      </c>
      <c r="AG71">
        <f t="shared" si="2"/>
        <v>0.29454961657958167</v>
      </c>
    </row>
  </sheetData>
  <mergeCells count="2">
    <mergeCell ref="F19:Q19"/>
    <mergeCell ref="V19:AG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2"/>
  <sheetViews>
    <sheetView topLeftCell="A2" workbookViewId="0">
      <selection activeCell="K30" sqref="K30"/>
    </sheetView>
  </sheetViews>
  <sheetFormatPr defaultRowHeight="15" x14ac:dyDescent="0.25"/>
  <cols>
    <col min="2" max="2" width="9.42578125" bestFit="1" customWidth="1"/>
    <col min="7" max="7" width="33.42578125" customWidth="1"/>
    <col min="10" max="10" width="13.140625" customWidth="1"/>
    <col min="11" max="11" width="16.28515625" customWidth="1"/>
    <col min="12" max="12" width="9.7109375" customWidth="1"/>
    <col min="13" max="13" width="8.7109375" customWidth="1"/>
    <col min="14" max="17" width="9.7109375" customWidth="1"/>
    <col min="18" max="18" width="8.7109375" customWidth="1"/>
    <col min="19" max="21" width="9.7109375" customWidth="1"/>
    <col min="22" max="23" width="8.7109375" customWidth="1"/>
    <col min="24" max="24" width="9.7109375" customWidth="1"/>
    <col min="25" max="26" width="11.28515625" customWidth="1"/>
    <col min="27" max="27" width="13.28515625" customWidth="1"/>
    <col min="28" max="28" width="15" bestFit="1" customWidth="1"/>
    <col min="29" max="29" width="13.28515625" bestFit="1" customWidth="1"/>
    <col min="30" max="30" width="15" bestFit="1" customWidth="1"/>
    <col min="31" max="31" width="13.28515625" customWidth="1"/>
    <col min="32" max="32" width="15" bestFit="1" customWidth="1"/>
    <col min="33" max="33" width="13.28515625" customWidth="1"/>
    <col min="34" max="34" width="15" bestFit="1" customWidth="1"/>
    <col min="35" max="35" width="13.28515625" bestFit="1" customWidth="1"/>
    <col min="36" max="36" width="15" bestFit="1" customWidth="1"/>
    <col min="37" max="37" width="13.28515625" customWidth="1"/>
    <col min="38" max="38" width="15" bestFit="1" customWidth="1"/>
    <col min="39" max="39" width="13.28515625" customWidth="1"/>
    <col min="40" max="40" width="15" bestFit="1" customWidth="1"/>
    <col min="41" max="41" width="18.28515625" customWidth="1"/>
    <col min="42" max="42" width="20" customWidth="1"/>
    <col min="43" max="43" width="15" bestFit="1" customWidth="1"/>
    <col min="44" max="44" width="13.28515625" bestFit="1" customWidth="1"/>
    <col min="45" max="45" width="10.28515625" bestFit="1" customWidth="1"/>
    <col min="46" max="46" width="15" bestFit="1" customWidth="1"/>
    <col min="47" max="47" width="13.28515625" bestFit="1" customWidth="1"/>
    <col min="48" max="48" width="10.28515625" bestFit="1" customWidth="1"/>
    <col min="49" max="49" width="15" bestFit="1" customWidth="1"/>
    <col min="50" max="50" width="13.28515625" bestFit="1" customWidth="1"/>
    <col min="51" max="51" width="10.28515625" bestFit="1" customWidth="1"/>
    <col min="52" max="52" width="15" bestFit="1" customWidth="1"/>
    <col min="53" max="53" width="13.28515625" bestFit="1" customWidth="1"/>
    <col min="54" max="54" width="10.28515625" bestFit="1" customWidth="1"/>
    <col min="55" max="55" width="15" bestFit="1" customWidth="1"/>
    <col min="56" max="56" width="18.28515625" bestFit="1" customWidth="1"/>
    <col min="57" max="57" width="15.28515625" bestFit="1" customWidth="1"/>
    <col min="58" max="58" width="20" bestFit="1" customWidth="1"/>
  </cols>
  <sheetData>
    <row r="1" spans="1:25" x14ac:dyDescent="0.25">
      <c r="A1" t="s">
        <v>95</v>
      </c>
      <c r="B1" t="s">
        <v>96</v>
      </c>
    </row>
    <row r="2" spans="1:25" x14ac:dyDescent="0.25">
      <c r="A2" s="21" t="s">
        <v>97</v>
      </c>
      <c r="B2" s="21" t="s">
        <v>37</v>
      </c>
      <c r="C2" s="21" t="s">
        <v>21</v>
      </c>
      <c r="D2" s="21" t="s">
        <v>98</v>
      </c>
      <c r="E2" s="21" t="s">
        <v>99</v>
      </c>
      <c r="F2" s="21" t="s">
        <v>100</v>
      </c>
      <c r="G2" s="22" t="s">
        <v>101</v>
      </c>
      <c r="J2" s="2" t="s">
        <v>108</v>
      </c>
      <c r="K2" s="2" t="s">
        <v>0</v>
      </c>
    </row>
    <row r="3" spans="1:25" x14ac:dyDescent="0.25">
      <c r="A3" s="21" t="s">
        <v>102</v>
      </c>
      <c r="B3" s="23">
        <v>41381</v>
      </c>
      <c r="C3" s="21">
        <v>1</v>
      </c>
      <c r="D3" s="21">
        <v>48.5</v>
      </c>
      <c r="E3" s="21">
        <v>0.36</v>
      </c>
      <c r="F3" s="21">
        <v>12</v>
      </c>
      <c r="G3" s="21"/>
      <c r="J3" s="2" t="s">
        <v>1</v>
      </c>
      <c r="K3" s="1">
        <v>41381</v>
      </c>
      <c r="L3" s="1">
        <v>41388</v>
      </c>
      <c r="M3" s="1">
        <v>41395</v>
      </c>
      <c r="N3" s="1">
        <v>41404</v>
      </c>
      <c r="O3" s="1">
        <v>41410</v>
      </c>
      <c r="P3" s="1">
        <v>41417</v>
      </c>
      <c r="Q3" s="1">
        <v>41423</v>
      </c>
      <c r="R3" s="1">
        <v>41430</v>
      </c>
      <c r="S3" s="1">
        <v>41438</v>
      </c>
      <c r="T3" s="1">
        <v>41447</v>
      </c>
      <c r="U3" s="1">
        <v>41451</v>
      </c>
      <c r="V3" s="1">
        <v>41456</v>
      </c>
      <c r="W3" s="1">
        <v>41463</v>
      </c>
      <c r="X3" s="1">
        <v>41470</v>
      </c>
      <c r="Y3" s="1" t="s">
        <v>59</v>
      </c>
    </row>
    <row r="4" spans="1:25" x14ac:dyDescent="0.25">
      <c r="A4" s="21" t="s">
        <v>102</v>
      </c>
      <c r="B4" s="23">
        <v>41381</v>
      </c>
      <c r="C4" s="21">
        <v>2</v>
      </c>
      <c r="D4" s="21">
        <v>45.8</v>
      </c>
      <c r="E4" s="21">
        <v>0.43</v>
      </c>
      <c r="F4" s="21">
        <v>14</v>
      </c>
      <c r="G4" s="21"/>
      <c r="J4" s="4">
        <v>1</v>
      </c>
      <c r="K4" s="5">
        <v>0.36</v>
      </c>
      <c r="L4" s="5">
        <v>0.38</v>
      </c>
      <c r="M4" s="5">
        <v>0.8</v>
      </c>
      <c r="N4" s="5">
        <v>1.49</v>
      </c>
      <c r="O4" s="5">
        <v>2.2000000000000002</v>
      </c>
      <c r="P4" s="5">
        <v>3.33</v>
      </c>
      <c r="Q4" s="5">
        <v>2.64</v>
      </c>
      <c r="R4" s="5">
        <v>2.9</v>
      </c>
      <c r="S4" s="5">
        <v>3.39</v>
      </c>
      <c r="T4" s="5">
        <v>4.66</v>
      </c>
      <c r="U4" s="5">
        <v>4.01</v>
      </c>
      <c r="V4" s="5">
        <v>3.36</v>
      </c>
      <c r="W4" s="5">
        <v>3.68</v>
      </c>
      <c r="X4" s="5">
        <v>3.58</v>
      </c>
      <c r="Y4" s="5">
        <v>36.78</v>
      </c>
    </row>
    <row r="5" spans="1:25" x14ac:dyDescent="0.25">
      <c r="A5" s="21" t="s">
        <v>102</v>
      </c>
      <c r="B5" s="23">
        <v>41381</v>
      </c>
      <c r="C5" s="21">
        <v>3</v>
      </c>
      <c r="D5" s="21">
        <v>48.4</v>
      </c>
      <c r="E5" s="21">
        <v>0.19</v>
      </c>
      <c r="F5" s="21">
        <v>10</v>
      </c>
      <c r="G5" s="21"/>
      <c r="J5" s="4">
        <v>2</v>
      </c>
      <c r="K5" s="5">
        <v>0.43</v>
      </c>
      <c r="L5" s="5">
        <v>0.61</v>
      </c>
      <c r="M5" s="5">
        <v>1.06</v>
      </c>
      <c r="N5" s="5">
        <v>1.66</v>
      </c>
      <c r="O5" s="5">
        <v>2.4</v>
      </c>
      <c r="P5" s="5">
        <v>3.53</v>
      </c>
      <c r="Q5" s="5">
        <v>1.77</v>
      </c>
      <c r="R5" s="5">
        <v>2.27</v>
      </c>
      <c r="S5" s="5">
        <v>2.96</v>
      </c>
      <c r="T5" s="5">
        <v>3.93</v>
      </c>
      <c r="U5" s="5">
        <v>3.79</v>
      </c>
      <c r="V5" s="5">
        <v>2.94</v>
      </c>
      <c r="W5" s="5">
        <v>2.95</v>
      </c>
      <c r="X5" s="5">
        <v>1.67</v>
      </c>
      <c r="Y5" s="5">
        <v>31.97</v>
      </c>
    </row>
    <row r="6" spans="1:25" x14ac:dyDescent="0.25">
      <c r="A6" s="21" t="s">
        <v>102</v>
      </c>
      <c r="B6" s="23">
        <v>41381</v>
      </c>
      <c r="C6" s="21">
        <v>4</v>
      </c>
      <c r="D6" s="21">
        <v>47.1</v>
      </c>
      <c r="E6" s="21">
        <v>0.19</v>
      </c>
      <c r="F6" s="21">
        <v>10</v>
      </c>
      <c r="G6" s="21"/>
      <c r="J6" s="4">
        <v>3</v>
      </c>
      <c r="K6" s="5">
        <v>0.19</v>
      </c>
      <c r="L6" s="5">
        <v>0.34</v>
      </c>
      <c r="M6" s="5">
        <v>0.8</v>
      </c>
      <c r="N6" s="5">
        <v>1.63</v>
      </c>
      <c r="O6" s="5">
        <v>1.83</v>
      </c>
      <c r="P6" s="5">
        <v>3.5</v>
      </c>
      <c r="Q6" s="5">
        <v>2.71</v>
      </c>
      <c r="R6" s="5">
        <v>2.41</v>
      </c>
      <c r="S6" s="5">
        <v>2.56</v>
      </c>
      <c r="T6" s="5">
        <v>3.39</v>
      </c>
      <c r="U6" s="5">
        <v>3.39</v>
      </c>
      <c r="V6" s="5">
        <v>3.39</v>
      </c>
      <c r="W6" s="5">
        <v>2.96</v>
      </c>
      <c r="X6" s="5">
        <v>2.61</v>
      </c>
      <c r="Y6" s="5">
        <v>31.71</v>
      </c>
    </row>
    <row r="7" spans="1:25" x14ac:dyDescent="0.25">
      <c r="A7" s="21" t="s">
        <v>102</v>
      </c>
      <c r="B7" s="23">
        <v>41381</v>
      </c>
      <c r="C7" s="21">
        <v>5</v>
      </c>
      <c r="D7" s="21">
        <v>43.9</v>
      </c>
      <c r="E7" s="21">
        <v>0.05</v>
      </c>
      <c r="F7" s="21">
        <v>9</v>
      </c>
      <c r="G7" s="21"/>
      <c r="J7" s="4">
        <v>4</v>
      </c>
      <c r="K7" s="5">
        <v>0.19</v>
      </c>
      <c r="L7" s="5">
        <v>0.2</v>
      </c>
      <c r="M7" s="5">
        <v>0.88</v>
      </c>
      <c r="N7" s="5">
        <v>1.1000000000000001</v>
      </c>
      <c r="O7" s="5">
        <v>1.9</v>
      </c>
      <c r="P7" s="5">
        <v>1.55</v>
      </c>
      <c r="Q7" s="5">
        <v>1.7200000000000002</v>
      </c>
      <c r="R7" s="5">
        <v>2.15</v>
      </c>
      <c r="S7" s="5">
        <v>3.09</v>
      </c>
      <c r="T7" s="5">
        <v>2.84</v>
      </c>
      <c r="U7" s="5">
        <v>3.6</v>
      </c>
      <c r="V7" s="5">
        <v>3.31</v>
      </c>
      <c r="W7" s="5">
        <v>2.4500000000000002</v>
      </c>
      <c r="X7" s="5">
        <v>2.33</v>
      </c>
      <c r="Y7" s="5">
        <v>27.309999999999995</v>
      </c>
    </row>
    <row r="8" spans="1:25" x14ac:dyDescent="0.25">
      <c r="A8" s="21" t="s">
        <v>102</v>
      </c>
      <c r="B8" s="23">
        <v>41381</v>
      </c>
      <c r="C8" s="21">
        <v>6</v>
      </c>
      <c r="D8" s="21">
        <v>35.6</v>
      </c>
      <c r="E8" s="21">
        <v>0.12</v>
      </c>
      <c r="F8" s="21">
        <v>8</v>
      </c>
      <c r="G8" s="21"/>
      <c r="J8" s="4">
        <v>5</v>
      </c>
      <c r="K8" s="5">
        <v>0.05</v>
      </c>
      <c r="L8" s="5">
        <v>7.0000000000000007E-2</v>
      </c>
      <c r="M8" s="5">
        <v>0.24</v>
      </c>
      <c r="N8" s="5">
        <v>0.8</v>
      </c>
      <c r="O8" s="5">
        <v>1.21</v>
      </c>
      <c r="P8" s="5">
        <v>1.57</v>
      </c>
      <c r="Q8" s="5">
        <v>1.4500000000000002</v>
      </c>
      <c r="R8" s="5">
        <v>2</v>
      </c>
      <c r="S8" s="5">
        <v>2.09</v>
      </c>
      <c r="T8" s="5">
        <v>3</v>
      </c>
      <c r="U8" s="5">
        <v>3.04</v>
      </c>
      <c r="V8" s="5">
        <v>2.78</v>
      </c>
      <c r="W8" s="5">
        <v>2.16</v>
      </c>
      <c r="X8" s="5">
        <v>1.46</v>
      </c>
      <c r="Y8" s="5">
        <v>21.92</v>
      </c>
    </row>
    <row r="9" spans="1:25" x14ac:dyDescent="0.25">
      <c r="A9" s="21" t="s">
        <v>102</v>
      </c>
      <c r="B9" s="23">
        <v>41381</v>
      </c>
      <c r="C9" s="21">
        <v>7</v>
      </c>
      <c r="D9" s="21">
        <v>46.7</v>
      </c>
      <c r="E9" s="21">
        <v>0.32</v>
      </c>
      <c r="F9" s="21">
        <v>18</v>
      </c>
      <c r="G9" s="21"/>
      <c r="J9" s="4">
        <v>6</v>
      </c>
      <c r="K9" s="5">
        <v>0.12</v>
      </c>
      <c r="L9" s="5">
        <v>0.12</v>
      </c>
      <c r="M9" s="5">
        <v>0.38</v>
      </c>
      <c r="N9" s="5">
        <v>0.78</v>
      </c>
      <c r="O9" s="5">
        <v>0.77</v>
      </c>
      <c r="P9" s="5">
        <v>1.45</v>
      </c>
      <c r="Q9" s="5">
        <v>2.2200000000000002</v>
      </c>
      <c r="R9" s="5">
        <v>2.8</v>
      </c>
      <c r="S9" s="5">
        <v>2.08</v>
      </c>
      <c r="T9" s="5">
        <v>2.8</v>
      </c>
      <c r="U9" s="5">
        <v>2.4500000000000002</v>
      </c>
      <c r="V9" s="5">
        <v>2.06</v>
      </c>
      <c r="W9" s="5">
        <v>2.4700000000000002</v>
      </c>
      <c r="X9" s="5">
        <v>2.88</v>
      </c>
      <c r="Y9" s="5">
        <v>23.379999999999995</v>
      </c>
    </row>
    <row r="10" spans="1:25" x14ac:dyDescent="0.25">
      <c r="A10" s="21" t="s">
        <v>102</v>
      </c>
      <c r="B10" s="23">
        <v>41381</v>
      </c>
      <c r="C10" s="21">
        <v>8</v>
      </c>
      <c r="D10" s="21">
        <v>38.5</v>
      </c>
      <c r="E10" s="21">
        <v>0.49</v>
      </c>
      <c r="F10" s="21">
        <v>17</v>
      </c>
      <c r="G10" s="21"/>
      <c r="J10" s="4">
        <v>7</v>
      </c>
      <c r="K10" s="5">
        <v>0.32</v>
      </c>
      <c r="L10" s="5">
        <v>0.63</v>
      </c>
      <c r="M10" s="5">
        <v>1.17</v>
      </c>
      <c r="N10" s="5">
        <v>1.88</v>
      </c>
      <c r="O10" s="5">
        <v>2.13</v>
      </c>
      <c r="P10" s="5">
        <v>3.4</v>
      </c>
      <c r="Q10" s="5">
        <v>2.4700000000000002</v>
      </c>
      <c r="R10" s="5">
        <v>2.67</v>
      </c>
      <c r="S10" s="5">
        <v>2.72</v>
      </c>
      <c r="T10" s="5">
        <v>2.96</v>
      </c>
      <c r="U10" s="5">
        <v>4.21</v>
      </c>
      <c r="V10" s="5">
        <v>3.02</v>
      </c>
      <c r="W10" s="5">
        <v>3.14</v>
      </c>
      <c r="X10" s="5">
        <v>2.72</v>
      </c>
      <c r="Y10" s="5">
        <v>33.440000000000005</v>
      </c>
    </row>
    <row r="11" spans="1:25" x14ac:dyDescent="0.25">
      <c r="A11" s="21" t="s">
        <v>102</v>
      </c>
      <c r="B11" s="23">
        <v>41381</v>
      </c>
      <c r="C11" s="21">
        <v>9</v>
      </c>
      <c r="D11" s="21">
        <v>44.8</v>
      </c>
      <c r="E11" s="21">
        <v>0.61</v>
      </c>
      <c r="F11" s="21">
        <v>19</v>
      </c>
      <c r="G11" s="21" t="s">
        <v>103</v>
      </c>
      <c r="J11" s="4">
        <v>8</v>
      </c>
      <c r="K11" s="5">
        <v>0.49</v>
      </c>
      <c r="L11" s="5">
        <v>0.85</v>
      </c>
      <c r="M11" s="5">
        <v>1.17</v>
      </c>
      <c r="N11" s="5">
        <v>2.44</v>
      </c>
      <c r="O11" s="5">
        <v>2.57</v>
      </c>
      <c r="P11" s="5">
        <v>4.1399999999999997</v>
      </c>
      <c r="Q11" s="5">
        <v>3.41</v>
      </c>
      <c r="R11" s="5">
        <v>3.38</v>
      </c>
      <c r="S11" s="5">
        <v>3.26</v>
      </c>
      <c r="T11" s="5">
        <v>2.99</v>
      </c>
      <c r="U11" s="5">
        <v>4.38</v>
      </c>
      <c r="V11" s="5">
        <v>3.24</v>
      </c>
      <c r="W11" s="5">
        <v>3.93</v>
      </c>
      <c r="X11" s="5">
        <v>2.4700000000000002</v>
      </c>
      <c r="Y11" s="5">
        <v>38.72</v>
      </c>
    </row>
    <row r="12" spans="1:25" x14ac:dyDescent="0.25">
      <c r="A12" s="21" t="s">
        <v>102</v>
      </c>
      <c r="B12" s="23">
        <v>41381</v>
      </c>
      <c r="C12" s="21">
        <v>10</v>
      </c>
      <c r="D12" s="21">
        <v>46.1</v>
      </c>
      <c r="E12" s="21">
        <v>0.27</v>
      </c>
      <c r="F12" s="21">
        <v>16</v>
      </c>
      <c r="G12" s="21"/>
      <c r="J12" s="4">
        <v>9</v>
      </c>
      <c r="K12" s="5">
        <v>0.61</v>
      </c>
      <c r="L12" s="5">
        <v>0.91</v>
      </c>
      <c r="M12" s="5">
        <v>1.65</v>
      </c>
      <c r="N12" s="5">
        <v>1.89</v>
      </c>
      <c r="O12" s="5">
        <v>2.4700000000000002</v>
      </c>
      <c r="P12" s="5">
        <v>3.29</v>
      </c>
      <c r="Q12" s="5">
        <v>1.83</v>
      </c>
      <c r="R12" s="5">
        <v>2.5299999999999998</v>
      </c>
      <c r="S12" s="5">
        <v>3.04</v>
      </c>
      <c r="T12" s="5">
        <v>3.92</v>
      </c>
      <c r="U12" s="5">
        <v>3.88</v>
      </c>
      <c r="V12" s="5">
        <v>3.63</v>
      </c>
      <c r="W12" s="5">
        <v>3.27</v>
      </c>
      <c r="X12" s="5">
        <v>2.63</v>
      </c>
      <c r="Y12" s="5">
        <v>35.550000000000004</v>
      </c>
    </row>
    <row r="13" spans="1:25" x14ac:dyDescent="0.25">
      <c r="A13" s="21" t="s">
        <v>102</v>
      </c>
      <c r="B13" s="23">
        <v>41381</v>
      </c>
      <c r="C13" s="21">
        <v>11</v>
      </c>
      <c r="D13" s="21">
        <v>33.799999999999997</v>
      </c>
      <c r="E13" s="21">
        <v>0.09</v>
      </c>
      <c r="F13" s="21">
        <v>7</v>
      </c>
      <c r="G13" s="21" t="s">
        <v>104</v>
      </c>
      <c r="J13" s="4">
        <v>10</v>
      </c>
      <c r="K13" s="5">
        <v>0.27</v>
      </c>
      <c r="L13" s="5">
        <v>0.71</v>
      </c>
      <c r="M13" s="5">
        <v>1.55</v>
      </c>
      <c r="N13" s="5">
        <v>2.36</v>
      </c>
      <c r="O13" s="5">
        <v>2.75</v>
      </c>
      <c r="P13" s="5">
        <v>4.5599999999999996</v>
      </c>
      <c r="Q13" s="5">
        <v>2.57</v>
      </c>
      <c r="R13" s="5">
        <v>3.08</v>
      </c>
      <c r="S13" s="5">
        <v>3.56</v>
      </c>
      <c r="T13" s="5">
        <v>4.29</v>
      </c>
      <c r="U13" s="5">
        <v>4.5</v>
      </c>
      <c r="V13" s="5">
        <v>3.77</v>
      </c>
      <c r="W13" s="5">
        <v>3.73</v>
      </c>
      <c r="X13" s="5">
        <v>3</v>
      </c>
      <c r="Y13" s="5">
        <v>40.699999999999996</v>
      </c>
    </row>
    <row r="14" spans="1:25" x14ac:dyDescent="0.25">
      <c r="A14" s="21" t="s">
        <v>102</v>
      </c>
      <c r="B14" s="23">
        <v>41381</v>
      </c>
      <c r="C14" s="21">
        <v>12</v>
      </c>
      <c r="D14" s="21">
        <v>44.8</v>
      </c>
      <c r="E14" s="21">
        <v>0.17</v>
      </c>
      <c r="F14" s="21">
        <v>9</v>
      </c>
      <c r="G14" s="21"/>
      <c r="J14" s="4">
        <v>11</v>
      </c>
      <c r="K14" s="5">
        <v>0.09</v>
      </c>
      <c r="L14" s="5">
        <v>0.19</v>
      </c>
      <c r="M14" s="5">
        <v>0.31</v>
      </c>
      <c r="N14" s="5">
        <v>0.89</v>
      </c>
      <c r="O14" s="5">
        <v>1.42</v>
      </c>
      <c r="P14" s="5">
        <v>1.78</v>
      </c>
      <c r="Q14" s="5">
        <v>2.13</v>
      </c>
      <c r="R14" s="5">
        <v>2.17</v>
      </c>
      <c r="S14" s="5">
        <v>1.77</v>
      </c>
      <c r="T14" s="5">
        <v>3.51</v>
      </c>
      <c r="U14" s="5">
        <v>3.14</v>
      </c>
      <c r="V14" s="5">
        <v>2.86</v>
      </c>
      <c r="W14" s="5">
        <v>3.04</v>
      </c>
      <c r="X14" s="5">
        <v>2.36</v>
      </c>
      <c r="Y14" s="5">
        <v>25.659999999999997</v>
      </c>
    </row>
    <row r="15" spans="1:25" x14ac:dyDescent="0.25">
      <c r="A15" s="21" t="s">
        <v>102</v>
      </c>
      <c r="B15" s="23">
        <v>41388</v>
      </c>
      <c r="C15" s="21">
        <v>1</v>
      </c>
      <c r="D15" s="21">
        <v>45.3</v>
      </c>
      <c r="E15" s="21">
        <v>0.38</v>
      </c>
      <c r="F15" s="21">
        <v>13</v>
      </c>
      <c r="G15" s="21"/>
      <c r="J15" s="4">
        <v>12</v>
      </c>
      <c r="K15" s="5">
        <v>0.17</v>
      </c>
      <c r="L15" s="5">
        <v>0.25</v>
      </c>
      <c r="M15" s="5">
        <v>0.4</v>
      </c>
      <c r="N15" s="5">
        <v>0.95</v>
      </c>
      <c r="O15" s="5">
        <v>2.04</v>
      </c>
      <c r="P15" s="5">
        <v>2.0699999999999998</v>
      </c>
      <c r="Q15" s="5">
        <v>2.0099999999999998</v>
      </c>
      <c r="R15" s="5">
        <v>2.64</v>
      </c>
      <c r="S15" s="5">
        <v>2.54</v>
      </c>
      <c r="T15" s="5">
        <v>3.42</v>
      </c>
      <c r="U15" s="5">
        <v>3.06</v>
      </c>
      <c r="V15" s="5">
        <v>3.29</v>
      </c>
      <c r="W15" s="5">
        <v>2.91</v>
      </c>
      <c r="X15" s="5">
        <v>2.85</v>
      </c>
      <c r="Y15" s="5">
        <v>28.6</v>
      </c>
    </row>
    <row r="16" spans="1:25" x14ac:dyDescent="0.25">
      <c r="A16" s="21" t="s">
        <v>102</v>
      </c>
      <c r="B16" s="23">
        <v>41388</v>
      </c>
      <c r="C16" s="21">
        <v>2</v>
      </c>
      <c r="D16" s="21">
        <v>46.3</v>
      </c>
      <c r="E16" s="21">
        <v>0.61</v>
      </c>
      <c r="F16" s="21">
        <v>15</v>
      </c>
      <c r="G16" s="21"/>
      <c r="J16" s="4" t="s">
        <v>59</v>
      </c>
      <c r="K16" s="5">
        <v>3.2899999999999996</v>
      </c>
      <c r="L16" s="5">
        <v>5.2600000000000007</v>
      </c>
      <c r="M16" s="5">
        <v>10.410000000000002</v>
      </c>
      <c r="N16" s="5">
        <v>17.87</v>
      </c>
      <c r="O16" s="5">
        <v>23.689999999999998</v>
      </c>
      <c r="P16" s="5">
        <v>34.169999999999995</v>
      </c>
      <c r="Q16" s="5">
        <v>26.93</v>
      </c>
      <c r="R16" s="5">
        <v>31.000000000000007</v>
      </c>
      <c r="S16" s="5">
        <v>33.059999999999995</v>
      </c>
      <c r="T16" s="5">
        <v>41.71</v>
      </c>
      <c r="U16" s="5">
        <v>43.45</v>
      </c>
      <c r="V16" s="5">
        <v>37.65</v>
      </c>
      <c r="W16" s="5">
        <v>36.69</v>
      </c>
      <c r="X16" s="5">
        <v>30.559999999999995</v>
      </c>
      <c r="Y16" s="5">
        <v>375.74</v>
      </c>
    </row>
    <row r="17" spans="1:15" x14ac:dyDescent="0.25">
      <c r="A17" s="21" t="s">
        <v>102</v>
      </c>
      <c r="B17" s="23">
        <v>41388</v>
      </c>
      <c r="C17" s="21">
        <v>3</v>
      </c>
      <c r="D17" s="21">
        <v>45.3</v>
      </c>
      <c r="E17" s="21">
        <v>0.34</v>
      </c>
      <c r="F17" s="21">
        <v>12</v>
      </c>
      <c r="G17" s="21"/>
    </row>
    <row r="18" spans="1:15" x14ac:dyDescent="0.25">
      <c r="A18" s="21" t="s">
        <v>102</v>
      </c>
      <c r="B18" s="23">
        <v>41388</v>
      </c>
      <c r="C18" s="21">
        <v>4</v>
      </c>
      <c r="D18" s="21">
        <v>48.5</v>
      </c>
      <c r="E18" s="21">
        <v>0.2</v>
      </c>
      <c r="F18" s="21">
        <v>11</v>
      </c>
      <c r="G18" s="21"/>
    </row>
    <row r="19" spans="1:15" x14ac:dyDescent="0.25">
      <c r="A19" s="21" t="s">
        <v>102</v>
      </c>
      <c r="B19" s="23">
        <v>41388</v>
      </c>
      <c r="C19" s="21">
        <v>5</v>
      </c>
      <c r="D19" s="21">
        <v>45.2</v>
      </c>
      <c r="E19" s="21">
        <v>7.0000000000000007E-2</v>
      </c>
      <c r="F19" s="21">
        <v>9</v>
      </c>
      <c r="G19" s="21"/>
    </row>
    <row r="20" spans="1:15" x14ac:dyDescent="0.25">
      <c r="A20" s="21" t="s">
        <v>102</v>
      </c>
      <c r="B20" s="23">
        <v>41388</v>
      </c>
      <c r="C20" s="21">
        <v>6</v>
      </c>
      <c r="D20" s="21">
        <v>32.200000000000003</v>
      </c>
      <c r="E20" s="21">
        <v>0.12</v>
      </c>
      <c r="F20" s="21">
        <v>8</v>
      </c>
      <c r="G20" s="21"/>
    </row>
    <row r="21" spans="1:15" x14ac:dyDescent="0.25">
      <c r="A21" s="21" t="s">
        <v>102</v>
      </c>
      <c r="B21" s="23">
        <v>41388</v>
      </c>
      <c r="C21" s="21">
        <v>7</v>
      </c>
      <c r="D21" s="21">
        <v>42.8</v>
      </c>
      <c r="E21" s="21">
        <v>0.63</v>
      </c>
      <c r="F21" s="21">
        <v>19</v>
      </c>
      <c r="G21" s="21"/>
    </row>
    <row r="22" spans="1:15" x14ac:dyDescent="0.25">
      <c r="A22" s="21" t="s">
        <v>102</v>
      </c>
      <c r="B22" s="23">
        <v>41388</v>
      </c>
      <c r="C22" s="21">
        <v>8</v>
      </c>
      <c r="D22" s="21">
        <v>51.5</v>
      </c>
      <c r="E22" s="21">
        <v>0.85</v>
      </c>
      <c r="F22" s="21">
        <v>18</v>
      </c>
      <c r="G22" s="21"/>
      <c r="L22" s="1"/>
      <c r="M22" s="1"/>
      <c r="N22" s="1"/>
      <c r="O22" s="1"/>
    </row>
    <row r="23" spans="1:15" x14ac:dyDescent="0.25">
      <c r="A23" s="21" t="s">
        <v>102</v>
      </c>
      <c r="B23" s="23">
        <v>41388</v>
      </c>
      <c r="C23" s="21">
        <v>9</v>
      </c>
      <c r="D23" s="21">
        <v>47.5</v>
      </c>
      <c r="E23" s="21">
        <v>0.91</v>
      </c>
      <c r="F23" s="21">
        <v>22</v>
      </c>
      <c r="G23" s="21"/>
      <c r="K23" s="4"/>
      <c r="L23" s="5"/>
      <c r="M23" s="5"/>
      <c r="N23" s="5"/>
      <c r="O23" s="5"/>
    </row>
    <row r="24" spans="1:15" x14ac:dyDescent="0.25">
      <c r="A24" s="21" t="s">
        <v>102</v>
      </c>
      <c r="B24" s="23">
        <v>41388</v>
      </c>
      <c r="C24" s="21">
        <v>10</v>
      </c>
      <c r="D24" s="21">
        <v>47.7</v>
      </c>
      <c r="E24" s="21">
        <v>0.71</v>
      </c>
      <c r="F24" s="21">
        <v>17</v>
      </c>
      <c r="G24" s="21"/>
      <c r="K24" s="4"/>
      <c r="L24" s="5"/>
      <c r="M24" s="5"/>
      <c r="N24" s="5"/>
      <c r="O24" s="5"/>
    </row>
    <row r="25" spans="1:15" x14ac:dyDescent="0.25">
      <c r="A25" s="21" t="s">
        <v>102</v>
      </c>
      <c r="B25" s="23">
        <v>41388</v>
      </c>
      <c r="C25" s="21">
        <v>11</v>
      </c>
      <c r="D25" s="21">
        <v>32.5</v>
      </c>
      <c r="E25" s="21">
        <v>0.19</v>
      </c>
      <c r="F25" s="21">
        <v>8</v>
      </c>
      <c r="G25" s="21"/>
      <c r="K25" s="4"/>
      <c r="L25" s="5"/>
      <c r="M25" s="5"/>
      <c r="N25" s="5"/>
      <c r="O25" s="5"/>
    </row>
    <row r="26" spans="1:15" x14ac:dyDescent="0.25">
      <c r="A26" s="21" t="s">
        <v>102</v>
      </c>
      <c r="B26" s="23">
        <v>41388</v>
      </c>
      <c r="C26" s="21">
        <v>12</v>
      </c>
      <c r="D26" s="21">
        <v>47.2</v>
      </c>
      <c r="E26" s="21">
        <v>0.25</v>
      </c>
      <c r="F26" s="21">
        <v>10</v>
      </c>
      <c r="G26" s="21"/>
      <c r="K26" s="4"/>
      <c r="L26" s="5"/>
      <c r="M26" s="5"/>
      <c r="N26" s="5"/>
      <c r="O26" s="5"/>
    </row>
    <row r="27" spans="1:15" x14ac:dyDescent="0.25">
      <c r="A27" s="21" t="s">
        <v>102</v>
      </c>
      <c r="B27" s="23">
        <v>41395</v>
      </c>
      <c r="C27" s="21">
        <v>1</v>
      </c>
      <c r="D27" s="21">
        <v>47.5</v>
      </c>
      <c r="E27" s="21">
        <v>0.8</v>
      </c>
      <c r="F27" s="21">
        <v>21</v>
      </c>
      <c r="G27" s="21"/>
      <c r="K27" s="4"/>
      <c r="L27" s="5"/>
      <c r="M27" s="5"/>
      <c r="N27" s="5"/>
      <c r="O27" s="5"/>
    </row>
    <row r="28" spans="1:15" x14ac:dyDescent="0.25">
      <c r="A28" s="21" t="s">
        <v>102</v>
      </c>
      <c r="B28" s="23">
        <v>41395</v>
      </c>
      <c r="C28" s="21">
        <v>2</v>
      </c>
      <c r="D28" s="21">
        <v>45.7</v>
      </c>
      <c r="E28" s="21">
        <v>1.06</v>
      </c>
      <c r="F28" s="21">
        <v>23</v>
      </c>
      <c r="G28" s="21"/>
      <c r="K28" s="4"/>
      <c r="L28" s="5"/>
      <c r="M28" s="5"/>
      <c r="N28" s="5"/>
      <c r="O28" s="5"/>
    </row>
    <row r="29" spans="1:15" x14ac:dyDescent="0.25">
      <c r="A29" s="21" t="s">
        <v>102</v>
      </c>
      <c r="B29" s="23">
        <v>41395</v>
      </c>
      <c r="C29" s="21">
        <v>3</v>
      </c>
      <c r="D29" s="21">
        <v>49</v>
      </c>
      <c r="E29" s="21">
        <v>0.8</v>
      </c>
      <c r="F29" s="21">
        <v>18</v>
      </c>
      <c r="G29" s="21"/>
      <c r="K29" s="4"/>
      <c r="L29" s="5"/>
      <c r="M29" s="5"/>
      <c r="N29" s="5"/>
      <c r="O29" s="5"/>
    </row>
    <row r="30" spans="1:15" x14ac:dyDescent="0.25">
      <c r="A30" s="21" t="s">
        <v>102</v>
      </c>
      <c r="B30" s="23">
        <v>41395</v>
      </c>
      <c r="C30" s="21">
        <v>4</v>
      </c>
      <c r="D30" s="21">
        <v>50.3</v>
      </c>
      <c r="E30" s="21">
        <v>0.88</v>
      </c>
      <c r="F30" s="21">
        <v>15</v>
      </c>
      <c r="G30" s="21"/>
      <c r="K30" s="4"/>
      <c r="L30" s="5"/>
      <c r="M30" s="5"/>
      <c r="N30" s="5"/>
      <c r="O30" s="5"/>
    </row>
    <row r="31" spans="1:15" x14ac:dyDescent="0.25">
      <c r="A31" s="21" t="s">
        <v>102</v>
      </c>
      <c r="B31" s="23">
        <v>41395</v>
      </c>
      <c r="C31" s="21">
        <v>5</v>
      </c>
      <c r="D31" s="21">
        <v>47.8</v>
      </c>
      <c r="E31" s="21">
        <v>0.24</v>
      </c>
      <c r="F31" s="21">
        <v>13</v>
      </c>
      <c r="G31" s="21"/>
      <c r="K31" s="4"/>
      <c r="L31" s="5"/>
      <c r="M31" s="5"/>
      <c r="N31" s="5"/>
      <c r="O31" s="5"/>
    </row>
    <row r="32" spans="1:15" x14ac:dyDescent="0.25">
      <c r="A32" s="21" t="s">
        <v>102</v>
      </c>
      <c r="B32" s="23">
        <v>41395</v>
      </c>
      <c r="C32" s="21">
        <v>6</v>
      </c>
      <c r="D32" s="21">
        <v>39.6</v>
      </c>
      <c r="E32" s="21">
        <v>0.38</v>
      </c>
      <c r="F32" s="21">
        <v>13</v>
      </c>
      <c r="G32" s="21"/>
      <c r="K32" s="4"/>
      <c r="L32" s="5"/>
      <c r="M32" s="5"/>
      <c r="N32" s="5"/>
      <c r="O32" s="5"/>
    </row>
    <row r="33" spans="1:15" x14ac:dyDescent="0.25">
      <c r="A33" s="21" t="s">
        <v>102</v>
      </c>
      <c r="B33" s="23">
        <v>41395</v>
      </c>
      <c r="C33" s="21">
        <v>7</v>
      </c>
      <c r="D33" s="21">
        <v>52.1</v>
      </c>
      <c r="E33" s="21">
        <v>1.17</v>
      </c>
      <c r="F33" s="21">
        <v>27</v>
      </c>
      <c r="G33" s="21"/>
      <c r="K33" s="4"/>
      <c r="L33" s="5"/>
      <c r="M33" s="5"/>
      <c r="N33" s="5"/>
      <c r="O33" s="5"/>
    </row>
    <row r="34" spans="1:15" x14ac:dyDescent="0.25">
      <c r="A34" s="21" t="s">
        <v>102</v>
      </c>
      <c r="B34" s="23">
        <v>41395</v>
      </c>
      <c r="C34" s="21">
        <v>8</v>
      </c>
      <c r="D34" s="21">
        <v>51.9</v>
      </c>
      <c r="E34" s="21">
        <v>1.17</v>
      </c>
      <c r="F34" s="21">
        <v>27</v>
      </c>
      <c r="G34" s="21"/>
      <c r="K34" s="4"/>
      <c r="L34" s="5"/>
      <c r="M34" s="5"/>
      <c r="N34" s="5"/>
      <c r="O34" s="5"/>
    </row>
    <row r="35" spans="1:15" x14ac:dyDescent="0.25">
      <c r="A35" s="21" t="s">
        <v>102</v>
      </c>
      <c r="B35" s="23">
        <v>41395</v>
      </c>
      <c r="C35" s="21">
        <v>9</v>
      </c>
      <c r="D35" s="21">
        <v>51.2</v>
      </c>
      <c r="E35" s="21">
        <v>1.65</v>
      </c>
      <c r="F35" s="21">
        <v>28</v>
      </c>
      <c r="G35" s="21"/>
    </row>
    <row r="36" spans="1:15" x14ac:dyDescent="0.25">
      <c r="A36" s="21" t="s">
        <v>102</v>
      </c>
      <c r="B36" s="23">
        <v>41395</v>
      </c>
      <c r="C36" s="21">
        <v>10</v>
      </c>
      <c r="D36" s="21">
        <v>51.2</v>
      </c>
      <c r="E36" s="21">
        <v>1.55</v>
      </c>
      <c r="F36" s="21">
        <v>24</v>
      </c>
      <c r="G36" s="21"/>
    </row>
    <row r="37" spans="1:15" x14ac:dyDescent="0.25">
      <c r="A37" s="21" t="s">
        <v>102</v>
      </c>
      <c r="B37" s="23">
        <v>41395</v>
      </c>
      <c r="C37" s="21">
        <v>11</v>
      </c>
      <c r="D37" s="21">
        <v>40.9</v>
      </c>
      <c r="E37" s="21">
        <v>0.31</v>
      </c>
      <c r="F37" s="21">
        <v>18</v>
      </c>
      <c r="G37" s="21"/>
    </row>
    <row r="38" spans="1:15" x14ac:dyDescent="0.25">
      <c r="A38" s="21" t="s">
        <v>102</v>
      </c>
      <c r="B38" s="23">
        <v>41395</v>
      </c>
      <c r="C38" s="21">
        <v>12</v>
      </c>
      <c r="D38" s="21">
        <v>46.9</v>
      </c>
      <c r="E38" s="21">
        <v>0.4</v>
      </c>
      <c r="F38" s="21">
        <v>18</v>
      </c>
      <c r="G38" s="21"/>
    </row>
    <row r="39" spans="1:15" x14ac:dyDescent="0.25">
      <c r="A39" s="21" t="s">
        <v>102</v>
      </c>
      <c r="B39" s="23">
        <v>41404</v>
      </c>
      <c r="C39" s="21">
        <v>1</v>
      </c>
      <c r="D39" s="21">
        <v>47.2</v>
      </c>
      <c r="E39" s="21">
        <v>1.49</v>
      </c>
      <c r="F39" s="21">
        <v>28</v>
      </c>
      <c r="G39" s="21"/>
    </row>
    <row r="40" spans="1:15" x14ac:dyDescent="0.25">
      <c r="A40" s="21" t="s">
        <v>102</v>
      </c>
      <c r="B40" s="23">
        <v>41404</v>
      </c>
      <c r="C40" s="21">
        <v>2</v>
      </c>
      <c r="D40" s="21">
        <v>44.4</v>
      </c>
      <c r="E40" s="21">
        <v>1.66</v>
      </c>
      <c r="F40" s="21">
        <v>30</v>
      </c>
      <c r="G40" s="21"/>
    </row>
    <row r="41" spans="1:15" x14ac:dyDescent="0.25">
      <c r="A41" s="21" t="s">
        <v>102</v>
      </c>
      <c r="B41" s="23">
        <v>41404</v>
      </c>
      <c r="C41" s="21">
        <v>3</v>
      </c>
      <c r="D41" s="21">
        <v>45.7</v>
      </c>
      <c r="E41" s="21">
        <v>1.63</v>
      </c>
      <c r="F41" s="21">
        <v>25</v>
      </c>
      <c r="G41" s="21"/>
    </row>
    <row r="42" spans="1:15" x14ac:dyDescent="0.25">
      <c r="A42" s="21" t="s">
        <v>102</v>
      </c>
      <c r="B42" s="23">
        <v>41404</v>
      </c>
      <c r="C42" s="21">
        <v>4</v>
      </c>
      <c r="D42" s="21">
        <v>49.8</v>
      </c>
      <c r="E42" s="21">
        <v>1.1000000000000001</v>
      </c>
      <c r="F42" s="21">
        <v>24</v>
      </c>
      <c r="G42" s="21"/>
    </row>
    <row r="43" spans="1:15" x14ac:dyDescent="0.25">
      <c r="A43" s="21" t="s">
        <v>102</v>
      </c>
      <c r="B43" s="23">
        <v>41404</v>
      </c>
      <c r="C43" s="21">
        <v>5</v>
      </c>
      <c r="D43" s="21">
        <v>45.8</v>
      </c>
      <c r="E43" s="21">
        <v>0.8</v>
      </c>
      <c r="F43" s="21">
        <v>26</v>
      </c>
      <c r="G43" s="21"/>
    </row>
    <row r="44" spans="1:15" x14ac:dyDescent="0.25">
      <c r="A44" s="21" t="s">
        <v>102</v>
      </c>
      <c r="B44" s="23">
        <v>41404</v>
      </c>
      <c r="C44" s="21">
        <v>6</v>
      </c>
      <c r="D44" s="21">
        <v>43</v>
      </c>
      <c r="E44" s="21">
        <v>0.78</v>
      </c>
      <c r="F44" s="21">
        <v>18</v>
      </c>
      <c r="G44" s="21" t="s">
        <v>105</v>
      </c>
    </row>
    <row r="45" spans="1:15" x14ac:dyDescent="0.25">
      <c r="A45" s="21" t="s">
        <v>102</v>
      </c>
      <c r="B45" s="23">
        <v>41404</v>
      </c>
      <c r="C45" s="21">
        <v>7</v>
      </c>
      <c r="D45" s="21">
        <v>51.6</v>
      </c>
      <c r="E45" s="21">
        <v>1.88</v>
      </c>
      <c r="F45" s="21">
        <v>29</v>
      </c>
      <c r="G45" s="21"/>
    </row>
    <row r="46" spans="1:15" x14ac:dyDescent="0.25">
      <c r="A46" s="21" t="s">
        <v>102</v>
      </c>
      <c r="B46" s="23">
        <v>41404</v>
      </c>
      <c r="C46" s="21">
        <v>8</v>
      </c>
      <c r="D46" s="21">
        <v>46.5</v>
      </c>
      <c r="E46" s="21">
        <v>2.44</v>
      </c>
      <c r="F46" s="21">
        <v>38</v>
      </c>
      <c r="G46" s="21"/>
    </row>
    <row r="47" spans="1:15" x14ac:dyDescent="0.25">
      <c r="A47" s="21" t="s">
        <v>102</v>
      </c>
      <c r="B47" s="23">
        <v>41404</v>
      </c>
      <c r="C47" s="21">
        <v>9</v>
      </c>
      <c r="D47" s="21">
        <v>47.7</v>
      </c>
      <c r="E47" s="21">
        <v>1.89</v>
      </c>
      <c r="F47" s="21">
        <v>38</v>
      </c>
      <c r="G47" s="21" t="s">
        <v>106</v>
      </c>
    </row>
    <row r="48" spans="1:15" x14ac:dyDescent="0.25">
      <c r="A48" s="21" t="s">
        <v>102</v>
      </c>
      <c r="B48" s="23">
        <v>41404</v>
      </c>
      <c r="C48" s="21">
        <v>10</v>
      </c>
      <c r="D48" s="21">
        <v>49.5</v>
      </c>
      <c r="E48" s="21">
        <v>2.36</v>
      </c>
      <c r="F48" s="21">
        <v>38</v>
      </c>
      <c r="G48" s="21"/>
    </row>
    <row r="49" spans="1:7" x14ac:dyDescent="0.25">
      <c r="A49" s="21" t="s">
        <v>102</v>
      </c>
      <c r="B49" s="23">
        <v>41404</v>
      </c>
      <c r="C49" s="21">
        <v>11</v>
      </c>
      <c r="D49" s="21">
        <v>38.6</v>
      </c>
      <c r="E49" s="21">
        <v>0.89</v>
      </c>
      <c r="F49" s="21">
        <v>21</v>
      </c>
      <c r="G49" s="21"/>
    </row>
    <row r="50" spans="1:7" x14ac:dyDescent="0.25">
      <c r="A50" s="21" t="s">
        <v>102</v>
      </c>
      <c r="B50" s="23">
        <v>41404</v>
      </c>
      <c r="C50" s="21">
        <v>12</v>
      </c>
      <c r="D50" s="21">
        <v>51.2</v>
      </c>
      <c r="E50" s="21">
        <v>0.95</v>
      </c>
      <c r="F50" s="21">
        <v>20</v>
      </c>
      <c r="G50" s="21"/>
    </row>
    <row r="51" spans="1:7" x14ac:dyDescent="0.25">
      <c r="A51" s="21" t="s">
        <v>102</v>
      </c>
      <c r="B51" s="23">
        <v>41410</v>
      </c>
      <c r="C51" s="21">
        <v>1</v>
      </c>
      <c r="D51" s="21">
        <v>49.5</v>
      </c>
      <c r="E51" s="21">
        <v>2.2000000000000002</v>
      </c>
      <c r="F51" s="21">
        <v>40</v>
      </c>
      <c r="G51" s="21"/>
    </row>
    <row r="52" spans="1:7" x14ac:dyDescent="0.25">
      <c r="A52" s="21" t="s">
        <v>102</v>
      </c>
      <c r="B52" s="23">
        <v>41410</v>
      </c>
      <c r="C52" s="21">
        <v>2</v>
      </c>
      <c r="D52" s="21">
        <v>43.8</v>
      </c>
      <c r="E52" s="21">
        <v>2.4</v>
      </c>
      <c r="F52" s="21">
        <v>37</v>
      </c>
      <c r="G52" s="21"/>
    </row>
    <row r="53" spans="1:7" x14ac:dyDescent="0.25">
      <c r="A53" s="21" t="s">
        <v>102</v>
      </c>
      <c r="B53" s="23">
        <v>41410</v>
      </c>
      <c r="C53" s="21">
        <v>3</v>
      </c>
      <c r="D53" s="21">
        <v>44</v>
      </c>
      <c r="E53" s="21">
        <v>1.83</v>
      </c>
      <c r="F53" s="21">
        <v>38</v>
      </c>
      <c r="G53" s="21"/>
    </row>
    <row r="54" spans="1:7" x14ac:dyDescent="0.25">
      <c r="A54" s="21" t="s">
        <v>102</v>
      </c>
      <c r="B54" s="23">
        <v>41410</v>
      </c>
      <c r="C54" s="21">
        <v>4</v>
      </c>
      <c r="D54" s="21">
        <v>46.2</v>
      </c>
      <c r="E54" s="21">
        <v>1.9</v>
      </c>
      <c r="F54" s="21">
        <v>35</v>
      </c>
      <c r="G54" s="21"/>
    </row>
    <row r="55" spans="1:7" x14ac:dyDescent="0.25">
      <c r="A55" s="21" t="s">
        <v>102</v>
      </c>
      <c r="B55" s="23">
        <v>41410</v>
      </c>
      <c r="C55" s="21">
        <v>5</v>
      </c>
      <c r="D55" s="21">
        <v>41.1</v>
      </c>
      <c r="E55" s="21">
        <v>1.21</v>
      </c>
      <c r="F55" s="21">
        <v>28</v>
      </c>
      <c r="G55" s="21"/>
    </row>
    <row r="56" spans="1:7" x14ac:dyDescent="0.25">
      <c r="A56" s="21" t="s">
        <v>102</v>
      </c>
      <c r="B56" s="23">
        <v>41410</v>
      </c>
      <c r="C56" s="21">
        <v>6</v>
      </c>
      <c r="D56" s="21">
        <v>41.6</v>
      </c>
      <c r="E56" s="21">
        <v>0.77</v>
      </c>
      <c r="F56" s="21">
        <v>22</v>
      </c>
      <c r="G56" s="21"/>
    </row>
    <row r="57" spans="1:7" x14ac:dyDescent="0.25">
      <c r="A57" s="21" t="s">
        <v>102</v>
      </c>
      <c r="B57" s="23">
        <v>41410</v>
      </c>
      <c r="C57" s="21">
        <v>7</v>
      </c>
      <c r="D57" s="21">
        <v>48.8</v>
      </c>
      <c r="E57" s="21">
        <v>2.13</v>
      </c>
      <c r="F57" s="21">
        <v>44</v>
      </c>
      <c r="G57" s="21"/>
    </row>
    <row r="58" spans="1:7" x14ac:dyDescent="0.25">
      <c r="A58" s="21" t="s">
        <v>102</v>
      </c>
      <c r="B58" s="23">
        <v>41410</v>
      </c>
      <c r="C58" s="21">
        <v>8</v>
      </c>
      <c r="D58" s="21">
        <v>49.6</v>
      </c>
      <c r="E58" s="21">
        <v>2.57</v>
      </c>
      <c r="F58" s="21">
        <v>49</v>
      </c>
      <c r="G58" s="21"/>
    </row>
    <row r="59" spans="1:7" x14ac:dyDescent="0.25">
      <c r="A59" s="21" t="s">
        <v>102</v>
      </c>
      <c r="B59" s="23">
        <v>41410</v>
      </c>
      <c r="C59" s="21">
        <v>9</v>
      </c>
      <c r="D59" s="21">
        <v>46.7</v>
      </c>
      <c r="E59" s="21">
        <v>2.4700000000000002</v>
      </c>
      <c r="F59" s="21">
        <v>45</v>
      </c>
      <c r="G59" s="21"/>
    </row>
    <row r="60" spans="1:7" x14ac:dyDescent="0.25">
      <c r="A60" s="21" t="s">
        <v>102</v>
      </c>
      <c r="B60" s="23">
        <v>41410</v>
      </c>
      <c r="C60" s="21">
        <v>10</v>
      </c>
      <c r="D60" s="21">
        <v>43.4</v>
      </c>
      <c r="E60" s="21">
        <v>2.75</v>
      </c>
      <c r="F60" s="21">
        <v>42</v>
      </c>
      <c r="G60" s="21"/>
    </row>
    <row r="61" spans="1:7" x14ac:dyDescent="0.25">
      <c r="A61" s="21" t="s">
        <v>102</v>
      </c>
      <c r="B61" s="23">
        <v>41410</v>
      </c>
      <c r="C61" s="21">
        <v>11</v>
      </c>
      <c r="D61" s="21">
        <v>44.5</v>
      </c>
      <c r="E61" s="21">
        <v>1.42</v>
      </c>
      <c r="F61" s="21">
        <v>31</v>
      </c>
      <c r="G61" s="21"/>
    </row>
    <row r="62" spans="1:7" x14ac:dyDescent="0.25">
      <c r="A62" s="21" t="s">
        <v>102</v>
      </c>
      <c r="B62" s="23">
        <v>41410</v>
      </c>
      <c r="C62" s="21">
        <v>12</v>
      </c>
      <c r="D62" s="21">
        <v>42</v>
      </c>
      <c r="E62" s="21">
        <v>2.04</v>
      </c>
      <c r="F62" s="21">
        <v>33</v>
      </c>
      <c r="G62" s="21"/>
    </row>
    <row r="63" spans="1:7" x14ac:dyDescent="0.25">
      <c r="A63" s="21" t="s">
        <v>102</v>
      </c>
      <c r="B63" s="23">
        <v>41417</v>
      </c>
      <c r="C63" s="21">
        <v>1</v>
      </c>
      <c r="D63" s="21">
        <v>49.8</v>
      </c>
      <c r="E63" s="21">
        <v>3.33</v>
      </c>
      <c r="F63" s="21">
        <v>53</v>
      </c>
      <c r="G63" s="21"/>
    </row>
    <row r="64" spans="1:7" x14ac:dyDescent="0.25">
      <c r="A64" s="21" t="s">
        <v>102</v>
      </c>
      <c r="B64" s="23">
        <v>41417</v>
      </c>
      <c r="C64" s="21">
        <v>2</v>
      </c>
      <c r="D64" s="21">
        <v>43.9</v>
      </c>
      <c r="E64" s="21">
        <v>3.53</v>
      </c>
      <c r="F64" s="21">
        <v>48</v>
      </c>
      <c r="G64" s="21"/>
    </row>
    <row r="65" spans="1:7" x14ac:dyDescent="0.25">
      <c r="A65" s="21" t="s">
        <v>102</v>
      </c>
      <c r="B65" s="23">
        <v>41417</v>
      </c>
      <c r="C65" s="21">
        <v>3</v>
      </c>
      <c r="D65" s="21">
        <v>50.9</v>
      </c>
      <c r="E65" s="21">
        <v>3.5</v>
      </c>
      <c r="F65" s="21">
        <v>48.5</v>
      </c>
      <c r="G65" s="21"/>
    </row>
    <row r="66" spans="1:7" x14ac:dyDescent="0.25">
      <c r="A66" s="21" t="s">
        <v>102</v>
      </c>
      <c r="B66" s="23">
        <v>41417</v>
      </c>
      <c r="C66" s="21">
        <v>4</v>
      </c>
      <c r="D66" s="21">
        <v>51.2</v>
      </c>
      <c r="E66" s="21">
        <v>1.55</v>
      </c>
      <c r="F66" s="21">
        <v>46</v>
      </c>
      <c r="G66" s="21"/>
    </row>
    <row r="67" spans="1:7" x14ac:dyDescent="0.25">
      <c r="A67" s="21" t="s">
        <v>102</v>
      </c>
      <c r="B67" s="23">
        <v>41417</v>
      </c>
      <c r="C67" s="21">
        <v>5</v>
      </c>
      <c r="D67" s="21">
        <v>45.2</v>
      </c>
      <c r="E67" s="21">
        <v>1.57</v>
      </c>
      <c r="F67" s="21">
        <v>44</v>
      </c>
      <c r="G67" s="21"/>
    </row>
    <row r="68" spans="1:7" x14ac:dyDescent="0.25">
      <c r="A68" s="21" t="s">
        <v>102</v>
      </c>
      <c r="B68" s="23">
        <v>41417</v>
      </c>
      <c r="C68" s="21">
        <v>6</v>
      </c>
      <c r="D68" s="21">
        <v>44.6</v>
      </c>
      <c r="E68" s="21">
        <v>1.45</v>
      </c>
      <c r="F68" s="21">
        <v>40.5</v>
      </c>
      <c r="G68" s="21"/>
    </row>
    <row r="69" spans="1:7" x14ac:dyDescent="0.25">
      <c r="A69" s="21" t="s">
        <v>102</v>
      </c>
      <c r="B69" s="23">
        <v>41417</v>
      </c>
      <c r="C69" s="21">
        <v>7</v>
      </c>
      <c r="D69" s="21">
        <v>51.3</v>
      </c>
      <c r="E69" s="21">
        <v>3.4</v>
      </c>
      <c r="F69" s="21">
        <v>60</v>
      </c>
      <c r="G69" s="21"/>
    </row>
    <row r="70" spans="1:7" x14ac:dyDescent="0.25">
      <c r="A70" s="21" t="s">
        <v>102</v>
      </c>
      <c r="B70" s="23">
        <v>41417</v>
      </c>
      <c r="C70" s="21">
        <v>8</v>
      </c>
      <c r="D70" s="21">
        <v>20.6</v>
      </c>
      <c r="E70" s="21">
        <v>4.1399999999999997</v>
      </c>
      <c r="F70" s="21">
        <v>59</v>
      </c>
      <c r="G70" s="21"/>
    </row>
    <row r="71" spans="1:7" x14ac:dyDescent="0.25">
      <c r="A71" s="21" t="s">
        <v>102</v>
      </c>
      <c r="B71" s="23">
        <v>41417</v>
      </c>
      <c r="C71" s="21">
        <v>9</v>
      </c>
      <c r="D71" s="21">
        <v>49.3</v>
      </c>
      <c r="E71" s="21">
        <v>3.29</v>
      </c>
      <c r="F71" s="21">
        <v>60</v>
      </c>
      <c r="G71" s="21"/>
    </row>
    <row r="72" spans="1:7" x14ac:dyDescent="0.25">
      <c r="A72" s="21" t="s">
        <v>102</v>
      </c>
      <c r="B72" s="23">
        <v>41417</v>
      </c>
      <c r="C72" s="21">
        <v>10</v>
      </c>
      <c r="D72" s="21">
        <v>49.4</v>
      </c>
      <c r="E72" s="21">
        <v>4.5599999999999996</v>
      </c>
      <c r="F72" s="21">
        <v>57</v>
      </c>
      <c r="G72" s="21"/>
    </row>
    <row r="73" spans="1:7" x14ac:dyDescent="0.25">
      <c r="A73" s="21" t="s">
        <v>102</v>
      </c>
      <c r="B73" s="23">
        <v>41417</v>
      </c>
      <c r="C73" s="21">
        <v>11</v>
      </c>
      <c r="D73" s="21">
        <v>48.8</v>
      </c>
      <c r="E73" s="21">
        <v>1.78</v>
      </c>
      <c r="F73" s="21">
        <v>45</v>
      </c>
      <c r="G73" s="21"/>
    </row>
    <row r="74" spans="1:7" x14ac:dyDescent="0.25">
      <c r="A74" s="21" t="s">
        <v>102</v>
      </c>
      <c r="B74" s="23">
        <v>41417</v>
      </c>
      <c r="C74" s="21">
        <v>12</v>
      </c>
      <c r="D74" s="21">
        <v>46.2</v>
      </c>
      <c r="E74" s="21">
        <v>2.0699999999999998</v>
      </c>
      <c r="F74" s="21">
        <v>49.5</v>
      </c>
      <c r="G74" s="21"/>
    </row>
    <row r="75" spans="1:7" x14ac:dyDescent="0.25">
      <c r="A75" s="21" t="s">
        <v>102</v>
      </c>
      <c r="B75" s="23">
        <v>41423</v>
      </c>
      <c r="C75" s="21">
        <v>1</v>
      </c>
      <c r="D75" s="21">
        <v>53.3</v>
      </c>
      <c r="E75" s="21">
        <v>2.64</v>
      </c>
      <c r="F75" s="21">
        <v>58</v>
      </c>
      <c r="G75" s="21"/>
    </row>
    <row r="76" spans="1:7" x14ac:dyDescent="0.25">
      <c r="A76" s="21" t="s">
        <v>102</v>
      </c>
      <c r="B76" s="23">
        <v>41423</v>
      </c>
      <c r="C76" s="21">
        <v>2</v>
      </c>
      <c r="D76" s="21">
        <v>50.2</v>
      </c>
      <c r="E76" s="21">
        <v>1.77</v>
      </c>
      <c r="F76" s="21">
        <v>60.5</v>
      </c>
      <c r="G76" s="21"/>
    </row>
    <row r="77" spans="1:7" x14ac:dyDescent="0.25">
      <c r="A77" s="21" t="s">
        <v>102</v>
      </c>
      <c r="B77" s="23">
        <v>41423</v>
      </c>
      <c r="C77" s="21">
        <v>3</v>
      </c>
      <c r="D77" s="21">
        <v>52.4</v>
      </c>
      <c r="E77" s="21">
        <v>2.71</v>
      </c>
      <c r="F77" s="21">
        <v>57</v>
      </c>
      <c r="G77" s="21"/>
    </row>
    <row r="78" spans="1:7" x14ac:dyDescent="0.25">
      <c r="A78" s="21" t="s">
        <v>102</v>
      </c>
      <c r="B78" s="23">
        <v>41423</v>
      </c>
      <c r="C78" s="21">
        <v>4</v>
      </c>
      <c r="D78" s="21">
        <v>52.6</v>
      </c>
      <c r="E78" s="21">
        <v>1.7200000000000002</v>
      </c>
      <c r="F78" s="21">
        <v>53</v>
      </c>
      <c r="G78" s="21"/>
    </row>
    <row r="79" spans="1:7" x14ac:dyDescent="0.25">
      <c r="A79" s="21" t="s">
        <v>102</v>
      </c>
      <c r="B79" s="23">
        <v>41423</v>
      </c>
      <c r="C79" s="21">
        <v>5</v>
      </c>
      <c r="D79" s="21">
        <v>52.1</v>
      </c>
      <c r="E79" s="21">
        <v>1.4500000000000002</v>
      </c>
      <c r="F79" s="21">
        <v>44.5</v>
      </c>
      <c r="G79" s="21"/>
    </row>
    <row r="80" spans="1:7" x14ac:dyDescent="0.25">
      <c r="A80" s="21" t="s">
        <v>102</v>
      </c>
      <c r="B80" s="23">
        <v>41423</v>
      </c>
      <c r="C80" s="21">
        <v>6</v>
      </c>
      <c r="D80" s="21">
        <v>50.2</v>
      </c>
      <c r="E80" s="21">
        <v>2.2200000000000002</v>
      </c>
      <c r="F80" s="21">
        <v>47</v>
      </c>
      <c r="G80" s="21"/>
    </row>
    <row r="81" spans="1:7" x14ac:dyDescent="0.25">
      <c r="A81" s="21" t="s">
        <v>102</v>
      </c>
      <c r="B81" s="23">
        <v>41423</v>
      </c>
      <c r="C81" s="21">
        <v>7</v>
      </c>
      <c r="D81" s="21">
        <v>54.5</v>
      </c>
      <c r="E81" s="21">
        <v>2.4700000000000002</v>
      </c>
      <c r="F81" s="21">
        <v>65</v>
      </c>
      <c r="G81" s="21"/>
    </row>
    <row r="82" spans="1:7" x14ac:dyDescent="0.25">
      <c r="A82" s="21" t="s">
        <v>102</v>
      </c>
      <c r="B82" s="23">
        <v>41423</v>
      </c>
      <c r="C82" s="21">
        <v>8</v>
      </c>
      <c r="D82" s="21">
        <v>53.1</v>
      </c>
      <c r="E82" s="21">
        <v>3.41</v>
      </c>
      <c r="F82" s="21">
        <v>65</v>
      </c>
      <c r="G82" s="21"/>
    </row>
    <row r="83" spans="1:7" x14ac:dyDescent="0.25">
      <c r="A83" s="21" t="s">
        <v>102</v>
      </c>
      <c r="B83" s="23">
        <v>41423</v>
      </c>
      <c r="C83" s="21">
        <v>9</v>
      </c>
      <c r="D83" s="21">
        <v>51.9</v>
      </c>
      <c r="E83" s="21">
        <v>1.83</v>
      </c>
      <c r="F83" s="21">
        <v>65</v>
      </c>
      <c r="G83" s="21"/>
    </row>
    <row r="84" spans="1:7" x14ac:dyDescent="0.25">
      <c r="A84" s="21" t="s">
        <v>102</v>
      </c>
      <c r="B84" s="23">
        <v>41423</v>
      </c>
      <c r="C84" s="21">
        <v>10</v>
      </c>
      <c r="D84" s="21">
        <v>50.4</v>
      </c>
      <c r="E84" s="21">
        <v>2.57</v>
      </c>
      <c r="F84" s="21">
        <v>64</v>
      </c>
      <c r="G84" s="21"/>
    </row>
    <row r="85" spans="1:7" x14ac:dyDescent="0.25">
      <c r="A85" s="21" t="s">
        <v>102</v>
      </c>
      <c r="B85" s="23">
        <v>41423</v>
      </c>
      <c r="C85" s="21">
        <v>11</v>
      </c>
      <c r="D85" s="21">
        <v>52.1</v>
      </c>
      <c r="E85" s="21">
        <v>2.13</v>
      </c>
      <c r="F85" s="21">
        <v>54</v>
      </c>
      <c r="G85" s="21"/>
    </row>
    <row r="86" spans="1:7" x14ac:dyDescent="0.25">
      <c r="A86" s="21" t="s">
        <v>102</v>
      </c>
      <c r="B86" s="23">
        <v>41423</v>
      </c>
      <c r="C86" s="21">
        <v>12</v>
      </c>
      <c r="D86" s="21">
        <v>48.7</v>
      </c>
      <c r="E86" s="21">
        <v>2.0099999999999998</v>
      </c>
      <c r="F86" s="21">
        <v>49</v>
      </c>
      <c r="G86" s="21"/>
    </row>
    <row r="87" spans="1:7" x14ac:dyDescent="0.25">
      <c r="A87" s="21" t="s">
        <v>102</v>
      </c>
      <c r="B87" s="23">
        <v>41430</v>
      </c>
      <c r="C87" s="21">
        <v>1</v>
      </c>
      <c r="D87" s="21">
        <v>50.5</v>
      </c>
      <c r="E87" s="21">
        <v>2.9</v>
      </c>
      <c r="F87" s="21">
        <f>AVERAGE(F75,F99)</f>
        <v>69.5</v>
      </c>
      <c r="G87" s="21"/>
    </row>
    <row r="88" spans="1:7" x14ac:dyDescent="0.25">
      <c r="A88" s="21" t="s">
        <v>102</v>
      </c>
      <c r="B88" s="23">
        <v>41430</v>
      </c>
      <c r="C88" s="21">
        <v>2</v>
      </c>
      <c r="D88" s="21">
        <v>50.3</v>
      </c>
      <c r="E88" s="21">
        <v>2.27</v>
      </c>
      <c r="F88" s="21">
        <f t="shared" ref="F88:F98" si="0">AVERAGE(F76,F100)</f>
        <v>71.25</v>
      </c>
      <c r="G88" s="21"/>
    </row>
    <row r="89" spans="1:7" x14ac:dyDescent="0.25">
      <c r="A89" s="21" t="s">
        <v>102</v>
      </c>
      <c r="B89" s="23">
        <v>41430</v>
      </c>
      <c r="C89" s="21">
        <v>3</v>
      </c>
      <c r="D89" s="21">
        <v>50.4</v>
      </c>
      <c r="E89" s="21">
        <v>2.41</v>
      </c>
      <c r="F89" s="21">
        <f t="shared" si="0"/>
        <v>70</v>
      </c>
      <c r="G89" s="21"/>
    </row>
    <row r="90" spans="1:7" x14ac:dyDescent="0.25">
      <c r="A90" s="21" t="s">
        <v>102</v>
      </c>
      <c r="B90" s="23">
        <v>41430</v>
      </c>
      <c r="C90" s="21">
        <v>4</v>
      </c>
      <c r="D90" s="21">
        <v>48.6</v>
      </c>
      <c r="E90" s="21">
        <v>2.15</v>
      </c>
      <c r="F90" s="21">
        <f t="shared" si="0"/>
        <v>65</v>
      </c>
      <c r="G90" s="21"/>
    </row>
    <row r="91" spans="1:7" x14ac:dyDescent="0.25">
      <c r="A91" s="21" t="s">
        <v>102</v>
      </c>
      <c r="B91" s="23">
        <v>41430</v>
      </c>
      <c r="C91" s="21">
        <v>5</v>
      </c>
      <c r="D91" s="21">
        <v>54.2</v>
      </c>
      <c r="E91" s="21">
        <v>2</v>
      </c>
      <c r="F91" s="21">
        <f t="shared" si="0"/>
        <v>56.25</v>
      </c>
      <c r="G91" s="21"/>
    </row>
    <row r="92" spans="1:7" x14ac:dyDescent="0.25">
      <c r="A92" s="21" t="s">
        <v>102</v>
      </c>
      <c r="B92" s="23">
        <v>41430</v>
      </c>
      <c r="C92" s="21">
        <v>6</v>
      </c>
      <c r="D92" s="21">
        <v>50.9</v>
      </c>
      <c r="E92" s="21">
        <v>2.8</v>
      </c>
      <c r="F92" s="21">
        <f t="shared" si="0"/>
        <v>60</v>
      </c>
      <c r="G92" s="21"/>
    </row>
    <row r="93" spans="1:7" x14ac:dyDescent="0.25">
      <c r="A93" s="21" t="s">
        <v>102</v>
      </c>
      <c r="B93" s="23">
        <v>41430</v>
      </c>
      <c r="C93" s="21">
        <v>7</v>
      </c>
      <c r="D93" s="21">
        <v>53.3</v>
      </c>
      <c r="E93" s="21">
        <v>2.67</v>
      </c>
      <c r="F93" s="21">
        <f t="shared" si="0"/>
        <v>76</v>
      </c>
      <c r="G93" s="21"/>
    </row>
    <row r="94" spans="1:7" x14ac:dyDescent="0.25">
      <c r="A94" s="21" t="s">
        <v>102</v>
      </c>
      <c r="B94" s="23">
        <v>41430</v>
      </c>
      <c r="C94" s="21">
        <v>8</v>
      </c>
      <c r="D94" s="21">
        <v>53.3</v>
      </c>
      <c r="E94" s="21">
        <v>3.38</v>
      </c>
      <c r="F94" s="21">
        <f t="shared" si="0"/>
        <v>74.5</v>
      </c>
      <c r="G94" s="21"/>
    </row>
    <row r="95" spans="1:7" x14ac:dyDescent="0.25">
      <c r="A95" s="21" t="s">
        <v>102</v>
      </c>
      <c r="B95" s="23">
        <v>41430</v>
      </c>
      <c r="C95" s="21">
        <v>9</v>
      </c>
      <c r="D95" s="21">
        <v>51</v>
      </c>
      <c r="E95" s="21">
        <v>2.5299999999999998</v>
      </c>
      <c r="F95" s="21">
        <f t="shared" si="0"/>
        <v>78</v>
      </c>
      <c r="G95" s="21"/>
    </row>
    <row r="96" spans="1:7" x14ac:dyDescent="0.25">
      <c r="A96" s="21" t="s">
        <v>102</v>
      </c>
      <c r="B96" s="23">
        <v>41430</v>
      </c>
      <c r="C96" s="21">
        <v>10</v>
      </c>
      <c r="D96" s="21">
        <v>52.7</v>
      </c>
      <c r="E96" s="21">
        <v>3.08</v>
      </c>
      <c r="F96" s="21">
        <f t="shared" si="0"/>
        <v>76.5</v>
      </c>
      <c r="G96" s="21"/>
    </row>
    <row r="97" spans="1:7" x14ac:dyDescent="0.25">
      <c r="A97" s="21" t="s">
        <v>102</v>
      </c>
      <c r="B97" s="23">
        <v>41430</v>
      </c>
      <c r="C97" s="21">
        <v>11</v>
      </c>
      <c r="D97" s="21">
        <v>51.9</v>
      </c>
      <c r="E97" s="21">
        <v>2.17</v>
      </c>
      <c r="F97" s="21">
        <f t="shared" si="0"/>
        <v>69</v>
      </c>
      <c r="G97" s="21"/>
    </row>
    <row r="98" spans="1:7" x14ac:dyDescent="0.25">
      <c r="A98" s="21" t="s">
        <v>102</v>
      </c>
      <c r="B98" s="23">
        <v>41430</v>
      </c>
      <c r="C98" s="21">
        <v>12</v>
      </c>
      <c r="D98" s="21">
        <v>54.5</v>
      </c>
      <c r="E98" s="21">
        <v>2.64</v>
      </c>
      <c r="F98" s="21">
        <f t="shared" si="0"/>
        <v>62</v>
      </c>
      <c r="G98" s="21"/>
    </row>
    <row r="99" spans="1:7" x14ac:dyDescent="0.25">
      <c r="A99" s="21" t="s">
        <v>102</v>
      </c>
      <c r="B99" s="23">
        <v>41438</v>
      </c>
      <c r="C99" s="21">
        <v>1</v>
      </c>
      <c r="D99" s="21">
        <v>55</v>
      </c>
      <c r="E99" s="21">
        <v>3.39</v>
      </c>
      <c r="F99" s="21">
        <v>81</v>
      </c>
      <c r="G99" s="21"/>
    </row>
    <row r="100" spans="1:7" x14ac:dyDescent="0.25">
      <c r="A100" s="21" t="s">
        <v>102</v>
      </c>
      <c r="B100" s="23">
        <v>41438</v>
      </c>
      <c r="C100" s="21">
        <v>2</v>
      </c>
      <c r="D100" s="21">
        <v>48.8</v>
      </c>
      <c r="E100" s="21">
        <v>2.96</v>
      </c>
      <c r="F100" s="21">
        <v>82</v>
      </c>
      <c r="G100" s="21"/>
    </row>
    <row r="101" spans="1:7" x14ac:dyDescent="0.25">
      <c r="A101" s="21" t="s">
        <v>102</v>
      </c>
      <c r="B101" s="23">
        <v>41438</v>
      </c>
      <c r="C101" s="21">
        <v>3</v>
      </c>
      <c r="D101" s="21">
        <v>51.9</v>
      </c>
      <c r="E101" s="21">
        <v>2.56</v>
      </c>
      <c r="F101" s="21">
        <v>83</v>
      </c>
      <c r="G101" s="21"/>
    </row>
    <row r="102" spans="1:7" x14ac:dyDescent="0.25">
      <c r="A102" s="21" t="s">
        <v>102</v>
      </c>
      <c r="B102" s="23">
        <v>41438</v>
      </c>
      <c r="C102" s="21">
        <v>4</v>
      </c>
      <c r="D102" s="21">
        <v>51.2</v>
      </c>
      <c r="E102" s="21">
        <v>3.09</v>
      </c>
      <c r="F102" s="21">
        <v>77</v>
      </c>
      <c r="G102" s="21"/>
    </row>
    <row r="103" spans="1:7" x14ac:dyDescent="0.25">
      <c r="A103" s="21" t="s">
        <v>102</v>
      </c>
      <c r="B103" s="23">
        <v>41438</v>
      </c>
      <c r="C103" s="21">
        <v>5</v>
      </c>
      <c r="D103" s="21">
        <v>51.6</v>
      </c>
      <c r="E103" s="21">
        <v>2.09</v>
      </c>
      <c r="F103" s="21">
        <v>68</v>
      </c>
      <c r="G103" s="21"/>
    </row>
    <row r="104" spans="1:7" x14ac:dyDescent="0.25">
      <c r="A104" s="21" t="s">
        <v>102</v>
      </c>
      <c r="B104" s="23">
        <v>41438</v>
      </c>
      <c r="C104" s="21">
        <v>6</v>
      </c>
      <c r="D104" s="21">
        <v>49.8</v>
      </c>
      <c r="E104" s="21">
        <v>2.08</v>
      </c>
      <c r="F104" s="21">
        <v>73</v>
      </c>
      <c r="G104" s="21"/>
    </row>
    <row r="105" spans="1:7" x14ac:dyDescent="0.25">
      <c r="A105" s="21" t="s">
        <v>102</v>
      </c>
      <c r="B105" s="23">
        <v>41438</v>
      </c>
      <c r="C105" s="21">
        <v>7</v>
      </c>
      <c r="D105" s="21">
        <v>52.9</v>
      </c>
      <c r="E105" s="21">
        <v>2.72</v>
      </c>
      <c r="F105" s="21">
        <v>87</v>
      </c>
      <c r="G105" s="21"/>
    </row>
    <row r="106" spans="1:7" x14ac:dyDescent="0.25">
      <c r="A106" s="21" t="s">
        <v>102</v>
      </c>
      <c r="B106" s="23">
        <v>41438</v>
      </c>
      <c r="C106" s="21">
        <v>8</v>
      </c>
      <c r="D106" s="21">
        <v>53.2</v>
      </c>
      <c r="E106" s="21">
        <v>3.26</v>
      </c>
      <c r="F106" s="21">
        <v>84</v>
      </c>
      <c r="G106" s="21"/>
    </row>
    <row r="107" spans="1:7" x14ac:dyDescent="0.25">
      <c r="A107" s="21" t="s">
        <v>102</v>
      </c>
      <c r="B107" s="23">
        <v>41438</v>
      </c>
      <c r="C107" s="21">
        <v>9</v>
      </c>
      <c r="D107" s="21">
        <v>54</v>
      </c>
      <c r="E107" s="21">
        <v>3.04</v>
      </c>
      <c r="F107" s="21">
        <v>91</v>
      </c>
      <c r="G107" s="21"/>
    </row>
    <row r="108" spans="1:7" x14ac:dyDescent="0.25">
      <c r="A108" s="21" t="s">
        <v>102</v>
      </c>
      <c r="B108" s="23">
        <v>41438</v>
      </c>
      <c r="C108" s="21">
        <v>10</v>
      </c>
      <c r="D108" s="21">
        <v>53.3</v>
      </c>
      <c r="E108" s="21">
        <v>3.56</v>
      </c>
      <c r="F108" s="21">
        <v>89</v>
      </c>
      <c r="G108" s="21"/>
    </row>
    <row r="109" spans="1:7" x14ac:dyDescent="0.25">
      <c r="A109" s="21" t="s">
        <v>102</v>
      </c>
      <c r="B109" s="23">
        <v>41438</v>
      </c>
      <c r="C109" s="21">
        <v>11</v>
      </c>
      <c r="D109" s="21">
        <v>52.3</v>
      </c>
      <c r="E109" s="21">
        <v>1.77</v>
      </c>
      <c r="F109" s="21">
        <v>84</v>
      </c>
      <c r="G109" s="21"/>
    </row>
    <row r="110" spans="1:7" x14ac:dyDescent="0.25">
      <c r="A110" s="21" t="s">
        <v>102</v>
      </c>
      <c r="B110" s="23">
        <v>41438</v>
      </c>
      <c r="C110" s="21">
        <v>12</v>
      </c>
      <c r="D110" s="21">
        <v>48.1</v>
      </c>
      <c r="E110" s="21">
        <v>2.54</v>
      </c>
      <c r="F110" s="21">
        <v>75</v>
      </c>
      <c r="G110" s="21"/>
    </row>
    <row r="111" spans="1:7" x14ac:dyDescent="0.25">
      <c r="A111" s="21" t="s">
        <v>102</v>
      </c>
      <c r="B111" s="23">
        <v>41447</v>
      </c>
      <c r="C111" s="21">
        <v>1</v>
      </c>
      <c r="D111" s="21">
        <v>53.3</v>
      </c>
      <c r="E111" s="21">
        <v>4.66</v>
      </c>
      <c r="F111" s="21">
        <v>80</v>
      </c>
      <c r="G111" s="21"/>
    </row>
    <row r="112" spans="1:7" x14ac:dyDescent="0.25">
      <c r="A112" s="21" t="s">
        <v>102</v>
      </c>
      <c r="B112" s="23">
        <v>41447</v>
      </c>
      <c r="C112" s="21">
        <v>2</v>
      </c>
      <c r="D112" s="21">
        <v>52.1</v>
      </c>
      <c r="E112" s="21">
        <v>3.93</v>
      </c>
      <c r="F112" s="21">
        <v>83</v>
      </c>
      <c r="G112" s="21"/>
    </row>
    <row r="113" spans="1:7" x14ac:dyDescent="0.25">
      <c r="A113" s="21" t="s">
        <v>102</v>
      </c>
      <c r="B113" s="23">
        <v>41447</v>
      </c>
      <c r="C113" s="21">
        <v>3</v>
      </c>
      <c r="D113" s="21">
        <v>52.7</v>
      </c>
      <c r="E113" s="21">
        <v>3.39</v>
      </c>
      <c r="F113" s="21">
        <v>85</v>
      </c>
      <c r="G113" s="21"/>
    </row>
    <row r="114" spans="1:7" x14ac:dyDescent="0.25">
      <c r="A114" s="21" t="s">
        <v>102</v>
      </c>
      <c r="B114" s="23">
        <v>41447</v>
      </c>
      <c r="C114" s="21">
        <v>4</v>
      </c>
      <c r="D114" s="21">
        <v>52.3</v>
      </c>
      <c r="E114" s="21">
        <v>2.84</v>
      </c>
      <c r="F114" s="21">
        <v>80</v>
      </c>
      <c r="G114" s="21"/>
    </row>
    <row r="115" spans="1:7" x14ac:dyDescent="0.25">
      <c r="A115" s="21" t="s">
        <v>102</v>
      </c>
      <c r="B115" s="23">
        <v>41447</v>
      </c>
      <c r="C115" s="21">
        <v>5</v>
      </c>
      <c r="D115" s="21">
        <v>57.9</v>
      </c>
      <c r="E115" s="21">
        <v>3</v>
      </c>
      <c r="F115" s="21">
        <v>75</v>
      </c>
      <c r="G115" s="21"/>
    </row>
    <row r="116" spans="1:7" x14ac:dyDescent="0.25">
      <c r="A116" s="21" t="s">
        <v>102</v>
      </c>
      <c r="B116" s="23">
        <v>41447</v>
      </c>
      <c r="C116" s="21">
        <v>6</v>
      </c>
      <c r="D116" s="21">
        <v>51.7</v>
      </c>
      <c r="E116" s="21">
        <v>2.8</v>
      </c>
      <c r="F116" s="21">
        <v>79</v>
      </c>
      <c r="G116" s="21"/>
    </row>
    <row r="117" spans="1:7" x14ac:dyDescent="0.25">
      <c r="A117" s="21" t="s">
        <v>102</v>
      </c>
      <c r="B117" s="23">
        <v>41447</v>
      </c>
      <c r="C117" s="21">
        <v>7</v>
      </c>
      <c r="D117" s="21">
        <v>52</v>
      </c>
      <c r="E117" s="21">
        <v>2.96</v>
      </c>
      <c r="F117" s="21">
        <v>83</v>
      </c>
      <c r="G117" s="21"/>
    </row>
    <row r="118" spans="1:7" x14ac:dyDescent="0.25">
      <c r="A118" s="21" t="s">
        <v>102</v>
      </c>
      <c r="B118" s="23">
        <v>41447</v>
      </c>
      <c r="C118" s="21">
        <v>8</v>
      </c>
      <c r="D118" s="21">
        <v>50.7</v>
      </c>
      <c r="E118" s="21">
        <v>2.99</v>
      </c>
      <c r="F118" s="21">
        <v>85</v>
      </c>
      <c r="G118" s="21"/>
    </row>
    <row r="119" spans="1:7" x14ac:dyDescent="0.25">
      <c r="A119" s="21" t="s">
        <v>102</v>
      </c>
      <c r="B119" s="23">
        <v>41447</v>
      </c>
      <c r="C119" s="21">
        <v>9</v>
      </c>
      <c r="D119" s="21">
        <v>52</v>
      </c>
      <c r="E119" s="21">
        <v>3.92</v>
      </c>
      <c r="F119" s="21">
        <v>90</v>
      </c>
      <c r="G119" s="21"/>
    </row>
    <row r="120" spans="1:7" x14ac:dyDescent="0.25">
      <c r="A120" s="21" t="s">
        <v>102</v>
      </c>
      <c r="B120" s="23">
        <v>41447</v>
      </c>
      <c r="C120" s="21">
        <v>10</v>
      </c>
      <c r="D120" s="21">
        <v>51.4</v>
      </c>
      <c r="E120" s="21">
        <v>4.29</v>
      </c>
      <c r="F120" s="21">
        <v>88</v>
      </c>
      <c r="G120" s="21"/>
    </row>
    <row r="121" spans="1:7" x14ac:dyDescent="0.25">
      <c r="A121" s="21" t="s">
        <v>102</v>
      </c>
      <c r="B121" s="23">
        <v>41447</v>
      </c>
      <c r="C121" s="21">
        <v>11</v>
      </c>
      <c r="D121" s="21">
        <v>54</v>
      </c>
      <c r="E121" s="21">
        <v>3.51</v>
      </c>
      <c r="F121" s="21">
        <v>87</v>
      </c>
      <c r="G121" s="21"/>
    </row>
    <row r="122" spans="1:7" x14ac:dyDescent="0.25">
      <c r="A122" s="21" t="s">
        <v>102</v>
      </c>
      <c r="B122" s="23">
        <v>41447</v>
      </c>
      <c r="C122" s="21">
        <v>12</v>
      </c>
      <c r="D122" s="21">
        <v>49.1</v>
      </c>
      <c r="E122" s="21">
        <v>3.42</v>
      </c>
      <c r="F122" s="21">
        <v>85</v>
      </c>
      <c r="G122" s="21"/>
    </row>
    <row r="123" spans="1:7" x14ac:dyDescent="0.25">
      <c r="A123" s="21" t="s">
        <v>102</v>
      </c>
      <c r="B123" s="23">
        <v>41451</v>
      </c>
      <c r="C123" s="21">
        <v>1</v>
      </c>
      <c r="D123" s="21">
        <v>50.7</v>
      </c>
      <c r="E123" s="21">
        <v>4.01</v>
      </c>
      <c r="F123" s="21"/>
      <c r="G123" s="21"/>
    </row>
    <row r="124" spans="1:7" x14ac:dyDescent="0.25">
      <c r="A124" s="21" t="s">
        <v>102</v>
      </c>
      <c r="B124" s="23">
        <v>41451</v>
      </c>
      <c r="C124" s="21">
        <v>2</v>
      </c>
      <c r="D124" s="21">
        <v>48.9</v>
      </c>
      <c r="E124" s="21">
        <v>3.79</v>
      </c>
      <c r="F124" s="21"/>
      <c r="G124" s="21"/>
    </row>
    <row r="125" spans="1:7" x14ac:dyDescent="0.25">
      <c r="A125" s="21" t="s">
        <v>102</v>
      </c>
      <c r="B125" s="23">
        <v>41451</v>
      </c>
      <c r="C125" s="21">
        <v>3</v>
      </c>
      <c r="D125" s="21">
        <v>48.1</v>
      </c>
      <c r="E125" s="21">
        <v>3.39</v>
      </c>
      <c r="F125" s="21"/>
      <c r="G125" s="21"/>
    </row>
    <row r="126" spans="1:7" x14ac:dyDescent="0.25">
      <c r="A126" s="21" t="s">
        <v>102</v>
      </c>
      <c r="B126" s="23">
        <v>41451</v>
      </c>
      <c r="C126" s="21">
        <v>4</v>
      </c>
      <c r="D126" s="21">
        <v>48.3</v>
      </c>
      <c r="E126" s="21">
        <v>3.6</v>
      </c>
      <c r="F126" s="21"/>
      <c r="G126" s="21"/>
    </row>
    <row r="127" spans="1:7" x14ac:dyDescent="0.25">
      <c r="A127" s="21" t="s">
        <v>102</v>
      </c>
      <c r="B127" s="23">
        <v>41451</v>
      </c>
      <c r="C127" s="21">
        <v>5</v>
      </c>
      <c r="D127" s="21">
        <v>48.5</v>
      </c>
      <c r="E127" s="21">
        <v>3.04</v>
      </c>
      <c r="F127" s="21"/>
      <c r="G127" s="21"/>
    </row>
    <row r="128" spans="1:7" x14ac:dyDescent="0.25">
      <c r="A128" s="21" t="s">
        <v>102</v>
      </c>
      <c r="B128" s="23">
        <v>41451</v>
      </c>
      <c r="C128" s="21">
        <v>6</v>
      </c>
      <c r="D128" s="21">
        <v>50.4</v>
      </c>
      <c r="E128" s="21">
        <v>2.4500000000000002</v>
      </c>
      <c r="F128" s="21"/>
      <c r="G128" s="21"/>
    </row>
    <row r="129" spans="1:7" x14ac:dyDescent="0.25">
      <c r="A129" s="21" t="s">
        <v>102</v>
      </c>
      <c r="B129" s="23">
        <v>41451</v>
      </c>
      <c r="C129" s="21">
        <v>7</v>
      </c>
      <c r="D129" s="21">
        <v>52.5</v>
      </c>
      <c r="E129" s="21">
        <v>4.21</v>
      </c>
      <c r="F129" s="21"/>
      <c r="G129" s="21"/>
    </row>
    <row r="130" spans="1:7" x14ac:dyDescent="0.25">
      <c r="A130" s="21" t="s">
        <v>102</v>
      </c>
      <c r="B130" s="23">
        <v>41451</v>
      </c>
      <c r="C130" s="21">
        <v>8</v>
      </c>
      <c r="D130" s="21">
        <v>51.9</v>
      </c>
      <c r="E130" s="21">
        <v>4.38</v>
      </c>
      <c r="F130" s="21"/>
      <c r="G130" s="21"/>
    </row>
    <row r="131" spans="1:7" x14ac:dyDescent="0.25">
      <c r="A131" s="21" t="s">
        <v>102</v>
      </c>
      <c r="B131" s="23">
        <v>41451</v>
      </c>
      <c r="C131" s="21">
        <v>9</v>
      </c>
      <c r="D131" s="21">
        <v>50.5</v>
      </c>
      <c r="E131" s="21">
        <v>3.88</v>
      </c>
      <c r="F131" s="21"/>
      <c r="G131" s="21"/>
    </row>
    <row r="132" spans="1:7" x14ac:dyDescent="0.25">
      <c r="A132" s="21" t="s">
        <v>102</v>
      </c>
      <c r="B132" s="23">
        <v>41451</v>
      </c>
      <c r="C132" s="21">
        <v>10</v>
      </c>
      <c r="D132" s="21">
        <v>44.5</v>
      </c>
      <c r="E132" s="21">
        <v>4.5</v>
      </c>
      <c r="F132" s="21"/>
      <c r="G132" s="21"/>
    </row>
    <row r="133" spans="1:7" x14ac:dyDescent="0.25">
      <c r="A133" s="21" t="s">
        <v>102</v>
      </c>
      <c r="B133" s="23">
        <v>41451</v>
      </c>
      <c r="C133" s="21">
        <v>11</v>
      </c>
      <c r="D133" s="21">
        <v>50.5</v>
      </c>
      <c r="E133" s="21">
        <v>3.14</v>
      </c>
      <c r="F133" s="21"/>
      <c r="G133" s="21"/>
    </row>
    <row r="134" spans="1:7" x14ac:dyDescent="0.25">
      <c r="A134" s="21" t="s">
        <v>102</v>
      </c>
      <c r="B134" s="23">
        <v>41451</v>
      </c>
      <c r="C134" s="21">
        <v>12</v>
      </c>
      <c r="D134" s="21">
        <v>44.1</v>
      </c>
      <c r="E134" s="21">
        <v>3.06</v>
      </c>
      <c r="F134" s="21"/>
      <c r="G134" s="21"/>
    </row>
    <row r="135" spans="1:7" x14ac:dyDescent="0.25">
      <c r="A135" s="21" t="s">
        <v>102</v>
      </c>
      <c r="B135" s="23">
        <v>41456</v>
      </c>
      <c r="C135" s="21">
        <v>1</v>
      </c>
      <c r="D135" s="21">
        <v>51.3</v>
      </c>
      <c r="E135" s="21">
        <v>3.36</v>
      </c>
      <c r="F135" s="21">
        <v>87</v>
      </c>
      <c r="G135" s="21" t="s">
        <v>107</v>
      </c>
    </row>
    <row r="136" spans="1:7" x14ac:dyDescent="0.25">
      <c r="A136" s="21" t="s">
        <v>102</v>
      </c>
      <c r="B136" s="23">
        <v>41456</v>
      </c>
      <c r="C136" s="21">
        <v>2</v>
      </c>
      <c r="D136" s="21">
        <v>47.8</v>
      </c>
      <c r="E136" s="21">
        <v>2.94</v>
      </c>
      <c r="F136" s="21">
        <v>83</v>
      </c>
      <c r="G136" s="21"/>
    </row>
    <row r="137" spans="1:7" x14ac:dyDescent="0.25">
      <c r="A137" s="21" t="s">
        <v>102</v>
      </c>
      <c r="B137" s="23">
        <v>41456</v>
      </c>
      <c r="C137" s="21">
        <v>3</v>
      </c>
      <c r="D137" s="21">
        <v>49</v>
      </c>
      <c r="E137" s="21">
        <v>3.39</v>
      </c>
      <c r="F137" s="21">
        <v>85</v>
      </c>
      <c r="G137" s="21"/>
    </row>
    <row r="138" spans="1:7" x14ac:dyDescent="0.25">
      <c r="A138" s="21" t="s">
        <v>102</v>
      </c>
      <c r="B138" s="23">
        <v>41456</v>
      </c>
      <c r="C138" s="21">
        <v>4</v>
      </c>
      <c r="D138" s="21">
        <v>53.9</v>
      </c>
      <c r="E138" s="21">
        <v>3.31</v>
      </c>
      <c r="F138" s="21">
        <v>86</v>
      </c>
      <c r="G138" s="21"/>
    </row>
    <row r="139" spans="1:7" x14ac:dyDescent="0.25">
      <c r="A139" s="21" t="s">
        <v>102</v>
      </c>
      <c r="B139" s="23">
        <v>41456</v>
      </c>
      <c r="C139" s="21">
        <v>5</v>
      </c>
      <c r="D139" s="21">
        <v>53.1</v>
      </c>
      <c r="E139" s="21">
        <v>2.78</v>
      </c>
      <c r="F139" s="21">
        <v>80</v>
      </c>
      <c r="G139" s="21"/>
    </row>
    <row r="140" spans="1:7" x14ac:dyDescent="0.25">
      <c r="A140" s="21" t="s">
        <v>102</v>
      </c>
      <c r="B140" s="23">
        <v>41456</v>
      </c>
      <c r="C140" s="21">
        <v>6</v>
      </c>
      <c r="D140" s="21">
        <v>51</v>
      </c>
      <c r="E140" s="21">
        <v>2.06</v>
      </c>
      <c r="F140" s="21">
        <v>80</v>
      </c>
      <c r="G140" s="21"/>
    </row>
    <row r="141" spans="1:7" x14ac:dyDescent="0.25">
      <c r="A141" s="21" t="s">
        <v>102</v>
      </c>
      <c r="B141" s="23">
        <v>41456</v>
      </c>
      <c r="C141" s="21">
        <v>7</v>
      </c>
      <c r="D141" s="21">
        <v>53.2</v>
      </c>
      <c r="E141" s="21">
        <v>3.02</v>
      </c>
      <c r="F141" s="21">
        <v>87</v>
      </c>
      <c r="G141" s="21"/>
    </row>
    <row r="142" spans="1:7" x14ac:dyDescent="0.25">
      <c r="A142" s="21" t="s">
        <v>102</v>
      </c>
      <c r="B142" s="23">
        <v>41456</v>
      </c>
      <c r="C142" s="21">
        <v>8</v>
      </c>
      <c r="D142" s="21">
        <v>51.6</v>
      </c>
      <c r="E142" s="21">
        <v>3.24</v>
      </c>
      <c r="F142" s="21">
        <v>86</v>
      </c>
      <c r="G142" s="21"/>
    </row>
    <row r="143" spans="1:7" x14ac:dyDescent="0.25">
      <c r="A143" s="21" t="s">
        <v>102</v>
      </c>
      <c r="B143" s="23">
        <v>41456</v>
      </c>
      <c r="C143" s="21">
        <v>9</v>
      </c>
      <c r="D143" s="21">
        <v>51.1</v>
      </c>
      <c r="E143" s="21">
        <v>3.63</v>
      </c>
      <c r="F143" s="21">
        <v>92</v>
      </c>
      <c r="G143" s="21"/>
    </row>
    <row r="144" spans="1:7" x14ac:dyDescent="0.25">
      <c r="A144" s="21" t="s">
        <v>102</v>
      </c>
      <c r="B144" s="23">
        <v>41456</v>
      </c>
      <c r="C144" s="21">
        <v>10</v>
      </c>
      <c r="D144" s="21">
        <v>51.7</v>
      </c>
      <c r="E144" s="21">
        <v>3.77</v>
      </c>
      <c r="F144" s="21">
        <v>91</v>
      </c>
      <c r="G144" s="21"/>
    </row>
    <row r="145" spans="1:7" x14ac:dyDescent="0.25">
      <c r="A145" s="21" t="s">
        <v>102</v>
      </c>
      <c r="B145" s="23">
        <v>41456</v>
      </c>
      <c r="C145" s="21">
        <v>11</v>
      </c>
      <c r="D145" s="21">
        <v>52.7</v>
      </c>
      <c r="E145" s="21">
        <v>2.86</v>
      </c>
      <c r="F145" s="21">
        <v>83</v>
      </c>
      <c r="G145" s="21"/>
    </row>
    <row r="146" spans="1:7" x14ac:dyDescent="0.25">
      <c r="A146" s="21" t="s">
        <v>102</v>
      </c>
      <c r="B146" s="23">
        <v>41456</v>
      </c>
      <c r="C146" s="21">
        <v>12</v>
      </c>
      <c r="D146" s="21">
        <v>45</v>
      </c>
      <c r="E146" s="21">
        <v>3.29</v>
      </c>
      <c r="F146" s="24">
        <v>84</v>
      </c>
      <c r="G146" s="21"/>
    </row>
    <row r="147" spans="1:7" x14ac:dyDescent="0.25">
      <c r="A147" s="21" t="s">
        <v>102</v>
      </c>
      <c r="B147" s="23">
        <v>41463</v>
      </c>
      <c r="C147" s="21">
        <v>1</v>
      </c>
      <c r="D147" s="21">
        <v>51.5</v>
      </c>
      <c r="E147" s="21">
        <v>3.68</v>
      </c>
      <c r="F147" s="21">
        <v>84</v>
      </c>
      <c r="G147" s="21"/>
    </row>
    <row r="148" spans="1:7" x14ac:dyDescent="0.25">
      <c r="A148" s="21" t="s">
        <v>102</v>
      </c>
      <c r="B148" s="23">
        <v>41463</v>
      </c>
      <c r="C148" s="21">
        <v>2</v>
      </c>
      <c r="D148" s="21">
        <v>37.700000000000003</v>
      </c>
      <c r="E148" s="21">
        <v>2.95</v>
      </c>
      <c r="F148" s="21">
        <v>81</v>
      </c>
      <c r="G148" s="21"/>
    </row>
    <row r="149" spans="1:7" x14ac:dyDescent="0.25">
      <c r="A149" s="21" t="s">
        <v>102</v>
      </c>
      <c r="B149" s="23">
        <v>41463</v>
      </c>
      <c r="C149" s="21">
        <v>3</v>
      </c>
      <c r="D149" s="21">
        <v>50.5</v>
      </c>
      <c r="E149" s="21">
        <v>2.96</v>
      </c>
      <c r="F149" s="21">
        <v>84</v>
      </c>
      <c r="G149" s="21"/>
    </row>
    <row r="150" spans="1:7" x14ac:dyDescent="0.25">
      <c r="A150" s="21" t="s">
        <v>102</v>
      </c>
      <c r="B150" s="23">
        <v>41463</v>
      </c>
      <c r="C150" s="21">
        <v>4</v>
      </c>
      <c r="D150" s="21">
        <v>52.4</v>
      </c>
      <c r="E150" s="21">
        <v>2.4500000000000002</v>
      </c>
      <c r="F150" s="21">
        <v>85</v>
      </c>
      <c r="G150" s="21"/>
    </row>
    <row r="151" spans="1:7" x14ac:dyDescent="0.25">
      <c r="A151" s="21" t="s">
        <v>102</v>
      </c>
      <c r="B151" s="23">
        <v>41463</v>
      </c>
      <c r="C151" s="21">
        <v>5</v>
      </c>
      <c r="D151" s="21">
        <v>52.6</v>
      </c>
      <c r="E151" s="21">
        <v>2.16</v>
      </c>
      <c r="F151" s="21">
        <v>75</v>
      </c>
      <c r="G151" s="21"/>
    </row>
    <row r="152" spans="1:7" x14ac:dyDescent="0.25">
      <c r="A152" s="21" t="s">
        <v>102</v>
      </c>
      <c r="B152" s="23">
        <v>41463</v>
      </c>
      <c r="C152" s="21">
        <v>6</v>
      </c>
      <c r="D152" s="21">
        <v>51.1</v>
      </c>
      <c r="E152" s="21">
        <v>2.4700000000000002</v>
      </c>
      <c r="F152" s="21">
        <v>72</v>
      </c>
      <c r="G152" s="21"/>
    </row>
    <row r="153" spans="1:7" x14ac:dyDescent="0.25">
      <c r="A153" s="21" t="s">
        <v>102</v>
      </c>
      <c r="B153" s="23">
        <v>41463</v>
      </c>
      <c r="C153" s="21">
        <v>7</v>
      </c>
      <c r="D153" s="21">
        <v>39.5</v>
      </c>
      <c r="E153" s="21">
        <v>3.14</v>
      </c>
      <c r="F153" s="21">
        <v>84</v>
      </c>
      <c r="G153" s="21"/>
    </row>
    <row r="154" spans="1:7" x14ac:dyDescent="0.25">
      <c r="A154" s="21" t="s">
        <v>102</v>
      </c>
      <c r="B154" s="23">
        <v>41463</v>
      </c>
      <c r="C154" s="21">
        <v>8</v>
      </c>
      <c r="D154" s="21">
        <v>43.3</v>
      </c>
      <c r="E154" s="21">
        <v>3.93</v>
      </c>
      <c r="F154" s="21">
        <v>82</v>
      </c>
      <c r="G154" s="21"/>
    </row>
    <row r="155" spans="1:7" x14ac:dyDescent="0.25">
      <c r="A155" s="21" t="s">
        <v>102</v>
      </c>
      <c r="B155" s="23">
        <v>41463</v>
      </c>
      <c r="C155" s="21">
        <v>9</v>
      </c>
      <c r="D155" s="21">
        <v>40.4</v>
      </c>
      <c r="E155" s="21">
        <v>3.27</v>
      </c>
      <c r="F155" s="21">
        <v>88</v>
      </c>
      <c r="G155" s="21"/>
    </row>
    <row r="156" spans="1:7" x14ac:dyDescent="0.25">
      <c r="A156" s="21" t="s">
        <v>102</v>
      </c>
      <c r="B156" s="23">
        <v>41463</v>
      </c>
      <c r="C156" s="21">
        <v>10</v>
      </c>
      <c r="D156" s="21">
        <v>50.4</v>
      </c>
      <c r="E156" s="21">
        <v>3.73</v>
      </c>
      <c r="F156" s="21">
        <v>86</v>
      </c>
      <c r="G156" s="21"/>
    </row>
    <row r="157" spans="1:7" x14ac:dyDescent="0.25">
      <c r="A157" s="21" t="s">
        <v>102</v>
      </c>
      <c r="B157" s="23">
        <v>41463</v>
      </c>
      <c r="C157" s="21">
        <v>11</v>
      </c>
      <c r="D157" s="21">
        <v>55.7</v>
      </c>
      <c r="E157" s="21">
        <v>3.04</v>
      </c>
      <c r="F157" s="21">
        <v>80</v>
      </c>
      <c r="G157" s="21"/>
    </row>
    <row r="158" spans="1:7" x14ac:dyDescent="0.25">
      <c r="A158" s="21" t="s">
        <v>102</v>
      </c>
      <c r="B158" s="23">
        <v>41463</v>
      </c>
      <c r="C158" s="21">
        <v>12</v>
      </c>
      <c r="D158" s="21">
        <v>41.7</v>
      </c>
      <c r="E158" s="21">
        <v>2.91</v>
      </c>
      <c r="F158" s="24">
        <v>80</v>
      </c>
      <c r="G158" s="21"/>
    </row>
    <row r="159" spans="1:7" x14ac:dyDescent="0.25">
      <c r="A159" s="21" t="s">
        <v>102</v>
      </c>
      <c r="B159" s="23">
        <v>41470</v>
      </c>
      <c r="C159" s="21">
        <v>1</v>
      </c>
      <c r="D159" s="21">
        <v>31.6</v>
      </c>
      <c r="E159" s="21">
        <v>3.58</v>
      </c>
      <c r="F159" s="21">
        <v>91</v>
      </c>
      <c r="G159" s="21"/>
    </row>
    <row r="160" spans="1:7" x14ac:dyDescent="0.25">
      <c r="A160" s="21" t="s">
        <v>102</v>
      </c>
      <c r="B160" s="23">
        <v>41470</v>
      </c>
      <c r="C160" s="21">
        <v>2</v>
      </c>
      <c r="D160" s="21">
        <v>9.1</v>
      </c>
      <c r="E160" s="21">
        <v>1.67</v>
      </c>
      <c r="F160" s="21">
        <v>87</v>
      </c>
      <c r="G160" s="21"/>
    </row>
    <row r="161" spans="1:7" x14ac:dyDescent="0.25">
      <c r="A161" s="21" t="s">
        <v>102</v>
      </c>
      <c r="B161" s="23">
        <v>41470</v>
      </c>
      <c r="C161" s="21">
        <v>3</v>
      </c>
      <c r="D161" s="21">
        <v>32.799999999999997</v>
      </c>
      <c r="E161" s="21">
        <v>2.61</v>
      </c>
      <c r="F161" s="21">
        <v>87</v>
      </c>
      <c r="G161" s="21"/>
    </row>
    <row r="162" spans="1:7" x14ac:dyDescent="0.25">
      <c r="A162" s="21" t="s">
        <v>102</v>
      </c>
      <c r="B162" s="23">
        <v>41470</v>
      </c>
      <c r="C162" s="21">
        <v>4</v>
      </c>
      <c r="D162" s="21">
        <v>23.9</v>
      </c>
      <c r="E162" s="21">
        <v>2.33</v>
      </c>
      <c r="F162" s="21">
        <v>86</v>
      </c>
      <c r="G162" s="21"/>
    </row>
    <row r="163" spans="1:7" x14ac:dyDescent="0.25">
      <c r="A163" s="21" t="s">
        <v>102</v>
      </c>
      <c r="B163" s="23">
        <v>41470</v>
      </c>
      <c r="C163" s="21">
        <v>5</v>
      </c>
      <c r="D163" s="21">
        <v>29</v>
      </c>
      <c r="E163" s="21">
        <v>1.46</v>
      </c>
      <c r="F163" s="21">
        <v>82</v>
      </c>
      <c r="G163" s="21"/>
    </row>
    <row r="164" spans="1:7" x14ac:dyDescent="0.25">
      <c r="A164" s="21" t="s">
        <v>102</v>
      </c>
      <c r="B164" s="23">
        <v>41470</v>
      </c>
      <c r="C164" s="21">
        <v>6</v>
      </c>
      <c r="D164" s="21">
        <v>41.6</v>
      </c>
      <c r="E164" s="21">
        <v>2.88</v>
      </c>
      <c r="F164" s="21">
        <v>82</v>
      </c>
      <c r="G164" s="21"/>
    </row>
    <row r="165" spans="1:7" x14ac:dyDescent="0.25">
      <c r="A165" s="21" t="s">
        <v>102</v>
      </c>
      <c r="B165" s="23">
        <v>41470</v>
      </c>
      <c r="C165" s="21">
        <v>7</v>
      </c>
      <c r="D165" s="21">
        <v>11.3</v>
      </c>
      <c r="E165" s="21">
        <v>2.72</v>
      </c>
      <c r="F165" s="21">
        <v>87</v>
      </c>
      <c r="G165" s="21"/>
    </row>
    <row r="166" spans="1:7" x14ac:dyDescent="0.25">
      <c r="A166" s="21" t="s">
        <v>102</v>
      </c>
      <c r="B166" s="23">
        <v>41470</v>
      </c>
      <c r="C166" s="21">
        <v>8</v>
      </c>
      <c r="D166" s="21">
        <v>4.7</v>
      </c>
      <c r="E166" s="21">
        <v>2.4700000000000002</v>
      </c>
      <c r="F166" s="21">
        <v>90</v>
      </c>
      <c r="G166" s="21"/>
    </row>
    <row r="167" spans="1:7" x14ac:dyDescent="0.25">
      <c r="A167" s="21" t="s">
        <v>102</v>
      </c>
      <c r="B167" s="23">
        <v>41470</v>
      </c>
      <c r="C167" s="21">
        <v>9</v>
      </c>
      <c r="D167" s="21">
        <v>10.199999999999999</v>
      </c>
      <c r="E167" s="21">
        <v>2.63</v>
      </c>
      <c r="F167" s="21">
        <v>94</v>
      </c>
      <c r="G167" s="21"/>
    </row>
    <row r="168" spans="1:7" x14ac:dyDescent="0.25">
      <c r="A168" s="21" t="s">
        <v>102</v>
      </c>
      <c r="B168" s="23">
        <v>41470</v>
      </c>
      <c r="C168" s="21">
        <v>10</v>
      </c>
      <c r="D168" s="21">
        <v>16.7</v>
      </c>
      <c r="E168" s="21">
        <v>3</v>
      </c>
      <c r="F168" s="21">
        <v>94</v>
      </c>
      <c r="G168" s="21"/>
    </row>
    <row r="169" spans="1:7" x14ac:dyDescent="0.25">
      <c r="A169" s="21" t="s">
        <v>102</v>
      </c>
      <c r="B169" s="23">
        <v>41470</v>
      </c>
      <c r="C169" s="21">
        <v>11</v>
      </c>
      <c r="D169" s="21">
        <v>33.299999999999997</v>
      </c>
      <c r="E169" s="21">
        <v>2.36</v>
      </c>
      <c r="F169" s="21">
        <v>85</v>
      </c>
      <c r="G169" s="21"/>
    </row>
    <row r="170" spans="1:7" x14ac:dyDescent="0.25">
      <c r="A170" s="21" t="s">
        <v>102</v>
      </c>
      <c r="B170" s="23">
        <v>41470</v>
      </c>
      <c r="C170" s="21">
        <v>12</v>
      </c>
      <c r="D170" s="21">
        <v>11.9</v>
      </c>
      <c r="E170" s="21">
        <v>2.85</v>
      </c>
      <c r="F170" s="22">
        <v>86</v>
      </c>
      <c r="G170" s="21"/>
    </row>
    <row r="171" spans="1:7" x14ac:dyDescent="0.25">
      <c r="A171" s="21" t="s">
        <v>102</v>
      </c>
      <c r="B171" s="23">
        <v>41113</v>
      </c>
      <c r="C171" s="21">
        <v>1</v>
      </c>
      <c r="D171" s="21">
        <v>2.9</v>
      </c>
      <c r="E171" s="21">
        <v>2.69</v>
      </c>
      <c r="F171" s="21">
        <v>92</v>
      </c>
      <c r="G171" s="21"/>
    </row>
    <row r="172" spans="1:7" x14ac:dyDescent="0.25">
      <c r="A172" s="21" t="s">
        <v>102</v>
      </c>
      <c r="B172" s="23">
        <v>41113</v>
      </c>
      <c r="C172" s="21">
        <v>2</v>
      </c>
      <c r="D172" s="21">
        <v>4.8</v>
      </c>
      <c r="E172" s="21">
        <v>2.42</v>
      </c>
      <c r="F172" s="21">
        <v>83</v>
      </c>
      <c r="G172" s="21"/>
    </row>
    <row r="173" spans="1:7" x14ac:dyDescent="0.25">
      <c r="A173" s="21" t="s">
        <v>102</v>
      </c>
      <c r="B173" s="23">
        <v>41113</v>
      </c>
      <c r="C173" s="21">
        <v>3</v>
      </c>
      <c r="D173" s="21">
        <v>5.6</v>
      </c>
      <c r="E173" s="21">
        <v>1.65</v>
      </c>
      <c r="F173" s="21">
        <v>85</v>
      </c>
      <c r="G173" s="21"/>
    </row>
    <row r="174" spans="1:7" x14ac:dyDescent="0.25">
      <c r="A174" s="21" t="s">
        <v>102</v>
      </c>
      <c r="B174" s="23">
        <v>41113</v>
      </c>
      <c r="C174" s="21">
        <v>4</v>
      </c>
      <c r="D174" s="21">
        <v>5.4</v>
      </c>
      <c r="E174" s="21">
        <v>1.96</v>
      </c>
      <c r="F174" s="21">
        <v>84</v>
      </c>
      <c r="G174" s="21"/>
    </row>
    <row r="175" spans="1:7" x14ac:dyDescent="0.25">
      <c r="A175" s="21" t="s">
        <v>102</v>
      </c>
      <c r="B175" s="23">
        <v>41113</v>
      </c>
      <c r="C175" s="21">
        <v>5</v>
      </c>
      <c r="D175" s="21">
        <v>3.6</v>
      </c>
      <c r="E175" s="21">
        <v>1.58</v>
      </c>
      <c r="F175" s="21">
        <v>81</v>
      </c>
      <c r="G175" s="21"/>
    </row>
    <row r="176" spans="1:7" x14ac:dyDescent="0.25">
      <c r="A176" s="21" t="s">
        <v>102</v>
      </c>
      <c r="B176" s="23">
        <v>41113</v>
      </c>
      <c r="C176" s="21">
        <v>6</v>
      </c>
      <c r="D176" s="21">
        <v>8.1999999999999993</v>
      </c>
      <c r="E176" s="21">
        <v>2.02</v>
      </c>
      <c r="F176" s="21">
        <v>84</v>
      </c>
      <c r="G176" s="21"/>
    </row>
    <row r="177" spans="1:7" x14ac:dyDescent="0.25">
      <c r="A177" s="21" t="s">
        <v>102</v>
      </c>
      <c r="B177" s="23">
        <v>41113</v>
      </c>
      <c r="C177" s="21">
        <v>7</v>
      </c>
      <c r="D177" s="21">
        <v>4.8</v>
      </c>
      <c r="E177" s="21">
        <v>2.4700000000000002</v>
      </c>
      <c r="F177" s="21">
        <v>90</v>
      </c>
      <c r="G177" s="21"/>
    </row>
    <row r="178" spans="1:7" x14ac:dyDescent="0.25">
      <c r="A178" s="21" t="s">
        <v>102</v>
      </c>
      <c r="B178" s="23">
        <v>41113</v>
      </c>
      <c r="C178" s="21">
        <v>8</v>
      </c>
      <c r="D178" s="21">
        <v>5.6</v>
      </c>
      <c r="E178" s="21">
        <v>2.35</v>
      </c>
      <c r="F178" s="21">
        <v>85</v>
      </c>
      <c r="G178" s="21"/>
    </row>
    <row r="179" spans="1:7" x14ac:dyDescent="0.25">
      <c r="A179" s="21" t="s">
        <v>102</v>
      </c>
      <c r="B179" s="23">
        <v>41113</v>
      </c>
      <c r="C179" s="21">
        <v>9</v>
      </c>
      <c r="D179" s="21">
        <v>4.5</v>
      </c>
      <c r="E179" s="21">
        <v>2.92</v>
      </c>
      <c r="F179" s="21">
        <v>93</v>
      </c>
      <c r="G179" s="21"/>
    </row>
    <row r="180" spans="1:7" x14ac:dyDescent="0.25">
      <c r="A180" s="21" t="s">
        <v>102</v>
      </c>
      <c r="B180" s="23">
        <v>41113</v>
      </c>
      <c r="C180" s="21">
        <v>10</v>
      </c>
      <c r="D180" s="21">
        <v>5.2</v>
      </c>
      <c r="E180" s="21">
        <v>2.81</v>
      </c>
      <c r="F180" s="21">
        <v>91</v>
      </c>
      <c r="G180" s="21"/>
    </row>
    <row r="181" spans="1:7" x14ac:dyDescent="0.25">
      <c r="A181" s="21" t="s">
        <v>102</v>
      </c>
      <c r="B181" s="23">
        <v>41113</v>
      </c>
      <c r="C181" s="21">
        <v>11</v>
      </c>
      <c r="D181" s="21">
        <v>3.8</v>
      </c>
      <c r="E181" s="21">
        <v>1.79</v>
      </c>
      <c r="F181" s="21">
        <v>89</v>
      </c>
      <c r="G181" s="21"/>
    </row>
    <row r="182" spans="1:7" x14ac:dyDescent="0.25">
      <c r="A182" s="21" t="s">
        <v>102</v>
      </c>
      <c r="B182" s="23">
        <v>41113</v>
      </c>
      <c r="C182" s="21">
        <v>12</v>
      </c>
      <c r="D182" s="21">
        <v>5.7</v>
      </c>
      <c r="E182" s="21">
        <v>2.41</v>
      </c>
      <c r="F182" s="22">
        <v>87</v>
      </c>
      <c r="G182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DH130"/>
  <sheetViews>
    <sheetView tabSelected="1" workbookViewId="0">
      <pane xSplit="3" ySplit="5" topLeftCell="D26" activePane="bottomRight" state="frozen"/>
      <selection pane="topRight" activeCell="D1" sqref="D1"/>
      <selection pane="bottomLeft" activeCell="A5" sqref="A5"/>
      <selection pane="bottomRight" activeCell="BF45" sqref="BF45"/>
    </sheetView>
  </sheetViews>
  <sheetFormatPr defaultRowHeight="15" x14ac:dyDescent="0.25"/>
  <cols>
    <col min="1" max="2" width="9.140625" style="7"/>
    <col min="3" max="3" width="11.85546875" style="7" customWidth="1"/>
    <col min="4" max="15" width="9.140625" style="7"/>
    <col min="19" max="21" width="9.140625" style="7"/>
    <col min="22" max="22" width="13.140625" style="7" customWidth="1"/>
    <col min="23" max="23" width="14.42578125" style="7" customWidth="1"/>
    <col min="24" max="24" width="14.28515625" style="7" customWidth="1"/>
    <col min="25" max="26" width="13.140625" style="7" customWidth="1"/>
    <col min="27" max="27" width="10.5703125" style="7" customWidth="1"/>
    <col min="28" max="29" width="9.140625" style="9"/>
    <col min="32" max="32" width="12" customWidth="1"/>
    <col min="47" max="47" width="18" customWidth="1"/>
    <col min="48" max="48" width="14.28515625" customWidth="1"/>
    <col min="49" max="49" width="15" customWidth="1"/>
    <col min="50" max="51" width="15.5703125" customWidth="1"/>
    <col min="52" max="52" width="14.5703125" customWidth="1"/>
    <col min="60" max="60" width="12.5703125" customWidth="1"/>
    <col min="61" max="61" width="6.7109375" customWidth="1"/>
    <col min="62" max="62" width="18.140625" customWidth="1"/>
    <col min="63" max="63" width="14.5703125" customWidth="1"/>
    <col min="64" max="64" width="15.5703125" customWidth="1"/>
    <col min="65" max="65" width="14.5703125" customWidth="1"/>
    <col min="66" max="67" width="13.5703125" customWidth="1"/>
    <col min="68" max="77" width="15.5703125" customWidth="1"/>
    <col min="78" max="83" width="25.28515625" customWidth="1"/>
    <col min="84" max="95" width="25.28515625" bestFit="1" customWidth="1"/>
    <col min="96" max="99" width="25.28515625" customWidth="1"/>
    <col min="100" max="105" width="25.28515625" bestFit="1" customWidth="1"/>
  </cols>
  <sheetData>
    <row r="1" spans="1:112" x14ac:dyDescent="0.25">
      <c r="AB1" s="7" t="s">
        <v>251</v>
      </c>
      <c r="AC1" s="7"/>
      <c r="AD1" s="7"/>
      <c r="AJ1" t="e">
        <f>IF(AG6="","",EXP(5.3396738+0.1845038*clay-2.48394546*porosity-0.00213853*clay^2-0.04356349*sand*porosity-0.61745089*clay*porosity+0.00143598*sand^2*porosity^2-0.00855375*clay^2*porosity^2-0.00001282*sand^2*clay+0.00895359*clay^2*porosity-0.00072472*sand^2*porosity+0.0000054*clay^2*sand+0.5002806*porosity^2*clay))</f>
        <v>#VALUE!</v>
      </c>
      <c r="AQ1" t="s">
        <v>221</v>
      </c>
    </row>
    <row r="2" spans="1:112" x14ac:dyDescent="0.25">
      <c r="W2" s="7" t="s">
        <v>252</v>
      </c>
      <c r="AB2" s="7"/>
      <c r="AC2" s="7"/>
      <c r="AD2" s="7"/>
      <c r="AP2" t="s">
        <v>114</v>
      </c>
      <c r="AQ2" t="s">
        <v>113</v>
      </c>
      <c r="AT2" t="s">
        <v>115</v>
      </c>
      <c r="AU2" t="s">
        <v>222</v>
      </c>
    </row>
    <row r="3" spans="1:112" x14ac:dyDescent="0.25">
      <c r="Y3" s="7" t="s">
        <v>254</v>
      </c>
      <c r="Z3" s="7">
        <f>10^-1*25/6*2.54*12*0.892</f>
        <v>11.3284</v>
      </c>
      <c r="AA3" s="7" t="s">
        <v>253</v>
      </c>
      <c r="AB3" s="7"/>
      <c r="AC3" s="7"/>
      <c r="AD3" s="7"/>
    </row>
    <row r="4" spans="1:112" ht="15.75" x14ac:dyDescent="0.25">
      <c r="D4" s="49"/>
      <c r="E4" s="49" t="s">
        <v>47</v>
      </c>
      <c r="F4" s="49"/>
      <c r="G4" s="54" t="s">
        <v>48</v>
      </c>
      <c r="H4" s="54"/>
      <c r="I4" s="54" t="s">
        <v>47</v>
      </c>
      <c r="J4" s="54"/>
      <c r="K4" s="19"/>
      <c r="L4" s="19"/>
      <c r="U4" s="55" t="s">
        <v>49</v>
      </c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I4" s="56" t="s">
        <v>220</v>
      </c>
      <c r="AJ4" s="56"/>
      <c r="AK4" s="56"/>
      <c r="AL4" s="56"/>
      <c r="AM4" s="56"/>
      <c r="AN4" s="56"/>
      <c r="AO4" s="56"/>
      <c r="AP4" s="56"/>
      <c r="AQ4" s="10" t="s">
        <v>116</v>
      </c>
      <c r="AR4" s="10"/>
      <c r="AS4" s="10"/>
      <c r="AU4" s="10" t="s">
        <v>117</v>
      </c>
      <c r="AV4" s="10"/>
      <c r="AW4" s="10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</row>
    <row r="5" spans="1:112" x14ac:dyDescent="0.25">
      <c r="A5" s="7" t="s">
        <v>20</v>
      </c>
      <c r="B5" s="7" t="s">
        <v>21</v>
      </c>
      <c r="C5" s="7" t="s">
        <v>22</v>
      </c>
      <c r="D5" s="7" t="s">
        <v>44</v>
      </c>
      <c r="E5" s="7" t="s">
        <v>45</v>
      </c>
      <c r="F5" s="7" t="s">
        <v>46</v>
      </c>
      <c r="G5" s="7" t="s">
        <v>91</v>
      </c>
      <c r="H5" s="7" t="s">
        <v>92</v>
      </c>
      <c r="I5" s="7" t="s">
        <v>93</v>
      </c>
      <c r="J5" s="7" t="s">
        <v>94</v>
      </c>
      <c r="K5" s="20" t="s">
        <v>89</v>
      </c>
      <c r="L5" s="20" t="s">
        <v>90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33</v>
      </c>
      <c r="R5" s="7" t="s">
        <v>33</v>
      </c>
      <c r="S5" s="7" t="s">
        <v>199</v>
      </c>
      <c r="T5" s="7" t="s">
        <v>200</v>
      </c>
      <c r="U5" s="7" t="s">
        <v>38</v>
      </c>
      <c r="V5" s="7" t="s">
        <v>39</v>
      </c>
      <c r="W5" s="7" t="s">
        <v>248</v>
      </c>
      <c r="X5" s="7" t="s">
        <v>250</v>
      </c>
      <c r="Y5" s="7" t="s">
        <v>249</v>
      </c>
      <c r="Z5" s="7" t="s">
        <v>257</v>
      </c>
      <c r="AA5" s="7" t="s">
        <v>255</v>
      </c>
      <c r="AB5" s="7" t="s">
        <v>256</v>
      </c>
      <c r="AC5" s="13" t="s">
        <v>258</v>
      </c>
      <c r="AD5" s="12" t="s">
        <v>40</v>
      </c>
      <c r="AE5" t="s">
        <v>41</v>
      </c>
      <c r="AF5" t="s">
        <v>42</v>
      </c>
      <c r="AG5" s="13" t="s">
        <v>43</v>
      </c>
      <c r="AH5" s="12" t="s">
        <v>50</v>
      </c>
      <c r="AI5" t="s">
        <v>51</v>
      </c>
      <c r="AJ5" t="s">
        <v>52</v>
      </c>
      <c r="AK5" t="s">
        <v>53</v>
      </c>
      <c r="AL5" s="12" t="s">
        <v>54</v>
      </c>
      <c r="AM5" s="12" t="s">
        <v>112</v>
      </c>
      <c r="AN5" s="14" t="s">
        <v>55</v>
      </c>
      <c r="AO5" s="15" t="s">
        <v>56</v>
      </c>
      <c r="AP5" s="15" t="s">
        <v>57</v>
      </c>
      <c r="AQ5" t="s">
        <v>63</v>
      </c>
      <c r="AR5" t="s">
        <v>64</v>
      </c>
      <c r="AS5" t="s">
        <v>65</v>
      </c>
      <c r="AT5" t="s">
        <v>66</v>
      </c>
      <c r="AU5" t="s">
        <v>67</v>
      </c>
      <c r="AV5" t="s">
        <v>68</v>
      </c>
      <c r="AW5" t="s">
        <v>69</v>
      </c>
      <c r="AX5" t="s">
        <v>68</v>
      </c>
      <c r="AY5" t="s">
        <v>201</v>
      </c>
      <c r="AZ5" t="s">
        <v>70</v>
      </c>
      <c r="BA5" t="s">
        <v>71</v>
      </c>
      <c r="BB5" t="s">
        <v>72</v>
      </c>
      <c r="BC5" t="s">
        <v>73</v>
      </c>
      <c r="BD5" t="s">
        <v>202</v>
      </c>
      <c r="BH5" s="2" t="s">
        <v>22</v>
      </c>
      <c r="BI5" s="2" t="s">
        <v>21</v>
      </c>
      <c r="BJ5" t="s">
        <v>119</v>
      </c>
      <c r="BK5" t="s">
        <v>118</v>
      </c>
      <c r="BL5" t="s">
        <v>259</v>
      </c>
      <c r="DB5" s="3"/>
      <c r="DC5" s="3"/>
      <c r="DD5" s="3"/>
      <c r="DE5" s="3"/>
      <c r="DF5" s="3"/>
      <c r="DG5" s="3"/>
      <c r="DH5" s="3"/>
    </row>
    <row r="6" spans="1:112" x14ac:dyDescent="0.25">
      <c r="A6" s="7" t="s">
        <v>23</v>
      </c>
      <c r="B6" s="7">
        <v>1</v>
      </c>
      <c r="C6" s="7">
        <v>1</v>
      </c>
      <c r="D6" s="7">
        <v>10.254272948240613</v>
      </c>
      <c r="E6" s="7">
        <v>61.893377552967031</v>
      </c>
      <c r="F6" s="7">
        <v>27.852349498792336</v>
      </c>
      <c r="G6" s="50">
        <v>0.12806999999999999</v>
      </c>
      <c r="H6" s="50">
        <v>1.4994000000000001</v>
      </c>
      <c r="I6" s="7">
        <v>0.110295</v>
      </c>
      <c r="J6" s="7">
        <v>1.24268</v>
      </c>
      <c r="K6" s="5">
        <f>IF(OR(H6="",J6=""),"",H6-J6)</f>
        <v>0.25672000000000006</v>
      </c>
      <c r="L6" s="5">
        <f>IF(OR(G6="",I6=""),"",G6-I6)</f>
        <v>1.7774999999999985E-2</v>
      </c>
      <c r="M6" s="7">
        <v>1.381298223816581</v>
      </c>
      <c r="N6" s="7">
        <v>1.3835059053189331</v>
      </c>
      <c r="O6" s="50">
        <v>1.3627505552532382</v>
      </c>
      <c r="P6" s="5">
        <f t="shared" ref="P6:P37" si="0">IF(OR(M6="",N6=""),"",(M6-N6)/AVERAGE(M6:O6))</f>
        <v>-1.6045927948831853E-3</v>
      </c>
      <c r="Q6" s="5">
        <f t="shared" ref="Q6:Q37" si="1">IF(OR(N6="",O6=""),"",(N6-O6)/AVERAGE(M6:O6))</f>
        <v>1.5085457361131444E-2</v>
      </c>
      <c r="R6" s="5">
        <f t="shared" ref="R6:R37" si="2">IF(OR(M6="",O6=""),"",(M6-O6)/AVERAGE(M6:O6))</f>
        <v>1.3480864566248259E-2</v>
      </c>
      <c r="S6" s="7">
        <f t="shared" ref="S6:S16" si="3">AVERAGE(M6:O6)</f>
        <v>1.3758515614629172</v>
      </c>
      <c r="T6" s="50">
        <v>1.19008845525405</v>
      </c>
      <c r="U6" s="50">
        <v>9.8274750080619144E-2</v>
      </c>
      <c r="V6" s="7">
        <v>0.24371931850996242</v>
      </c>
      <c r="W6" s="7">
        <v>0.155</v>
      </c>
      <c r="X6" s="7">
        <v>1.39</v>
      </c>
      <c r="Y6" s="7">
        <v>6.1100000000000002E-2</v>
      </c>
      <c r="Z6" s="7">
        <v>0.13100000000000001</v>
      </c>
      <c r="AA6" s="7">
        <f>$Z$3*S6*(1+U6)*(W6+Y6)</f>
        <v>3.6991839008620993</v>
      </c>
      <c r="AB6" s="7">
        <f>IF(OR(V6="",X6="",Z6=""),"",$Z$3*S6*(1+V6)*(Z6+X6))</f>
        <v>29.484363083320268</v>
      </c>
      <c r="AC6" s="7">
        <f>IF(OR(AA6="",AB6=""),"",AB6-AA6)</f>
        <v>25.785179182458169</v>
      </c>
      <c r="AD6">
        <f t="shared" ref="AD6:AD37" si="4">IF(OR(V6=0,U6=0),"",V6-U6)</f>
        <v>0.14544456842934328</v>
      </c>
      <c r="AE6">
        <f t="shared" ref="AE6:AE37" si="5">IF(OR(S6="",U6=""),"",S6*U6)</f>
        <v>0.13521146835079781</v>
      </c>
      <c r="AF6">
        <f t="shared" ref="AF6:AF37" si="6">IF(OR(V6="",S6=""),"",V6*S6)</f>
        <v>0.33532160493060986</v>
      </c>
      <c r="AG6">
        <f>IF(OR(AE6="",AF6=""),"",AF6-AE6)</f>
        <v>0.20011013657981205</v>
      </c>
      <c r="AH6">
        <f t="shared" ref="AH6:AH37" si="7">IF(S6="","",1-S6/2.65)</f>
        <v>0.48081073152342746</v>
      </c>
      <c r="AI6">
        <f t="shared" ref="AI6:AI37" si="8">IFERROR($AP6+(porosity-$AP6)*($AN6/330)^$AO6,"")</f>
        <v>0.340209814373857</v>
      </c>
      <c r="AJ6">
        <f t="shared" ref="AJ6:AJ37" si="9">IFERROR($AP6+(porosity-$AP6)*($AN6/15000)^$AO6,"")</f>
        <v>0.17779429336770131</v>
      </c>
      <c r="AK6">
        <f t="shared" ref="AK6:AK37" si="10">IF(OR(AI6="",AJ6=""),"",AI6-AJ6)</f>
        <v>0.16241552100615569</v>
      </c>
      <c r="AL6">
        <f t="shared" ref="AL6:AL37" si="11">porosity-AI6</f>
        <v>0.14060091714957046</v>
      </c>
      <c r="AM6">
        <f>1/AO6</f>
        <v>3.6514930624401973</v>
      </c>
      <c r="AN6">
        <f>IF(AH6="","",EXP(5.3396738+0.1845038*$F6-2.48394546*AH6-0.00213853*$F6^2-0.04356349*$D6*AH6-0.61745089*$F6*AH6+0.00143598*$D6^2*AH6^2-0.00855375*$F6^2*AH6^2-0.00001282*$D6^2*$F6+0.00895359*$F6^2*AH6-0.00072472*$D6^2*AH6+0.0000054*$F6^2*$D6+0.5002806*AH6^2*$F6))</f>
        <v>64.862378989257749</v>
      </c>
      <c r="AO6" s="14">
        <f t="shared" ref="AO6:AO65" si="12">IF(porosity="","",EXP(-0.7842831+0.0177544*sand-1.062498*porosity-0.00005304*sand^2-0.00273493*clay^2+1.11134946*porosity^2-0.03088295*sand*porosity+0.00026587*sand^2*porosity^2-0.00610522*clay^2*porosity^2-0.00000235*sand^2*clay+0.00798746*clay^2*porosity-0.00674491*porosity^2*clay))</f>
        <v>0.27386057782394529</v>
      </c>
      <c r="AP6" s="14">
        <f>IF(OR(porosity="",clay=""),"",-0.0182482+0.00087269*sand+0.00513488*clay+0.02939286*porosity-0.00015395*clay^2-0.0010827*sand*porosity-0.00018233*clay^2*porosity^2+0.00030703*clay^2*porosity-0.0023584*porosity^2*clay)</f>
        <v>8.9721307048086257E-2</v>
      </c>
      <c r="AQ6">
        <f t="shared" ref="AQ6:AQ37" si="13">0.2376*S6-0.172</f>
        <v>0.15490233100358913</v>
      </c>
      <c r="AR6">
        <f t="shared" ref="AR6:AR37" si="14">MIN((1-S6/2.65)-0.03,0.1737*S6+0.084)</f>
        <v>0.32298541622610871</v>
      </c>
      <c r="AS6">
        <f t="shared" ref="AS6:AS37" si="15">AH6-AR6</f>
        <v>0.15782531529731875</v>
      </c>
      <c r="AT6">
        <f t="shared" ref="AT6:AT37" si="16">AR6-AQ6</f>
        <v>0.16808308522251958</v>
      </c>
      <c r="AU6">
        <v>4</v>
      </c>
      <c r="AV6">
        <f>CONVERT(AU6,"ft","cm")</f>
        <v>121.92</v>
      </c>
      <c r="AW6">
        <v>4</v>
      </c>
      <c r="AX6">
        <f>CONVERT(AW6,"ft","cm")</f>
        <v>121.92</v>
      </c>
      <c r="AY6">
        <v>58</v>
      </c>
      <c r="AZ6">
        <f t="shared" ref="AZ6:AZ37" si="17">IF($C6=1,$AV6*IF($AU6=2,AVERAGE($AK6:$AK7),IF($AU6=3,AVERAGE($AK6:$AK8),IF($AU6=4,AVERAGE($AK6:$AK9),AVERAGE($AK6:$AK10)))),AZ5)</f>
        <v>17.930921611177318</v>
      </c>
      <c r="BA6">
        <f t="shared" ref="BA6:BA37" si="18">IF($C6=1,$AX6*IF($AW6=2,AVERAGE($AK6:$AK7),IF($AW6=3,AVERAGE($AK6:$AK8),IF($AW6=4,AVERAGE($AK6:$AK9),AVERAGE($AK6:$AK10)))),BA5)</f>
        <v>17.930921611177318</v>
      </c>
      <c r="BB6">
        <f t="shared" ref="BB6:BB37" si="19">IF($C6=1,$AV6*IF($AU6=2,AVERAGE($AT6:$AT7),IF($AU6=3,AVERAGE($AT6:$AT8),IF($AU6=4,AVERAGE($AT6:$AT9),AVERAGE($AT6:$AT10)))),BB5)</f>
        <v>16.881551731854916</v>
      </c>
      <c r="BC6">
        <f t="shared" ref="BC6:BC37" si="20">IF($C6=1,$AX6*IF($AW6=2,AVERAGE($AT6:$AT7),IF($AW6=3,AVERAGE($AT6:$AT8),IF($AW6=4,AVERAGE($AT6:$AT9),AVERAGE($AT6:$AT10)))),BC5)</f>
        <v>16.881551731854916</v>
      </c>
      <c r="BD6">
        <f t="shared" ref="BD6:BD37" si="21">IF(AY6="","",IF(C6=1,AY6*IF(AY6&lt;60,AVERAGE(AK6:AK7),IF(AY6&lt;92,AVERAGE(AK6:AK8),IF(AY6&lt;122,AVERAGE(AK6:AK9),AVERAGE(AK6:AK10)))),BD5))</f>
        <v>9.3388650722547428</v>
      </c>
      <c r="BH6">
        <v>1</v>
      </c>
      <c r="BI6">
        <v>1</v>
      </c>
      <c r="BJ6" s="5">
        <v>1.24268</v>
      </c>
      <c r="BK6" s="5">
        <v>27.852349498792336</v>
      </c>
      <c r="BL6" s="5">
        <v>0.16241552100615569</v>
      </c>
      <c r="BP6" s="5"/>
      <c r="BQ6" s="5"/>
      <c r="DB6" s="5"/>
      <c r="DC6" s="5"/>
      <c r="DD6" s="5"/>
      <c r="DE6" s="5"/>
      <c r="DF6" s="5"/>
      <c r="DG6" s="5"/>
      <c r="DH6" s="5"/>
    </row>
    <row r="7" spans="1:112" x14ac:dyDescent="0.25">
      <c r="A7" s="7" t="s">
        <v>23</v>
      </c>
      <c r="B7" s="7">
        <v>1</v>
      </c>
      <c r="C7" s="7">
        <v>2</v>
      </c>
      <c r="D7" s="7">
        <v>10.9159309891707</v>
      </c>
      <c r="E7" s="7">
        <v>65.102038774401194</v>
      </c>
      <c r="F7" s="7">
        <v>23.982030236428201</v>
      </c>
      <c r="G7" s="50">
        <v>4.5319999999999999E-2</v>
      </c>
      <c r="H7" s="50">
        <v>0.29165999999999997</v>
      </c>
      <c r="I7" s="7">
        <v>5.7529999999999998E-2</v>
      </c>
      <c r="J7" s="7">
        <v>0.45929999999999999</v>
      </c>
      <c r="K7" s="5">
        <f t="shared" ref="K7:K65" si="22">IF(OR(H7="",J7=""),"",H7-J7)</f>
        <v>-0.16764000000000001</v>
      </c>
      <c r="L7" s="5">
        <f t="shared" ref="L7:L65" si="23">IF(OR(G7="",I7=""),"",G7-I7)</f>
        <v>-1.2209999999999999E-2</v>
      </c>
      <c r="M7" s="7">
        <v>1.4052928997070226</v>
      </c>
      <c r="N7" s="7">
        <v>1.4412031252895836</v>
      </c>
      <c r="O7" s="50">
        <v>1.4964494402319444</v>
      </c>
      <c r="P7" s="5">
        <f t="shared" si="0"/>
        <v>-2.4805901342814459E-2</v>
      </c>
      <c r="Q7" s="5">
        <f t="shared" si="1"/>
        <v>-3.8162796690416223E-2</v>
      </c>
      <c r="R7" s="5">
        <f t="shared" si="2"/>
        <v>-6.2968698033230686E-2</v>
      </c>
      <c r="S7" s="7">
        <f t="shared" si="3"/>
        <v>1.4476484884095171</v>
      </c>
      <c r="T7" s="50">
        <v>1.4458416068614428</v>
      </c>
      <c r="U7" s="50">
        <v>0.12633996937212852</v>
      </c>
      <c r="V7" s="7">
        <v>0.23972892842016111</v>
      </c>
      <c r="W7" s="7">
        <v>0.12140000000000001</v>
      </c>
      <c r="X7" s="7">
        <v>0.90500000000000003</v>
      </c>
      <c r="Y7" s="7">
        <v>9.5250000000000001E-2</v>
      </c>
      <c r="Z7" s="7">
        <v>2.64E-2</v>
      </c>
      <c r="AA7" s="7">
        <f t="shared" ref="AA7:AA56" si="24">$Z$3*S7*(1+U7)*(W7+Y7)</f>
        <v>4.0018415188948193</v>
      </c>
      <c r="AB7" s="7">
        <f t="shared" ref="AB7:AB65" si="25">IF(OR(V7="",X7="",Z7=""),"",$Z$3*S7*(1+V7)*(Z7+X7))</f>
        <v>18.936279949873892</v>
      </c>
      <c r="AC7" s="7">
        <f t="shared" ref="AC7:AC65" si="26">IF(OR(AA7="",AB7=""),"",AB7-AA7)</f>
        <v>14.934438430979073</v>
      </c>
      <c r="AD7">
        <f t="shared" si="4"/>
        <v>0.11338895904803259</v>
      </c>
      <c r="AE7">
        <f t="shared" si="5"/>
        <v>0.18289586568726654</v>
      </c>
      <c r="AF7">
        <f t="shared" si="6"/>
        <v>0.34704322085547956</v>
      </c>
      <c r="AG7">
        <f t="shared" ref="AG7:AG65" si="27">IF(OR(AE7="",AF7=""),"",AF7-AE7)</f>
        <v>0.16414735516821302</v>
      </c>
      <c r="AH7">
        <f t="shared" si="7"/>
        <v>0.4537175515435784</v>
      </c>
      <c r="AI7">
        <f t="shared" si="8"/>
        <v>0.32051647904798919</v>
      </c>
      <c r="AJ7">
        <f t="shared" si="9"/>
        <v>0.16090216997639514</v>
      </c>
      <c r="AK7">
        <f t="shared" si="10"/>
        <v>0.15961430907159405</v>
      </c>
      <c r="AL7">
        <f t="shared" si="11"/>
        <v>0.13320107249558921</v>
      </c>
      <c r="AM7">
        <f t="shared" ref="AM7:AM65" si="28">1/AO7</f>
        <v>3.4834198710073885</v>
      </c>
      <c r="AN7">
        <f t="shared" ref="AN7:AN38" si="29">IF(AH7="","",EXP(5.3396738+0.1845038*F7-2.48394546*AH7-0.00213853*F7^2-0.04356349*D7*AH7-0.61745089*F7*AH7+0.00143598*D7^2*AH7^2-0.00855375*F7^2*AH7^2-0.00001282*D7^2*F7+0.00895359*F7^2*AH7-0.00072472*D7^2*AH7+0.0000054*F7^2*D7+0.5002806*AH7^2*F7))</f>
        <v>70.814510336069787</v>
      </c>
      <c r="AO7" s="14">
        <f t="shared" si="12"/>
        <v>0.28707420782749477</v>
      </c>
      <c r="AP7" s="14">
        <f t="shared" ref="AP7:AP65" si="30">IF(OR(porosity="",clay=""),"",-0.0182482+0.00087269*sand+0.00513488*clay+0.02939286*porosity-0.00015395*clay^2-0.0010827*sand*porosity-0.00018233*clay^2*porosity^2+0.00030703*clay^2*porosity-0.0023584*porosity^2*clay)</f>
        <v>8.0742934165296348E-2</v>
      </c>
      <c r="AQ7">
        <f t="shared" si="13"/>
        <v>0.17196128084610129</v>
      </c>
      <c r="AR7">
        <f t="shared" si="14"/>
        <v>0.33545654243673312</v>
      </c>
      <c r="AS7">
        <f t="shared" si="15"/>
        <v>0.11826100910684528</v>
      </c>
      <c r="AT7">
        <f t="shared" si="16"/>
        <v>0.16349526159063182</v>
      </c>
      <c r="AU7">
        <v>4</v>
      </c>
      <c r="AV7">
        <f t="shared" ref="AV7:AV65" si="31">CONVERT(AU7,"ft","cm")</f>
        <v>121.92</v>
      </c>
      <c r="AW7">
        <v>4</v>
      </c>
      <c r="AX7">
        <f t="shared" ref="AX7:AX65" si="32">CONVERT(AW7,"ft","cm")</f>
        <v>121.92</v>
      </c>
      <c r="AY7">
        <v>58</v>
      </c>
      <c r="AZ7">
        <f t="shared" si="17"/>
        <v>17.930921611177318</v>
      </c>
      <c r="BA7">
        <f t="shared" si="18"/>
        <v>17.930921611177318</v>
      </c>
      <c r="BB7">
        <f t="shared" si="19"/>
        <v>16.881551731854916</v>
      </c>
      <c r="BC7">
        <f t="shared" si="20"/>
        <v>16.881551731854916</v>
      </c>
      <c r="BD7">
        <f t="shared" si="21"/>
        <v>9.3388650722547428</v>
      </c>
      <c r="BH7">
        <v>1</v>
      </c>
      <c r="BI7">
        <v>2</v>
      </c>
      <c r="BJ7" s="5">
        <v>1.1755966666666666</v>
      </c>
      <c r="BK7" s="5">
        <v>30.192486556755735</v>
      </c>
      <c r="BL7" s="5">
        <v>0.1533025565511999</v>
      </c>
      <c r="BP7" s="5"/>
      <c r="BQ7" s="5"/>
      <c r="DB7" s="5"/>
      <c r="DC7" s="5"/>
      <c r="DD7" s="5"/>
      <c r="DE7" s="5"/>
      <c r="DF7" s="5"/>
      <c r="DG7" s="5"/>
      <c r="DH7" s="5"/>
    </row>
    <row r="8" spans="1:112" x14ac:dyDescent="0.25">
      <c r="A8" s="7" t="s">
        <v>23</v>
      </c>
      <c r="B8" s="7">
        <v>1</v>
      </c>
      <c r="C8" s="7">
        <v>3</v>
      </c>
      <c r="D8" s="7">
        <v>10.0636400526539</v>
      </c>
      <c r="E8" s="7">
        <v>61.759553430922502</v>
      </c>
      <c r="F8" s="7">
        <v>28.1768065164235</v>
      </c>
      <c r="G8" s="50"/>
      <c r="H8" s="50"/>
      <c r="I8" s="7">
        <v>5.2380000000000003E-2</v>
      </c>
      <c r="J8" s="7">
        <v>0.39022000000000001</v>
      </c>
      <c r="K8" s="5" t="str">
        <f t="shared" si="22"/>
        <v/>
      </c>
      <c r="L8" s="5" t="str">
        <f t="shared" si="23"/>
        <v/>
      </c>
      <c r="M8" s="7">
        <v>1.6038442680504474</v>
      </c>
      <c r="N8" s="7">
        <v>1.7176478704917426</v>
      </c>
      <c r="O8" s="50">
        <v>1.6792625158312136</v>
      </c>
      <c r="P8" s="5">
        <f t="shared" si="0"/>
        <v>-6.8271857133663835E-2</v>
      </c>
      <c r="Q8" s="5">
        <f t="shared" si="1"/>
        <v>2.302773719979995E-2</v>
      </c>
      <c r="R8" s="5">
        <f t="shared" si="2"/>
        <v>-4.5244119933863888E-2</v>
      </c>
      <c r="S8" s="7">
        <f t="shared" si="3"/>
        <v>1.6669182181244679</v>
      </c>
      <c r="T8" s="50">
        <v>1.5374162243325882</v>
      </c>
      <c r="U8" s="50">
        <v>0.14402743379691343</v>
      </c>
      <c r="V8" s="7">
        <v>0.22822556834957178</v>
      </c>
      <c r="W8" s="7">
        <v>7.4499999999999997E-2</v>
      </c>
      <c r="X8" s="7">
        <v>0.315</v>
      </c>
      <c r="Y8" s="7">
        <v>3.6299999999999999E-2</v>
      </c>
      <c r="Z8" s="7">
        <v>0.02</v>
      </c>
      <c r="AA8" s="7">
        <f t="shared" si="24"/>
        <v>2.3936412902169839</v>
      </c>
      <c r="AB8" s="7">
        <f t="shared" si="25"/>
        <v>7.7697278932659053</v>
      </c>
      <c r="AC8" s="7">
        <f t="shared" si="26"/>
        <v>5.3760866030489218</v>
      </c>
      <c r="AD8">
        <f t="shared" si="4"/>
        <v>8.4198134552658344E-2</v>
      </c>
      <c r="AE8">
        <f t="shared" si="5"/>
        <v>0.24008195330579071</v>
      </c>
      <c r="AF8">
        <f t="shared" si="6"/>
        <v>0.38043335772371217</v>
      </c>
      <c r="AG8">
        <f t="shared" si="27"/>
        <v>0.14035140441792146</v>
      </c>
      <c r="AH8">
        <f t="shared" si="7"/>
        <v>0.37097425731152156</v>
      </c>
      <c r="AI8">
        <f t="shared" si="8"/>
        <v>0.31984497077658458</v>
      </c>
      <c r="AJ8">
        <f t="shared" si="9"/>
        <v>0.1815279347861137</v>
      </c>
      <c r="AK8">
        <f t="shared" si="10"/>
        <v>0.13831703599047088</v>
      </c>
      <c r="AL8">
        <f t="shared" si="11"/>
        <v>5.112928653493698E-2</v>
      </c>
      <c r="AM8">
        <f t="shared" si="28"/>
        <v>4.4040883522355632</v>
      </c>
      <c r="AN8">
        <f t="shared" si="29"/>
        <v>140.34357292993926</v>
      </c>
      <c r="AO8" s="14">
        <f t="shared" si="12"/>
        <v>0.2270617480896788</v>
      </c>
      <c r="AP8" s="14">
        <f t="shared" si="30"/>
        <v>8.1216734256638043E-2</v>
      </c>
      <c r="AQ8">
        <f t="shared" si="13"/>
        <v>0.22405976862637361</v>
      </c>
      <c r="AR8">
        <f t="shared" si="14"/>
        <v>0.34097425731152153</v>
      </c>
      <c r="AS8">
        <f t="shared" si="15"/>
        <v>3.0000000000000027E-2</v>
      </c>
      <c r="AT8">
        <f t="shared" si="16"/>
        <v>0.11691448868514792</v>
      </c>
      <c r="AU8">
        <v>4</v>
      </c>
      <c r="AV8">
        <f t="shared" si="31"/>
        <v>121.92</v>
      </c>
      <c r="AW8">
        <v>4</v>
      </c>
      <c r="AX8">
        <f t="shared" si="32"/>
        <v>121.92</v>
      </c>
      <c r="AY8">
        <v>58</v>
      </c>
      <c r="AZ8">
        <f t="shared" si="17"/>
        <v>17.930921611177318</v>
      </c>
      <c r="BA8">
        <f t="shared" si="18"/>
        <v>17.930921611177318</v>
      </c>
      <c r="BB8">
        <f t="shared" si="19"/>
        <v>16.881551731854916</v>
      </c>
      <c r="BC8">
        <f t="shared" si="20"/>
        <v>16.881551731854916</v>
      </c>
      <c r="BD8">
        <f t="shared" si="21"/>
        <v>9.3388650722547428</v>
      </c>
      <c r="BH8">
        <v>1</v>
      </c>
      <c r="BI8">
        <v>3</v>
      </c>
      <c r="BJ8" s="5">
        <v>2.1973333333333334</v>
      </c>
      <c r="BK8" s="5">
        <v>28.931090787251197</v>
      </c>
      <c r="BL8" s="5">
        <v>0.17017123878851415</v>
      </c>
      <c r="BP8" s="5"/>
      <c r="BQ8" s="5"/>
      <c r="DB8" s="5"/>
      <c r="DC8" s="5"/>
      <c r="DD8" s="5"/>
      <c r="DE8" s="5"/>
      <c r="DF8" s="5"/>
      <c r="DG8" s="5"/>
      <c r="DH8" s="5"/>
    </row>
    <row r="9" spans="1:112" x14ac:dyDescent="0.25">
      <c r="A9" s="7" t="s">
        <v>23</v>
      </c>
      <c r="B9" s="7">
        <v>1</v>
      </c>
      <c r="C9" s="7">
        <v>4</v>
      </c>
      <c r="D9" s="7">
        <v>8.5841771630856094</v>
      </c>
      <c r="E9" s="7">
        <v>59.372684613485198</v>
      </c>
      <c r="F9" s="7">
        <v>32.043138223429203</v>
      </c>
      <c r="G9" s="50">
        <v>5.3460000000000001E-2</v>
      </c>
      <c r="H9" s="50">
        <v>0.27750000000000002</v>
      </c>
      <c r="I9" s="7">
        <v>4.6859999999999999E-2</v>
      </c>
      <c r="J9" s="7">
        <v>0.31609999999999999</v>
      </c>
      <c r="K9" s="5">
        <f t="shared" si="22"/>
        <v>-3.8599999999999968E-2</v>
      </c>
      <c r="L9" s="5">
        <f t="shared" si="23"/>
        <v>6.6000000000000017E-3</v>
      </c>
      <c r="M9" s="7">
        <v>1.6517683225397055</v>
      </c>
      <c r="N9" s="7">
        <v>1.5924092784662134</v>
      </c>
      <c r="O9" s="50">
        <v>1.8129254422978036</v>
      </c>
      <c r="P9" s="5">
        <f t="shared" si="0"/>
        <v>3.5213269473770008E-2</v>
      </c>
      <c r="Q9" s="5">
        <f t="shared" si="1"/>
        <v>-0.13081570334437795</v>
      </c>
      <c r="R9" s="5">
        <f t="shared" si="2"/>
        <v>-9.5602433870607934E-2</v>
      </c>
      <c r="S9" s="7">
        <f t="shared" si="3"/>
        <v>1.6857010144345743</v>
      </c>
      <c r="U9" s="50">
        <v>0.13955861717055765</v>
      </c>
      <c r="V9" s="7">
        <v>0.21702838063439064</v>
      </c>
      <c r="W9" s="7">
        <v>0.193</v>
      </c>
      <c r="X9" s="7">
        <v>0.77700000000000002</v>
      </c>
      <c r="Y9" s="7">
        <v>4.7099999999999998E-3</v>
      </c>
      <c r="Z9" s="7">
        <v>1.9400000000000001E-2</v>
      </c>
      <c r="AA9" s="7">
        <f t="shared" si="24"/>
        <v>4.3024361026224049</v>
      </c>
      <c r="AB9" s="7">
        <f t="shared" si="25"/>
        <v>18.508920105726283</v>
      </c>
      <c r="AC9" s="7">
        <f t="shared" si="26"/>
        <v>14.206484003103878</v>
      </c>
      <c r="AD9">
        <f t="shared" si="4"/>
        <v>7.7469763463832997E-2</v>
      </c>
      <c r="AE9">
        <f t="shared" si="5"/>
        <v>0.23525410253749543</v>
      </c>
      <c r="AF9">
        <f t="shared" si="6"/>
        <v>0.36584496139648526</v>
      </c>
      <c r="AG9">
        <f t="shared" si="27"/>
        <v>0.13059085885898983</v>
      </c>
      <c r="AH9">
        <f t="shared" si="7"/>
        <v>0.36388640964733043</v>
      </c>
      <c r="AI9">
        <f t="shared" si="8"/>
        <v>0.33039678630792796</v>
      </c>
      <c r="AJ9">
        <f t="shared" si="9"/>
        <v>0.2024588226131131</v>
      </c>
      <c r="AK9">
        <f t="shared" si="10"/>
        <v>0.12793796369481486</v>
      </c>
      <c r="AL9">
        <f t="shared" si="11"/>
        <v>3.3489623339402474E-2</v>
      </c>
      <c r="AM9">
        <f t="shared" si="28"/>
        <v>5.2443629491714372</v>
      </c>
      <c r="AN9">
        <f t="shared" si="29"/>
        <v>169.59769707485643</v>
      </c>
      <c r="AO9" s="14">
        <f t="shared" si="12"/>
        <v>0.19068092915994517</v>
      </c>
      <c r="AP9" s="14">
        <f t="shared" si="30"/>
        <v>8.2942832348559675E-2</v>
      </c>
      <c r="AQ9">
        <f t="shared" si="13"/>
        <v>0.2285225610296549</v>
      </c>
      <c r="AR9">
        <f t="shared" si="14"/>
        <v>0.33388640964733041</v>
      </c>
      <c r="AS9">
        <f t="shared" si="15"/>
        <v>3.0000000000000027E-2</v>
      </c>
      <c r="AT9">
        <f t="shared" si="16"/>
        <v>0.1053638486176755</v>
      </c>
      <c r="AU9">
        <v>4</v>
      </c>
      <c r="AV9">
        <f t="shared" si="31"/>
        <v>121.92</v>
      </c>
      <c r="AW9">
        <v>4</v>
      </c>
      <c r="AX9">
        <f t="shared" si="32"/>
        <v>121.92</v>
      </c>
      <c r="AY9">
        <v>58</v>
      </c>
      <c r="AZ9">
        <f t="shared" si="17"/>
        <v>17.930921611177318</v>
      </c>
      <c r="BA9">
        <f t="shared" si="18"/>
        <v>17.930921611177318</v>
      </c>
      <c r="BB9">
        <f t="shared" si="19"/>
        <v>16.881551731854916</v>
      </c>
      <c r="BC9">
        <f t="shared" si="20"/>
        <v>16.881551731854916</v>
      </c>
      <c r="BD9">
        <f t="shared" si="21"/>
        <v>9.3388650722547428</v>
      </c>
      <c r="BH9">
        <v>1</v>
      </c>
      <c r="BI9">
        <v>4</v>
      </c>
      <c r="BJ9" s="5">
        <v>1.1751133333333332</v>
      </c>
      <c r="BK9" s="5">
        <v>25.330096022947469</v>
      </c>
      <c r="BL9" s="5">
        <v>0.15979233485598854</v>
      </c>
      <c r="BP9" s="5"/>
      <c r="BQ9" s="5"/>
      <c r="DB9" s="5"/>
      <c r="DC9" s="5"/>
      <c r="DD9" s="5"/>
      <c r="DE9" s="5"/>
      <c r="DF9" s="5"/>
      <c r="DG9" s="5"/>
      <c r="DH9" s="5"/>
    </row>
    <row r="10" spans="1:112" x14ac:dyDescent="0.25">
      <c r="A10" s="7" t="s">
        <v>23</v>
      </c>
      <c r="B10" s="7">
        <v>1</v>
      </c>
      <c r="C10" s="7">
        <v>5</v>
      </c>
      <c r="D10" s="7">
        <v>10.961058089427899</v>
      </c>
      <c r="E10" s="7">
        <v>58.251976287863201</v>
      </c>
      <c r="F10" s="7">
        <v>30.786965622708902</v>
      </c>
      <c r="G10" s="50">
        <v>5.6509999999999998E-2</v>
      </c>
      <c r="H10" s="50">
        <v>0.47032000000000002</v>
      </c>
      <c r="I10" s="7">
        <v>3.8699999999999998E-2</v>
      </c>
      <c r="J10" s="7">
        <v>0.30181000000000002</v>
      </c>
      <c r="K10" s="5">
        <f t="shared" si="22"/>
        <v>0.16850999999999999</v>
      </c>
      <c r="L10" s="5">
        <f t="shared" si="23"/>
        <v>1.7809999999999999E-2</v>
      </c>
      <c r="M10" s="7">
        <v>1.6936159385942571</v>
      </c>
      <c r="N10" s="7">
        <v>1.6080452494322675</v>
      </c>
      <c r="O10" s="50">
        <v>1.7394609178116271</v>
      </c>
      <c r="P10" s="5">
        <f t="shared" si="0"/>
        <v>5.0923596393086613E-2</v>
      </c>
      <c r="Q10" s="5">
        <f t="shared" si="1"/>
        <v>-7.8206200298441386E-2</v>
      </c>
      <c r="R10" s="5">
        <f t="shared" si="2"/>
        <v>-2.7282603905354773E-2</v>
      </c>
      <c r="S10" s="7">
        <f t="shared" si="3"/>
        <v>1.6803740352793837</v>
      </c>
      <c r="U10" s="50">
        <v>0.16103978443493416</v>
      </c>
      <c r="W10" s="7">
        <v>0.318</v>
      </c>
      <c r="Y10" s="7">
        <v>8.3199999999999993E-3</v>
      </c>
      <c r="AA10" s="7">
        <f t="shared" si="24"/>
        <v>7.2121596462006625</v>
      </c>
      <c r="AB10" s="7" t="str">
        <f t="shared" si="25"/>
        <v/>
      </c>
      <c r="AC10" s="7" t="str">
        <f t="shared" si="26"/>
        <v/>
      </c>
      <c r="AD10" t="str">
        <f t="shared" si="4"/>
        <v/>
      </c>
      <c r="AE10">
        <f t="shared" si="5"/>
        <v>0.27060707241145238</v>
      </c>
      <c r="AF10" t="str">
        <f t="shared" si="6"/>
        <v/>
      </c>
      <c r="AG10" t="str">
        <f t="shared" si="27"/>
        <v/>
      </c>
      <c r="AH10">
        <f t="shared" si="7"/>
        <v>0.36589659046060996</v>
      </c>
      <c r="AI10">
        <f t="shared" si="8"/>
        <v>0.32514730095656014</v>
      </c>
      <c r="AJ10">
        <f t="shared" si="9"/>
        <v>0.19438049418677755</v>
      </c>
      <c r="AK10">
        <f t="shared" si="10"/>
        <v>0.13076680676978258</v>
      </c>
      <c r="AL10">
        <f t="shared" si="11"/>
        <v>4.0749289504049824E-2</v>
      </c>
      <c r="AM10">
        <f t="shared" si="28"/>
        <v>4.8986924922898236</v>
      </c>
      <c r="AN10">
        <f t="shared" si="29"/>
        <v>153.79986669326007</v>
      </c>
      <c r="AO10" s="14">
        <f t="shared" si="12"/>
        <v>0.20413610398569115</v>
      </c>
      <c r="AP10" s="14">
        <f t="shared" si="30"/>
        <v>8.3521029885443437E-2</v>
      </c>
      <c r="AQ10">
        <f t="shared" si="13"/>
        <v>0.2272568707823816</v>
      </c>
      <c r="AR10">
        <f t="shared" si="14"/>
        <v>0.33589659046060993</v>
      </c>
      <c r="AS10">
        <f t="shared" si="15"/>
        <v>3.0000000000000027E-2</v>
      </c>
      <c r="AT10">
        <f t="shared" si="16"/>
        <v>0.10863971967822833</v>
      </c>
      <c r="AU10">
        <v>4</v>
      </c>
      <c r="AV10">
        <f t="shared" si="31"/>
        <v>121.92</v>
      </c>
      <c r="AW10">
        <v>4</v>
      </c>
      <c r="AX10">
        <f t="shared" si="32"/>
        <v>121.92</v>
      </c>
      <c r="AY10">
        <v>58</v>
      </c>
      <c r="AZ10">
        <f t="shared" si="17"/>
        <v>17.930921611177318</v>
      </c>
      <c r="BA10">
        <f t="shared" si="18"/>
        <v>17.930921611177318</v>
      </c>
      <c r="BB10">
        <f t="shared" si="19"/>
        <v>16.881551731854916</v>
      </c>
      <c r="BC10">
        <f t="shared" si="20"/>
        <v>16.881551731854916</v>
      </c>
      <c r="BD10">
        <f t="shared" si="21"/>
        <v>9.3388650722547428</v>
      </c>
      <c r="BH10">
        <v>1</v>
      </c>
      <c r="BI10">
        <v>5</v>
      </c>
      <c r="BJ10" s="5">
        <v>0.99858000000000002</v>
      </c>
      <c r="BK10" s="5">
        <v>28.838530676665201</v>
      </c>
      <c r="BL10" s="5">
        <v>0.1566888055505461</v>
      </c>
      <c r="BP10" s="5"/>
      <c r="BQ10" s="5"/>
      <c r="DB10" s="5"/>
      <c r="DC10" s="5"/>
      <c r="DD10" s="5"/>
      <c r="DE10" s="5"/>
      <c r="DF10" s="5"/>
      <c r="DG10" s="5"/>
      <c r="DH10" s="5"/>
    </row>
    <row r="11" spans="1:112" x14ac:dyDescent="0.25">
      <c r="A11" s="7" t="s">
        <v>23</v>
      </c>
      <c r="B11" s="7">
        <v>2</v>
      </c>
      <c r="C11" s="7">
        <v>1</v>
      </c>
      <c r="D11" s="7">
        <v>9.5190132241922232</v>
      </c>
      <c r="E11" s="7">
        <v>60.288500219052032</v>
      </c>
      <c r="F11" s="7">
        <v>30.192486556755735</v>
      </c>
      <c r="G11" s="50">
        <v>0.11178</v>
      </c>
      <c r="H11" s="50">
        <v>1.1513</v>
      </c>
      <c r="I11" s="7">
        <v>0.10478666666666665</v>
      </c>
      <c r="J11" s="7">
        <v>1.1755966666666666</v>
      </c>
      <c r="K11" s="5">
        <f t="shared" si="22"/>
        <v>-2.4296666666666633E-2</v>
      </c>
      <c r="L11" s="5">
        <f t="shared" si="23"/>
        <v>6.9933333333333514E-3</v>
      </c>
      <c r="M11" s="7">
        <v>1.579905722233675</v>
      </c>
      <c r="N11" s="7">
        <v>1.4890399945813177</v>
      </c>
      <c r="O11" s="50">
        <v>1.415758539042967</v>
      </c>
      <c r="P11" s="5">
        <f t="shared" si="0"/>
        <v>6.0783759063042536E-2</v>
      </c>
      <c r="Q11" s="5">
        <f t="shared" si="1"/>
        <v>4.9020928487734643E-2</v>
      </c>
      <c r="R11" s="5">
        <f t="shared" si="2"/>
        <v>0.10980468755077717</v>
      </c>
      <c r="S11" s="7">
        <f t="shared" si="3"/>
        <v>1.4949014186193199</v>
      </c>
      <c r="T11" s="50">
        <v>1.2610818754711988</v>
      </c>
      <c r="U11" s="50">
        <v>0.1605498553012365</v>
      </c>
      <c r="V11" s="7">
        <v>0.21343392552932575</v>
      </c>
      <c r="W11" s="7">
        <v>0.30199999999999999</v>
      </c>
      <c r="X11" s="7">
        <v>1.92</v>
      </c>
      <c r="Y11" s="7">
        <v>3.3799999999999997E-2</v>
      </c>
      <c r="Z11" s="7">
        <v>0.161</v>
      </c>
      <c r="AA11" s="7">
        <f t="shared" si="24"/>
        <v>6.5997217078726758</v>
      </c>
      <c r="AB11" s="7">
        <f t="shared" si="25"/>
        <v>42.763115926231315</v>
      </c>
      <c r="AC11" s="7">
        <f t="shared" si="26"/>
        <v>36.16339421835864</v>
      </c>
      <c r="AD11">
        <f t="shared" si="4"/>
        <v>5.2884070228089247E-2</v>
      </c>
      <c r="AE11">
        <f t="shared" si="5"/>
        <v>0.24000620644894499</v>
      </c>
      <c r="AF11">
        <f t="shared" si="6"/>
        <v>0.31906267805527933</v>
      </c>
      <c r="AG11">
        <f t="shared" si="27"/>
        <v>7.9056471606334333E-2</v>
      </c>
      <c r="AH11">
        <f t="shared" si="7"/>
        <v>0.4358862571247849</v>
      </c>
      <c r="AI11">
        <f t="shared" si="8"/>
        <v>0.3440202028514453</v>
      </c>
      <c r="AJ11">
        <f t="shared" si="9"/>
        <v>0.1907176463002454</v>
      </c>
      <c r="AK11">
        <f t="shared" si="10"/>
        <v>0.1533025565511999</v>
      </c>
      <c r="AL11">
        <f t="shared" si="11"/>
        <v>9.1866054273339603E-2</v>
      </c>
      <c r="AM11">
        <f t="shared" si="28"/>
        <v>4.1267194112396837</v>
      </c>
      <c r="AN11">
        <f t="shared" si="29"/>
        <v>92.327742456402106</v>
      </c>
      <c r="AO11" s="14">
        <f t="shared" si="12"/>
        <v>0.24232323556488078</v>
      </c>
      <c r="AP11" s="14">
        <f t="shared" si="30"/>
        <v>8.9964180204008606E-2</v>
      </c>
      <c r="AQ11">
        <f t="shared" si="13"/>
        <v>0.18318857706395042</v>
      </c>
      <c r="AR11">
        <f t="shared" si="14"/>
        <v>0.34366437641417585</v>
      </c>
      <c r="AS11">
        <f t="shared" si="15"/>
        <v>9.222188071060905E-2</v>
      </c>
      <c r="AT11">
        <f t="shared" si="16"/>
        <v>0.16047579935022543</v>
      </c>
      <c r="AU11">
        <v>4</v>
      </c>
      <c r="AV11">
        <f t="shared" si="31"/>
        <v>121.92</v>
      </c>
      <c r="AW11">
        <v>4</v>
      </c>
      <c r="AX11">
        <f t="shared" si="32"/>
        <v>121.92</v>
      </c>
      <c r="AY11">
        <v>81</v>
      </c>
      <c r="AZ11">
        <f t="shared" si="17"/>
        <v>16.386036686800978</v>
      </c>
      <c r="BA11">
        <f t="shared" si="18"/>
        <v>16.386036686800978</v>
      </c>
      <c r="BB11">
        <f t="shared" si="19"/>
        <v>15.915608940386587</v>
      </c>
      <c r="BC11">
        <f t="shared" si="20"/>
        <v>15.915608940386587</v>
      </c>
      <c r="BD11">
        <f t="shared" si="21"/>
        <v>11.852104775623022</v>
      </c>
      <c r="BH11">
        <v>1</v>
      </c>
      <c r="BI11">
        <v>6</v>
      </c>
      <c r="BJ11" s="5">
        <v>1.5502</v>
      </c>
      <c r="BK11" s="5">
        <v>24.477506376163333</v>
      </c>
      <c r="BL11" s="5">
        <v>0.1567401008209959</v>
      </c>
      <c r="BP11" s="5"/>
      <c r="BQ11" s="5"/>
      <c r="DB11" s="5"/>
      <c r="DC11" s="5"/>
      <c r="DD11" s="5"/>
      <c r="DE11" s="5"/>
      <c r="DF11" s="5"/>
      <c r="DG11" s="5"/>
      <c r="DH11" s="5"/>
    </row>
    <row r="12" spans="1:112" x14ac:dyDescent="0.25">
      <c r="A12" s="7" t="s">
        <v>23</v>
      </c>
      <c r="B12" s="7">
        <v>2</v>
      </c>
      <c r="C12" s="7">
        <v>2</v>
      </c>
      <c r="D12" s="7">
        <v>9.3425314007058393</v>
      </c>
      <c r="E12" s="7">
        <v>58.369758264274999</v>
      </c>
      <c r="F12" s="7">
        <v>32.287710335019199</v>
      </c>
      <c r="G12" s="50">
        <v>6.8669999999999995E-2</v>
      </c>
      <c r="H12" s="50">
        <v>0.61434999999999995</v>
      </c>
      <c r="I12" s="7">
        <v>6.9489999999999996E-2</v>
      </c>
      <c r="J12" s="7">
        <v>0.66232999999999997</v>
      </c>
      <c r="K12" s="5">
        <f t="shared" si="22"/>
        <v>-4.7980000000000023E-2</v>
      </c>
      <c r="L12" s="5">
        <f t="shared" si="23"/>
        <v>-8.2000000000000128E-4</v>
      </c>
      <c r="M12" s="7">
        <v>1.48457285737296</v>
      </c>
      <c r="N12" s="7">
        <v>1.5414593060028507</v>
      </c>
      <c r="O12" s="50">
        <v>1.4878913143482646</v>
      </c>
      <c r="P12" s="5">
        <f t="shared" si="0"/>
        <v>-3.7807319227245513E-2</v>
      </c>
      <c r="Q12" s="5">
        <f t="shared" si="1"/>
        <v>3.5601838568336902E-2</v>
      </c>
      <c r="R12" s="5">
        <f t="shared" si="2"/>
        <v>-2.2054806589086062E-3</v>
      </c>
      <c r="S12" s="7">
        <f t="shared" si="3"/>
        <v>1.5046411592413584</v>
      </c>
      <c r="T12" s="50">
        <v>1.4587913666986656</v>
      </c>
      <c r="U12" s="50">
        <v>0.12670947794030224</v>
      </c>
      <c r="V12" s="7">
        <v>0.22159975101151566</v>
      </c>
      <c r="W12" s="7">
        <v>9.4E-2</v>
      </c>
      <c r="X12" s="7">
        <v>1.93</v>
      </c>
      <c r="Y12" s="7">
        <v>3.0300000000000001E-3</v>
      </c>
      <c r="Z12" s="7">
        <v>6.2300000000000001E-2</v>
      </c>
      <c r="AA12" s="7">
        <f t="shared" si="24"/>
        <v>1.8634574993245441</v>
      </c>
      <c r="AB12" s="7">
        <f t="shared" si="25"/>
        <v>41.484435378597375</v>
      </c>
      <c r="AC12" s="7">
        <f t="shared" si="26"/>
        <v>39.620977879272829</v>
      </c>
      <c r="AD12">
        <f t="shared" si="4"/>
        <v>9.4890273071213421E-2</v>
      </c>
      <c r="AE12">
        <f t="shared" si="5"/>
        <v>0.1906522957749637</v>
      </c>
      <c r="AF12">
        <f t="shared" si="6"/>
        <v>0.33342810624956332</v>
      </c>
      <c r="AG12">
        <f t="shared" si="27"/>
        <v>0.14277581047459961</v>
      </c>
      <c r="AH12">
        <f t="shared" si="7"/>
        <v>0.43221088330514779</v>
      </c>
      <c r="AI12">
        <f t="shared" si="8"/>
        <v>0.35121578100509576</v>
      </c>
      <c r="AJ12">
        <f t="shared" si="9"/>
        <v>0.20113886979785836</v>
      </c>
      <c r="AK12">
        <f t="shared" si="10"/>
        <v>0.1500769112072374</v>
      </c>
      <c r="AL12">
        <f t="shared" si="11"/>
        <v>8.0995102300052024E-2</v>
      </c>
      <c r="AM12">
        <f t="shared" si="28"/>
        <v>4.4082152004774979</v>
      </c>
      <c r="AN12">
        <f t="shared" si="29"/>
        <v>99.472760862276417</v>
      </c>
      <c r="AO12" s="14">
        <f t="shared" si="12"/>
        <v>0.22684917920787534</v>
      </c>
      <c r="AP12" s="14">
        <f t="shared" si="30"/>
        <v>9.2146599629949949E-2</v>
      </c>
      <c r="AQ12">
        <f t="shared" si="13"/>
        <v>0.1855027394357468</v>
      </c>
      <c r="AR12">
        <f t="shared" si="14"/>
        <v>0.34535616936022395</v>
      </c>
      <c r="AS12">
        <f t="shared" si="15"/>
        <v>8.6854713944923834E-2</v>
      </c>
      <c r="AT12">
        <f t="shared" si="16"/>
        <v>0.15985342992447715</v>
      </c>
      <c r="AU12">
        <v>4</v>
      </c>
      <c r="AV12">
        <f t="shared" si="31"/>
        <v>121.92</v>
      </c>
      <c r="AW12">
        <v>4</v>
      </c>
      <c r="AX12">
        <f t="shared" si="32"/>
        <v>121.92</v>
      </c>
      <c r="AY12">
        <v>81</v>
      </c>
      <c r="AZ12">
        <f t="shared" si="17"/>
        <v>16.386036686800978</v>
      </c>
      <c r="BA12">
        <f t="shared" si="18"/>
        <v>16.386036686800978</v>
      </c>
      <c r="BB12">
        <f t="shared" si="19"/>
        <v>15.915608940386587</v>
      </c>
      <c r="BC12">
        <f t="shared" si="20"/>
        <v>15.915608940386587</v>
      </c>
      <c r="BD12">
        <f t="shared" si="21"/>
        <v>11.852104775623022</v>
      </c>
      <c r="BH12">
        <v>1</v>
      </c>
      <c r="BI12">
        <v>7</v>
      </c>
      <c r="BJ12" s="5">
        <v>1.0858933333333334</v>
      </c>
      <c r="BK12" s="5">
        <v>30.0985602876458</v>
      </c>
      <c r="BL12" s="5">
        <v>0.14832375469975353</v>
      </c>
      <c r="BP12" s="5"/>
      <c r="BQ12" s="5"/>
      <c r="DB12" s="5"/>
      <c r="DC12" s="5"/>
      <c r="DD12" s="5"/>
      <c r="DE12" s="5"/>
      <c r="DF12" s="5"/>
      <c r="DG12" s="5"/>
      <c r="DH12" s="5"/>
    </row>
    <row r="13" spans="1:112" x14ac:dyDescent="0.25">
      <c r="A13" s="7" t="s">
        <v>23</v>
      </c>
      <c r="B13" s="7">
        <v>2</v>
      </c>
      <c r="C13" s="7">
        <v>3</v>
      </c>
      <c r="D13" s="7">
        <v>9.7539569550288494</v>
      </c>
      <c r="E13" s="7">
        <v>60.262959551126102</v>
      </c>
      <c r="F13" s="7">
        <v>29.983083493845101</v>
      </c>
      <c r="G13" s="50">
        <v>5.5300000000000002E-2</v>
      </c>
      <c r="H13" s="50">
        <v>0.42996000000000001</v>
      </c>
      <c r="I13" s="7">
        <v>5.7029999999999997E-2</v>
      </c>
      <c r="J13" s="7">
        <v>0.46684999999999999</v>
      </c>
      <c r="K13" s="5">
        <f t="shared" si="22"/>
        <v>-3.6889999999999978E-2</v>
      </c>
      <c r="L13" s="5">
        <f t="shared" si="23"/>
        <v>-1.7299999999999954E-3</v>
      </c>
      <c r="M13" s="7">
        <v>1.6310272115703577</v>
      </c>
      <c r="N13" s="7">
        <v>1.618535507284478</v>
      </c>
      <c r="O13" s="50">
        <v>1.7352416554388501</v>
      </c>
      <c r="P13" s="5">
        <f t="shared" si="0"/>
        <v>7.5178703202267412E-3</v>
      </c>
      <c r="Q13" s="5">
        <f t="shared" si="1"/>
        <v>-7.0237148376103661E-2</v>
      </c>
      <c r="R13" s="5">
        <f t="shared" si="2"/>
        <v>-6.2719278055876918E-2</v>
      </c>
      <c r="S13" s="7">
        <f t="shared" si="3"/>
        <v>1.6616014580978955</v>
      </c>
      <c r="T13" s="50">
        <v>1.5782128361506047</v>
      </c>
      <c r="U13" s="50">
        <v>0.14541912057742537</v>
      </c>
      <c r="V13" s="7">
        <v>0.22431294874969041</v>
      </c>
      <c r="W13" s="7">
        <v>0.151</v>
      </c>
      <c r="X13" s="7">
        <v>1.67</v>
      </c>
      <c r="Y13" s="7">
        <v>8.3400000000000002E-2</v>
      </c>
      <c r="Z13" s="7">
        <v>4.7300000000000002E-2</v>
      </c>
      <c r="AA13" s="7">
        <f t="shared" si="24"/>
        <v>5.0537933063600597</v>
      </c>
      <c r="AB13" s="7">
        <f t="shared" si="25"/>
        <v>39.576196406039436</v>
      </c>
      <c r="AC13" s="7">
        <f t="shared" si="26"/>
        <v>34.52240309967938</v>
      </c>
      <c r="AD13">
        <f t="shared" si="4"/>
        <v>7.8893828172265035E-2</v>
      </c>
      <c r="AE13">
        <f t="shared" si="5"/>
        <v>0.24162862278676367</v>
      </c>
      <c r="AF13">
        <f t="shared" si="6"/>
        <v>0.3727187227127241</v>
      </c>
      <c r="AG13">
        <f t="shared" si="27"/>
        <v>0.13109009992596043</v>
      </c>
      <c r="AH13">
        <f t="shared" si="7"/>
        <v>0.37298058184985072</v>
      </c>
      <c r="AI13">
        <f t="shared" si="8"/>
        <v>0.326663860469532</v>
      </c>
      <c r="AJ13">
        <f t="shared" si="9"/>
        <v>0.19107648468637584</v>
      </c>
      <c r="AK13">
        <f t="shared" si="10"/>
        <v>0.13558737578315616</v>
      </c>
      <c r="AL13">
        <f t="shared" si="11"/>
        <v>4.6316721380318726E-2</v>
      </c>
      <c r="AM13">
        <f t="shared" si="28"/>
        <v>4.6902037882758405</v>
      </c>
      <c r="AN13">
        <f t="shared" si="29"/>
        <v>145.82370906433741</v>
      </c>
      <c r="AO13" s="14">
        <f t="shared" si="12"/>
        <v>0.21321035186140785</v>
      </c>
      <c r="AP13" s="14">
        <f t="shared" si="30"/>
        <v>8.3157582397433927E-2</v>
      </c>
      <c r="AQ13">
        <f t="shared" si="13"/>
        <v>0.22279650644406002</v>
      </c>
      <c r="AR13">
        <f t="shared" si="14"/>
        <v>0.3429805818498507</v>
      </c>
      <c r="AS13">
        <f t="shared" si="15"/>
        <v>3.0000000000000027E-2</v>
      </c>
      <c r="AT13">
        <f t="shared" si="16"/>
        <v>0.12018407540579068</v>
      </c>
      <c r="AU13">
        <v>4</v>
      </c>
      <c r="AV13">
        <f t="shared" si="31"/>
        <v>121.92</v>
      </c>
      <c r="AW13">
        <v>4</v>
      </c>
      <c r="AX13">
        <f t="shared" si="32"/>
        <v>121.92</v>
      </c>
      <c r="AY13">
        <v>81</v>
      </c>
      <c r="AZ13">
        <f t="shared" si="17"/>
        <v>16.386036686800978</v>
      </c>
      <c r="BA13">
        <f t="shared" si="18"/>
        <v>16.386036686800978</v>
      </c>
      <c r="BB13">
        <f t="shared" si="19"/>
        <v>15.915608940386587</v>
      </c>
      <c r="BC13">
        <f t="shared" si="20"/>
        <v>15.915608940386587</v>
      </c>
      <c r="BD13">
        <f t="shared" si="21"/>
        <v>11.852104775623022</v>
      </c>
      <c r="BH13">
        <v>1</v>
      </c>
      <c r="BI13">
        <v>8</v>
      </c>
      <c r="BJ13" s="5">
        <v>1.5193333333333332</v>
      </c>
      <c r="BK13" s="5">
        <v>29.587734238597932</v>
      </c>
      <c r="BL13" s="5">
        <v>0.16124247231032535</v>
      </c>
      <c r="BP13" s="5"/>
      <c r="BQ13" s="5"/>
      <c r="DB13" s="5"/>
      <c r="DC13" s="5"/>
      <c r="DD13" s="5"/>
      <c r="DE13" s="5"/>
      <c r="DF13" s="5"/>
      <c r="DG13" s="5"/>
      <c r="DH13" s="5"/>
    </row>
    <row r="14" spans="1:112" x14ac:dyDescent="0.25">
      <c r="A14" s="7" t="s">
        <v>23</v>
      </c>
      <c r="B14" s="7">
        <v>2</v>
      </c>
      <c r="C14" s="7">
        <v>4</v>
      </c>
      <c r="D14" s="7">
        <v>7.4879410473213399</v>
      </c>
      <c r="E14" s="7">
        <v>53.155137064317401</v>
      </c>
      <c r="F14" s="7">
        <v>39.3569218883612</v>
      </c>
      <c r="G14" s="50">
        <v>4.9570000000000003E-2</v>
      </c>
      <c r="H14" s="50">
        <v>0.30642999999999998</v>
      </c>
      <c r="I14" s="7">
        <v>3.5279999999999999E-2</v>
      </c>
      <c r="J14" s="7">
        <v>0.35483999999999999</v>
      </c>
      <c r="K14" s="5">
        <f t="shared" si="22"/>
        <v>-4.8410000000000009E-2</v>
      </c>
      <c r="L14" s="5">
        <f t="shared" si="23"/>
        <v>1.4290000000000004E-2</v>
      </c>
      <c r="M14" s="7">
        <v>1.6841914631017896</v>
      </c>
      <c r="N14" s="7">
        <v>1.7643263581710544</v>
      </c>
      <c r="O14" s="50"/>
      <c r="P14" s="5">
        <f t="shared" si="0"/>
        <v>-4.6474978076051901E-2</v>
      </c>
      <c r="Q14" s="5" t="str">
        <f t="shared" si="1"/>
        <v/>
      </c>
      <c r="R14" s="5" t="str">
        <f t="shared" si="2"/>
        <v/>
      </c>
      <c r="S14" s="7">
        <f t="shared" si="3"/>
        <v>1.7242589106364221</v>
      </c>
      <c r="U14" s="50">
        <v>0.17427302100161543</v>
      </c>
      <c r="V14" s="7">
        <v>0.21391152502910366</v>
      </c>
      <c r="W14" s="7">
        <v>0.58499999999999996</v>
      </c>
      <c r="X14" s="7">
        <v>1.43</v>
      </c>
      <c r="Y14" s="7">
        <v>0</v>
      </c>
      <c r="Z14" s="7">
        <v>6.7299999999999999E-2</v>
      </c>
      <c r="AA14" s="7">
        <f t="shared" si="24"/>
        <v>13.418253842902697</v>
      </c>
      <c r="AB14" s="7">
        <f t="shared" si="25"/>
        <v>35.503152148886059</v>
      </c>
      <c r="AC14" s="7">
        <f t="shared" si="26"/>
        <v>22.084898305983362</v>
      </c>
      <c r="AD14">
        <f t="shared" si="4"/>
        <v>3.9638504027488225E-2</v>
      </c>
      <c r="AE14">
        <f t="shared" si="5"/>
        <v>0.30049180934556374</v>
      </c>
      <c r="AF14">
        <f t="shared" si="6"/>
        <v>0.36883885311925801</v>
      </c>
      <c r="AG14">
        <f t="shared" si="27"/>
        <v>6.8347043773694272E-2</v>
      </c>
      <c r="AH14">
        <f t="shared" si="7"/>
        <v>0.34933626013719921</v>
      </c>
      <c r="AI14">
        <f t="shared" si="8"/>
        <v>0.3386960254611931</v>
      </c>
      <c r="AJ14">
        <f t="shared" si="9"/>
        <v>0.24006324017073355</v>
      </c>
      <c r="AK14">
        <f t="shared" si="10"/>
        <v>9.8632785290459546E-2</v>
      </c>
      <c r="AL14">
        <f t="shared" si="11"/>
        <v>1.0640234676006111E-2</v>
      </c>
      <c r="AM14">
        <f t="shared" si="28"/>
        <v>7.9620739371717164</v>
      </c>
      <c r="AN14">
        <f t="shared" si="29"/>
        <v>239.49565981184583</v>
      </c>
      <c r="AO14" s="14">
        <f t="shared" si="12"/>
        <v>0.12559541746169961</v>
      </c>
      <c r="AP14" s="14">
        <f t="shared" si="30"/>
        <v>7.9695965004265124E-2</v>
      </c>
      <c r="AQ14">
        <f t="shared" si="13"/>
        <v>0.23768391716721393</v>
      </c>
      <c r="AR14">
        <f t="shared" si="14"/>
        <v>0.31933626013719918</v>
      </c>
      <c r="AS14">
        <f t="shared" si="15"/>
        <v>3.0000000000000027E-2</v>
      </c>
      <c r="AT14">
        <f t="shared" si="16"/>
        <v>8.1652342969985248E-2</v>
      </c>
      <c r="AU14">
        <v>4</v>
      </c>
      <c r="AV14">
        <f t="shared" si="31"/>
        <v>121.92</v>
      </c>
      <c r="AW14">
        <v>4</v>
      </c>
      <c r="AX14">
        <f t="shared" si="32"/>
        <v>121.92</v>
      </c>
      <c r="AY14">
        <v>81</v>
      </c>
      <c r="AZ14">
        <f t="shared" si="17"/>
        <v>16.386036686800978</v>
      </c>
      <c r="BA14">
        <f t="shared" si="18"/>
        <v>16.386036686800978</v>
      </c>
      <c r="BB14">
        <f t="shared" si="19"/>
        <v>15.915608940386587</v>
      </c>
      <c r="BC14">
        <f t="shared" si="20"/>
        <v>15.915608940386587</v>
      </c>
      <c r="BD14">
        <f t="shared" si="21"/>
        <v>11.852104775623022</v>
      </c>
      <c r="BH14">
        <v>1</v>
      </c>
      <c r="BI14">
        <v>9</v>
      </c>
      <c r="BJ14" s="5">
        <v>1.6795</v>
      </c>
      <c r="BK14" s="5">
        <v>28.296249688428833</v>
      </c>
      <c r="BL14" s="5">
        <v>0.15634869081102015</v>
      </c>
      <c r="BP14" s="5"/>
      <c r="BQ14" s="5"/>
      <c r="DB14" s="5"/>
      <c r="DC14" s="5"/>
      <c r="DD14" s="5"/>
      <c r="DE14" s="5"/>
      <c r="DF14" s="5"/>
      <c r="DG14" s="5"/>
      <c r="DH14" s="5"/>
    </row>
    <row r="15" spans="1:112" x14ac:dyDescent="0.25">
      <c r="A15" s="7" t="s">
        <v>23</v>
      </c>
      <c r="B15" s="7">
        <v>2</v>
      </c>
      <c r="C15" s="7">
        <v>5</v>
      </c>
      <c r="D15" s="7">
        <v>9.4523408199549408</v>
      </c>
      <c r="E15" s="7">
        <v>53.634513446562103</v>
      </c>
      <c r="F15" s="7">
        <v>36.913145733482999</v>
      </c>
      <c r="G15" s="50">
        <v>3.3329999999999999E-2</v>
      </c>
      <c r="H15" s="50">
        <v>0.22384999999999999</v>
      </c>
      <c r="I15" s="7">
        <v>3.8080000000000003E-2</v>
      </c>
      <c r="J15" s="7">
        <v>0.28733999999999998</v>
      </c>
      <c r="K15" s="5">
        <f t="shared" si="22"/>
        <v>-6.3489999999999991E-2</v>
      </c>
      <c r="L15" s="5">
        <f t="shared" si="23"/>
        <v>-4.7500000000000042E-3</v>
      </c>
      <c r="M15" s="7">
        <v>1.7189024946641827</v>
      </c>
      <c r="N15" s="7">
        <v>1.6436140520697025</v>
      </c>
      <c r="O15" s="50">
        <v>1.7582970423827067</v>
      </c>
      <c r="P15" s="5">
        <f t="shared" si="0"/>
        <v>4.4107312998754429E-2</v>
      </c>
      <c r="Q15" s="5">
        <f t="shared" si="1"/>
        <v>-6.7186388442303291E-2</v>
      </c>
      <c r="R15" s="5">
        <f t="shared" si="2"/>
        <v>-2.3079075443548862E-2</v>
      </c>
      <c r="S15" s="7">
        <f t="shared" si="3"/>
        <v>1.7069378630388641</v>
      </c>
      <c r="U15" s="50">
        <v>0.1924158766538181</v>
      </c>
      <c r="W15" s="7">
        <v>0.53400000000000003</v>
      </c>
      <c r="Y15" s="7">
        <v>6.13E-3</v>
      </c>
      <c r="AA15" s="7">
        <f t="shared" si="24"/>
        <v>12.454099662847657</v>
      </c>
      <c r="AB15" s="7" t="str">
        <f t="shared" si="25"/>
        <v/>
      </c>
      <c r="AC15" s="7" t="str">
        <f t="shared" si="26"/>
        <v/>
      </c>
      <c r="AD15" t="str">
        <f t="shared" si="4"/>
        <v/>
      </c>
      <c r="AE15">
        <f t="shared" si="5"/>
        <v>0.32844194531021792</v>
      </c>
      <c r="AF15" t="str">
        <f t="shared" si="6"/>
        <v/>
      </c>
      <c r="AG15" t="str">
        <f t="shared" si="27"/>
        <v/>
      </c>
      <c r="AH15">
        <f t="shared" si="7"/>
        <v>0.35587250451363617</v>
      </c>
      <c r="AI15">
        <f t="shared" si="8"/>
        <v>0.33708974586681961</v>
      </c>
      <c r="AJ15">
        <f t="shared" si="9"/>
        <v>0.22702882505220945</v>
      </c>
      <c r="AK15">
        <f t="shared" si="10"/>
        <v>0.11006092081461016</v>
      </c>
      <c r="AL15">
        <f t="shared" si="11"/>
        <v>1.8782758646816555E-2</v>
      </c>
      <c r="AM15">
        <f t="shared" si="28"/>
        <v>6.7239335677100271</v>
      </c>
      <c r="AN15">
        <f t="shared" si="29"/>
        <v>204.29950911902128</v>
      </c>
      <c r="AO15" s="14">
        <f t="shared" si="12"/>
        <v>0.14872246876474873</v>
      </c>
      <c r="AP15" s="14">
        <f t="shared" si="30"/>
        <v>8.2985658670272702E-2</v>
      </c>
      <c r="AQ15">
        <f t="shared" si="13"/>
        <v>0.23356843625803414</v>
      </c>
      <c r="AR15">
        <f t="shared" si="14"/>
        <v>0.32587250451363614</v>
      </c>
      <c r="AS15">
        <f t="shared" si="15"/>
        <v>3.0000000000000027E-2</v>
      </c>
      <c r="AT15">
        <f t="shared" si="16"/>
        <v>9.2304068255602001E-2</v>
      </c>
      <c r="AU15">
        <v>4</v>
      </c>
      <c r="AV15">
        <f t="shared" si="31"/>
        <v>121.92</v>
      </c>
      <c r="AW15">
        <v>4</v>
      </c>
      <c r="AX15">
        <f t="shared" si="32"/>
        <v>121.92</v>
      </c>
      <c r="AY15">
        <v>81</v>
      </c>
      <c r="AZ15">
        <f t="shared" si="17"/>
        <v>16.386036686800978</v>
      </c>
      <c r="BA15">
        <f t="shared" si="18"/>
        <v>16.386036686800978</v>
      </c>
      <c r="BB15">
        <f t="shared" si="19"/>
        <v>15.915608940386587</v>
      </c>
      <c r="BC15">
        <f t="shared" si="20"/>
        <v>15.915608940386587</v>
      </c>
      <c r="BD15">
        <f t="shared" si="21"/>
        <v>11.852104775623022</v>
      </c>
      <c r="BH15">
        <v>1</v>
      </c>
      <c r="BI15">
        <v>10</v>
      </c>
      <c r="BJ15" s="5">
        <v>2.2136</v>
      </c>
      <c r="BK15" s="5">
        <v>27.303843699199067</v>
      </c>
      <c r="BL15" s="5">
        <v>0.17536477550557722</v>
      </c>
      <c r="BP15" s="5"/>
      <c r="BQ15" s="5"/>
      <c r="DB15" s="5"/>
      <c r="DC15" s="5"/>
      <c r="DD15" s="5"/>
      <c r="DE15" s="5"/>
      <c r="DF15" s="5"/>
      <c r="DG15" s="5"/>
      <c r="DH15" s="5"/>
    </row>
    <row r="16" spans="1:112" x14ac:dyDescent="0.25">
      <c r="A16" s="7" t="s">
        <v>23</v>
      </c>
      <c r="B16" s="7">
        <v>3</v>
      </c>
      <c r="C16" s="7">
        <v>1</v>
      </c>
      <c r="D16" s="7">
        <v>9.7776004022886394</v>
      </c>
      <c r="E16" s="7">
        <v>61.291308810460201</v>
      </c>
      <c r="F16" s="7">
        <v>28.931090787251197</v>
      </c>
      <c r="G16" s="50">
        <v>0.15622</v>
      </c>
      <c r="H16" s="50">
        <v>2.0661999999999998</v>
      </c>
      <c r="I16" s="7">
        <v>0.16399666666666668</v>
      </c>
      <c r="J16" s="7">
        <v>2.1973333333333334</v>
      </c>
      <c r="K16" s="5">
        <f t="shared" si="22"/>
        <v>-0.13113333333333355</v>
      </c>
      <c r="L16" s="5">
        <f t="shared" si="23"/>
        <v>-7.7766666666666817E-3</v>
      </c>
      <c r="M16" s="7">
        <v>1.2085152203880165</v>
      </c>
      <c r="N16" s="7">
        <v>1.2178261756770663</v>
      </c>
      <c r="O16" s="50">
        <v>1.2190962993486192</v>
      </c>
      <c r="P16" s="5">
        <f t="shared" si="0"/>
        <v>-7.6624175753412307E-3</v>
      </c>
      <c r="Q16" s="5">
        <f t="shared" si="1"/>
        <v>-1.0452437630335699E-3</v>
      </c>
      <c r="R16" s="5">
        <f t="shared" si="2"/>
        <v>-8.7076613383748006E-3</v>
      </c>
      <c r="S16" s="7">
        <f t="shared" si="3"/>
        <v>1.215145898471234</v>
      </c>
      <c r="T16" s="50">
        <v>1.2779736674637066</v>
      </c>
      <c r="U16" s="50">
        <v>0.12371537633356185</v>
      </c>
      <c r="V16" s="7">
        <v>0.27658884565499353</v>
      </c>
      <c r="W16" s="7">
        <v>0.32600000000000001</v>
      </c>
      <c r="X16" s="7">
        <v>3.22</v>
      </c>
      <c r="Y16" s="7">
        <v>5.62E-2</v>
      </c>
      <c r="Z16" s="7">
        <v>0.16600000000000001</v>
      </c>
      <c r="AA16" s="7">
        <f t="shared" si="24"/>
        <v>5.9121304341855581</v>
      </c>
      <c r="AB16" s="7">
        <f t="shared" si="25"/>
        <v>59.502470795459985</v>
      </c>
      <c r="AC16" s="7">
        <f t="shared" si="26"/>
        <v>53.590340361274428</v>
      </c>
      <c r="AD16">
        <f t="shared" si="4"/>
        <v>0.1528734693214317</v>
      </c>
      <c r="AE16">
        <f t="shared" si="5"/>
        <v>0.15033223212955285</v>
      </c>
      <c r="AF16">
        <f t="shared" si="6"/>
        <v>0.33609580136055855</v>
      </c>
      <c r="AG16">
        <f t="shared" si="27"/>
        <v>0.1857635692310057</v>
      </c>
      <c r="AH16">
        <f t="shared" si="7"/>
        <v>0.54145437793538331</v>
      </c>
      <c r="AI16">
        <f t="shared" si="8"/>
        <v>0.35081523260071001</v>
      </c>
      <c r="AJ16">
        <f t="shared" si="9"/>
        <v>0.18064399381219587</v>
      </c>
      <c r="AK16">
        <f t="shared" si="10"/>
        <v>0.17017123878851415</v>
      </c>
      <c r="AL16">
        <f t="shared" si="11"/>
        <v>0.1906391453346733</v>
      </c>
      <c r="AM16">
        <f t="shared" si="28"/>
        <v>3.4986123800699973</v>
      </c>
      <c r="AN16">
        <f t="shared" si="29"/>
        <v>47.147986817954546</v>
      </c>
      <c r="AO16" s="14">
        <f t="shared" si="12"/>
        <v>0.28582760573779048</v>
      </c>
      <c r="AP16" s="14">
        <f t="shared" si="30"/>
        <v>9.4569258936861675E-2</v>
      </c>
      <c r="AQ16">
        <f t="shared" si="13"/>
        <v>0.11671866547676524</v>
      </c>
      <c r="AR16">
        <f t="shared" si="14"/>
        <v>0.29507084256445332</v>
      </c>
      <c r="AS16">
        <f t="shared" si="15"/>
        <v>0.24638353537093</v>
      </c>
      <c r="AT16">
        <f t="shared" si="16"/>
        <v>0.17835217708768808</v>
      </c>
      <c r="AU16">
        <v>4</v>
      </c>
      <c r="AV16">
        <f t="shared" si="31"/>
        <v>121.92</v>
      </c>
      <c r="AW16">
        <v>4</v>
      </c>
      <c r="AX16">
        <f t="shared" si="32"/>
        <v>121.92</v>
      </c>
      <c r="AY16">
        <v>89</v>
      </c>
      <c r="AZ16">
        <f t="shared" si="17"/>
        <v>18.388905182804013</v>
      </c>
      <c r="BA16">
        <f t="shared" si="18"/>
        <v>18.388905182804013</v>
      </c>
      <c r="BB16">
        <f t="shared" si="19"/>
        <v>18.341643664281619</v>
      </c>
      <c r="BC16">
        <f t="shared" si="20"/>
        <v>18.341643664281619</v>
      </c>
      <c r="BD16">
        <f t="shared" si="21"/>
        <v>14.504288447437796</v>
      </c>
      <c r="BH16">
        <v>1</v>
      </c>
      <c r="BI16">
        <v>11</v>
      </c>
      <c r="BJ16" s="5">
        <v>1.2261666666666666</v>
      </c>
      <c r="BK16" s="5">
        <v>34.174037547475905</v>
      </c>
      <c r="BL16" s="5">
        <v>0.14978956595209131</v>
      </c>
      <c r="BP16" s="5"/>
      <c r="BQ16" s="5"/>
      <c r="DB16" s="5"/>
      <c r="DC16" s="5"/>
      <c r="DD16" s="5"/>
      <c r="DE16" s="5"/>
      <c r="DF16" s="5"/>
      <c r="DG16" s="5"/>
      <c r="DH16" s="5"/>
    </row>
    <row r="17" spans="1:112" x14ac:dyDescent="0.25">
      <c r="A17" s="7" t="s">
        <v>23</v>
      </c>
      <c r="B17" s="7">
        <v>3</v>
      </c>
      <c r="C17" s="7">
        <v>2</v>
      </c>
      <c r="D17" s="7">
        <v>7.6221526778496402</v>
      </c>
      <c r="E17" s="7">
        <v>56.451694053956501</v>
      </c>
      <c r="F17" s="7">
        <v>35.926153268193801</v>
      </c>
      <c r="G17" s="50">
        <v>0.12927</v>
      </c>
      <c r="H17" s="50">
        <v>1.6586000000000001</v>
      </c>
      <c r="I17" s="7">
        <v>0.13938</v>
      </c>
      <c r="J17" s="7">
        <v>1.7402</v>
      </c>
      <c r="K17" s="5">
        <f t="shared" si="22"/>
        <v>-8.1599999999999895E-2</v>
      </c>
      <c r="L17" s="5">
        <f t="shared" si="23"/>
        <v>-1.0110000000000008E-2</v>
      </c>
      <c r="M17" s="7">
        <v>1.0801688812232004</v>
      </c>
      <c r="N17" s="7">
        <v>1.416953183978616</v>
      </c>
      <c r="O17" s="50">
        <v>1.3811583394445035</v>
      </c>
      <c r="P17" s="5">
        <f t="shared" si="0"/>
        <v>-0.26051569325823049</v>
      </c>
      <c r="Q17" s="5">
        <f t="shared" si="1"/>
        <v>2.7688697669639106E-2</v>
      </c>
      <c r="R17" s="5">
        <f t="shared" si="2"/>
        <v>-0.23282699558859138</v>
      </c>
      <c r="S17" s="7">
        <f>AVERAGE(N17:O17)</f>
        <v>1.3990557617115598</v>
      </c>
      <c r="T17" s="50">
        <v>1.1529707225769472</v>
      </c>
      <c r="U17" s="50">
        <v>8.7861561611770528E-2</v>
      </c>
      <c r="V17" s="7">
        <v>0.30792580101180422</v>
      </c>
      <c r="W17" s="7">
        <v>9.1600000000000001E-2</v>
      </c>
      <c r="X17" s="7">
        <v>1.56</v>
      </c>
      <c r="Y17" s="7">
        <v>3.4700000000000002E-2</v>
      </c>
      <c r="Z17" s="7">
        <v>4.9099999999999998E-2</v>
      </c>
      <c r="AA17" s="7">
        <f t="shared" si="24"/>
        <v>2.177612405489584</v>
      </c>
      <c r="AB17" s="7">
        <f t="shared" si="25"/>
        <v>33.355675609293925</v>
      </c>
      <c r="AC17" s="7">
        <f t="shared" si="26"/>
        <v>31.178063203804342</v>
      </c>
      <c r="AD17">
        <f t="shared" si="4"/>
        <v>0.2200642394000337</v>
      </c>
      <c r="AE17">
        <f t="shared" si="5"/>
        <v>0.12292322400592276</v>
      </c>
      <c r="AF17">
        <f t="shared" si="6"/>
        <v>0.43080536608521192</v>
      </c>
      <c r="AG17">
        <f t="shared" si="27"/>
        <v>0.30788214207928916</v>
      </c>
      <c r="AH17">
        <f t="shared" si="7"/>
        <v>0.47205442954280763</v>
      </c>
      <c r="AI17">
        <f t="shared" si="8"/>
        <v>0.37355818939455504</v>
      </c>
      <c r="AJ17">
        <f t="shared" si="9"/>
        <v>0.21586526158514877</v>
      </c>
      <c r="AK17">
        <f t="shared" si="10"/>
        <v>0.15769292780940627</v>
      </c>
      <c r="AL17">
        <f t="shared" si="11"/>
        <v>9.849624014825259E-2</v>
      </c>
      <c r="AM17">
        <f t="shared" si="28"/>
        <v>4.4452493869848482</v>
      </c>
      <c r="AN17">
        <f t="shared" si="29"/>
        <v>84.13984430611228</v>
      </c>
      <c r="AO17" s="14">
        <f t="shared" si="12"/>
        <v>0.22495925716291168</v>
      </c>
      <c r="AP17" s="14">
        <f t="shared" si="30"/>
        <v>9.9903162607254251E-2</v>
      </c>
      <c r="AQ17">
        <f t="shared" si="13"/>
        <v>0.16041564898266664</v>
      </c>
      <c r="AR17">
        <f t="shared" si="14"/>
        <v>0.32701598580929792</v>
      </c>
      <c r="AS17">
        <f t="shared" si="15"/>
        <v>0.14503844373350971</v>
      </c>
      <c r="AT17">
        <f t="shared" si="16"/>
        <v>0.16660033682663128</v>
      </c>
      <c r="AU17">
        <v>4</v>
      </c>
      <c r="AV17">
        <f t="shared" si="31"/>
        <v>121.92</v>
      </c>
      <c r="AW17">
        <v>4</v>
      </c>
      <c r="AX17">
        <f t="shared" si="32"/>
        <v>121.92</v>
      </c>
      <c r="AY17">
        <v>89</v>
      </c>
      <c r="AZ17">
        <f t="shared" si="17"/>
        <v>18.388905182804013</v>
      </c>
      <c r="BA17">
        <f t="shared" si="18"/>
        <v>18.388905182804013</v>
      </c>
      <c r="BB17">
        <f t="shared" si="19"/>
        <v>18.341643664281619</v>
      </c>
      <c r="BC17">
        <f t="shared" si="20"/>
        <v>18.341643664281619</v>
      </c>
      <c r="BD17">
        <f t="shared" si="21"/>
        <v>14.504288447437796</v>
      </c>
      <c r="BH17">
        <v>1</v>
      </c>
      <c r="BI17">
        <v>12</v>
      </c>
      <c r="BJ17" s="5">
        <v>1.5859333333333332</v>
      </c>
      <c r="BK17" s="5">
        <v>22.354690042562499</v>
      </c>
      <c r="BL17" s="5">
        <v>0.16476986365242149</v>
      </c>
      <c r="BP17" s="5"/>
      <c r="BQ17" s="5"/>
      <c r="DB17" s="5"/>
      <c r="DC17" s="5"/>
      <c r="DD17" s="5"/>
      <c r="DE17" s="5"/>
      <c r="DF17" s="5"/>
      <c r="DG17" s="5"/>
      <c r="DH17" s="5"/>
    </row>
    <row r="18" spans="1:112" x14ac:dyDescent="0.25">
      <c r="A18" s="7" t="s">
        <v>23</v>
      </c>
      <c r="B18" s="7">
        <v>3</v>
      </c>
      <c r="C18" s="7">
        <v>3</v>
      </c>
      <c r="D18" s="7">
        <v>8.46584181760816</v>
      </c>
      <c r="E18" s="7">
        <v>63.339451284261301</v>
      </c>
      <c r="F18" s="7">
        <v>28.194706898130502</v>
      </c>
      <c r="G18" s="50">
        <v>6.3310000000000005E-2</v>
      </c>
      <c r="H18" s="50">
        <v>0.58504</v>
      </c>
      <c r="I18" s="7">
        <v>7.8E-2</v>
      </c>
      <c r="J18" s="7">
        <v>0.83631999999999995</v>
      </c>
      <c r="K18" s="5">
        <f t="shared" si="22"/>
        <v>-0.25127999999999995</v>
      </c>
      <c r="L18" s="5">
        <f t="shared" si="23"/>
        <v>-1.4689999999999995E-2</v>
      </c>
      <c r="M18" s="7">
        <v>1.4321761682892089</v>
      </c>
      <c r="N18" s="7">
        <v>1.5461676936908328</v>
      </c>
      <c r="O18" s="50">
        <v>1.3079523512531479</v>
      </c>
      <c r="P18" s="5">
        <f t="shared" si="0"/>
        <v>-7.9783234567197006E-2</v>
      </c>
      <c r="Q18" s="5">
        <f t="shared" si="1"/>
        <v>0.16672810085003231</v>
      </c>
      <c r="R18" s="5">
        <f t="shared" si="2"/>
        <v>8.6944866282835306E-2</v>
      </c>
      <c r="S18" s="7">
        <f>AVERAGE(M18:O18)</f>
        <v>1.4287654044110631</v>
      </c>
      <c r="T18" s="50">
        <v>1.249734717491499</v>
      </c>
      <c r="U18" s="50">
        <v>0.14252825449979079</v>
      </c>
      <c r="V18" s="7">
        <v>0.27533664068036867</v>
      </c>
      <c r="W18" s="7">
        <v>9.4500000000000001E-2</v>
      </c>
      <c r="X18" s="7">
        <v>1.39</v>
      </c>
      <c r="Y18" s="7">
        <v>1.9E-2</v>
      </c>
      <c r="Z18" s="7">
        <v>4.1200000000000001E-2</v>
      </c>
      <c r="AA18" s="7">
        <f t="shared" si="24"/>
        <v>2.0989027259210595</v>
      </c>
      <c r="AB18" s="7">
        <f t="shared" si="25"/>
        <v>29.5430048625607</v>
      </c>
      <c r="AC18" s="7">
        <f t="shared" si="26"/>
        <v>27.444102136639639</v>
      </c>
      <c r="AD18">
        <f t="shared" si="4"/>
        <v>0.13280838618057789</v>
      </c>
      <c r="AE18">
        <f t="shared" si="5"/>
        <v>0.20363943918039651</v>
      </c>
      <c r="AF18">
        <f t="shared" si="6"/>
        <v>0.3933914667708705</v>
      </c>
      <c r="AG18">
        <f t="shared" si="27"/>
        <v>0.18975202759047399</v>
      </c>
      <c r="AH18">
        <f t="shared" si="7"/>
        <v>0.46084324361846674</v>
      </c>
      <c r="AI18">
        <f t="shared" si="8"/>
        <v>0.34205811290623334</v>
      </c>
      <c r="AJ18">
        <f t="shared" si="9"/>
        <v>0.18101368015231795</v>
      </c>
      <c r="AK18">
        <f t="shared" si="10"/>
        <v>0.16104443275391539</v>
      </c>
      <c r="AL18">
        <f t="shared" si="11"/>
        <v>0.1187851307122334</v>
      </c>
      <c r="AM18">
        <f t="shared" si="28"/>
        <v>3.7873158396874671</v>
      </c>
      <c r="AN18">
        <f t="shared" si="29"/>
        <v>77.034081423200377</v>
      </c>
      <c r="AO18" s="14">
        <f t="shared" si="12"/>
        <v>0.26403924106908416</v>
      </c>
      <c r="AP18" s="14">
        <f t="shared" si="30"/>
        <v>8.8430841606765689E-2</v>
      </c>
      <c r="AQ18">
        <f t="shared" si="13"/>
        <v>0.16747466008806861</v>
      </c>
      <c r="AR18">
        <f t="shared" si="14"/>
        <v>0.33217655074620167</v>
      </c>
      <c r="AS18">
        <f t="shared" si="15"/>
        <v>0.12866669287226506</v>
      </c>
      <c r="AT18">
        <f t="shared" si="16"/>
        <v>0.16470189065813307</v>
      </c>
      <c r="AU18">
        <v>4</v>
      </c>
      <c r="AV18">
        <f t="shared" si="31"/>
        <v>121.92</v>
      </c>
      <c r="AW18">
        <v>4</v>
      </c>
      <c r="AX18">
        <f t="shared" si="32"/>
        <v>121.92</v>
      </c>
      <c r="AY18">
        <v>89</v>
      </c>
      <c r="AZ18">
        <f t="shared" si="17"/>
        <v>18.388905182804013</v>
      </c>
      <c r="BA18">
        <f t="shared" si="18"/>
        <v>18.388905182804013</v>
      </c>
      <c r="BB18">
        <f t="shared" si="19"/>
        <v>18.341643664281619</v>
      </c>
      <c r="BC18">
        <f t="shared" si="20"/>
        <v>18.341643664281619</v>
      </c>
      <c r="BD18">
        <f t="shared" si="21"/>
        <v>14.504288447437796</v>
      </c>
      <c r="BH18">
        <v>2</v>
      </c>
      <c r="BI18">
        <v>1</v>
      </c>
      <c r="BJ18" s="5">
        <v>0.45929999999999999</v>
      </c>
      <c r="BK18" s="5">
        <v>23.982030236428201</v>
      </c>
      <c r="BL18" s="5">
        <v>0.15961430907159405</v>
      </c>
    </row>
    <row r="19" spans="1:112" x14ac:dyDescent="0.25">
      <c r="A19" s="7" t="s">
        <v>23</v>
      </c>
      <c r="B19" s="7">
        <v>3</v>
      </c>
      <c r="C19" s="7">
        <v>4</v>
      </c>
      <c r="D19" s="7">
        <v>9.6381325911766194</v>
      </c>
      <c r="E19" s="7">
        <v>54.869412778433301</v>
      </c>
      <c r="F19" s="7">
        <v>35.4924546303901</v>
      </c>
      <c r="G19" s="50">
        <v>5.2089999999999997E-2</v>
      </c>
      <c r="H19" s="50">
        <v>0.37030000000000002</v>
      </c>
      <c r="I19" s="7">
        <v>5.0729999999999997E-2</v>
      </c>
      <c r="J19" s="7">
        <v>0.41571999999999998</v>
      </c>
      <c r="K19" s="5">
        <f t="shared" si="22"/>
        <v>-4.541999999999996E-2</v>
      </c>
      <c r="L19" s="5">
        <f t="shared" si="23"/>
        <v>1.3600000000000001E-3</v>
      </c>
      <c r="M19" s="7">
        <v>1.7449189062578505</v>
      </c>
      <c r="N19" s="7">
        <v>1.6696024246605343</v>
      </c>
      <c r="O19" s="50">
        <v>1.5117415109719428</v>
      </c>
      <c r="P19" s="5">
        <f t="shared" si="0"/>
        <v>4.5866299067640941E-2</v>
      </c>
      <c r="Q19" s="5">
        <f t="shared" si="1"/>
        <v>9.6134281962926962E-2</v>
      </c>
      <c r="R19" s="5">
        <f t="shared" si="2"/>
        <v>0.14200058103056792</v>
      </c>
      <c r="S19" s="7">
        <f>AVERAGE(M19:N19)</f>
        <v>1.7072606654591924</v>
      </c>
      <c r="U19" s="50">
        <v>0.18666821642354842</v>
      </c>
      <c r="V19" s="7">
        <v>0.23788368336025853</v>
      </c>
      <c r="W19" s="7">
        <v>0.19900000000000001</v>
      </c>
      <c r="X19" s="7">
        <v>0.90200000000000002</v>
      </c>
      <c r="Y19" s="7">
        <v>0</v>
      </c>
      <c r="Z19" s="7">
        <v>1.7299999999999999E-2</v>
      </c>
      <c r="AA19" s="7">
        <f t="shared" si="24"/>
        <v>4.5672080625013658</v>
      </c>
      <c r="AB19" s="7">
        <f t="shared" si="25"/>
        <v>22.009263425097977</v>
      </c>
      <c r="AC19" s="7">
        <f t="shared" si="26"/>
        <v>17.442055362596612</v>
      </c>
      <c r="AD19">
        <f t="shared" si="4"/>
        <v>5.1215466936710113E-2</v>
      </c>
      <c r="AE19">
        <f t="shared" si="5"/>
        <v>0.31869130339134782</v>
      </c>
      <c r="AF19">
        <f t="shared" si="6"/>
        <v>0.40612945555551877</v>
      </c>
      <c r="AG19">
        <f t="shared" si="27"/>
        <v>8.7438152164170946E-2</v>
      </c>
      <c r="AH19">
        <f t="shared" si="7"/>
        <v>0.35575069227955003</v>
      </c>
      <c r="AI19">
        <f t="shared" si="8"/>
        <v>0.33396865334342035</v>
      </c>
      <c r="AJ19">
        <f t="shared" si="9"/>
        <v>0.21956671520168616</v>
      </c>
      <c r="AK19">
        <f t="shared" si="10"/>
        <v>0.11440193814173419</v>
      </c>
      <c r="AL19">
        <f t="shared" si="11"/>
        <v>2.1782038936129677E-2</v>
      </c>
      <c r="AM19">
        <f t="shared" si="28"/>
        <v>6.2668368656795082</v>
      </c>
      <c r="AN19">
        <f t="shared" si="29"/>
        <v>195.81950550441977</v>
      </c>
      <c r="AO19" s="14">
        <f t="shared" si="12"/>
        <v>0.15957013425329858</v>
      </c>
      <c r="AP19" s="14">
        <f t="shared" si="30"/>
        <v>8.3155227842101942E-2</v>
      </c>
      <c r="AQ19">
        <f t="shared" si="13"/>
        <v>0.23364513411310417</v>
      </c>
      <c r="AR19">
        <f t="shared" si="14"/>
        <v>0.32575069227955</v>
      </c>
      <c r="AS19">
        <f t="shared" si="15"/>
        <v>3.0000000000000027E-2</v>
      </c>
      <c r="AT19">
        <f t="shared" si="16"/>
        <v>9.2105558166445833E-2</v>
      </c>
      <c r="AU19">
        <v>4</v>
      </c>
      <c r="AV19">
        <f t="shared" si="31"/>
        <v>121.92</v>
      </c>
      <c r="AW19">
        <v>4</v>
      </c>
      <c r="AX19">
        <f t="shared" si="32"/>
        <v>121.92</v>
      </c>
      <c r="AY19">
        <v>89</v>
      </c>
      <c r="AZ19">
        <f t="shared" si="17"/>
        <v>18.388905182804013</v>
      </c>
      <c r="BA19">
        <f t="shared" si="18"/>
        <v>18.388905182804013</v>
      </c>
      <c r="BB19">
        <f t="shared" si="19"/>
        <v>18.341643664281619</v>
      </c>
      <c r="BC19">
        <f t="shared" si="20"/>
        <v>18.341643664281619</v>
      </c>
      <c r="BD19">
        <f t="shared" si="21"/>
        <v>14.504288447437796</v>
      </c>
      <c r="BH19">
        <v>2</v>
      </c>
      <c r="BI19">
        <v>2</v>
      </c>
      <c r="BJ19" s="5">
        <v>0.66232999999999997</v>
      </c>
      <c r="BK19" s="5">
        <v>32.287710335019199</v>
      </c>
      <c r="BL19" s="5">
        <v>0.1500769112072374</v>
      </c>
    </row>
    <row r="20" spans="1:112" x14ac:dyDescent="0.25">
      <c r="A20" s="7" t="s">
        <v>23</v>
      </c>
      <c r="B20" s="7">
        <v>3</v>
      </c>
      <c r="C20" s="7">
        <v>5</v>
      </c>
      <c r="D20" s="7">
        <v>10.7699559300021</v>
      </c>
      <c r="E20" s="7">
        <v>53.464125967018703</v>
      </c>
      <c r="F20" s="7">
        <v>35.7659181029791</v>
      </c>
      <c r="G20" s="50">
        <v>3.551E-2</v>
      </c>
      <c r="H20" s="50">
        <v>0.26371</v>
      </c>
      <c r="I20" s="7">
        <v>3.474E-2</v>
      </c>
      <c r="J20" s="7">
        <v>0.24994</v>
      </c>
      <c r="K20" s="5">
        <f t="shared" si="22"/>
        <v>1.3770000000000004E-2</v>
      </c>
      <c r="L20" s="5">
        <f t="shared" si="23"/>
        <v>7.6999999999999985E-4</v>
      </c>
      <c r="M20" s="7">
        <v>1.6791974480473844</v>
      </c>
      <c r="N20" s="7">
        <v>1.592360147619331</v>
      </c>
      <c r="O20" s="50">
        <v>1.6835459254063865</v>
      </c>
      <c r="P20" s="5">
        <f t="shared" si="0"/>
        <v>5.2574461900998258E-2</v>
      </c>
      <c r="Q20" s="5">
        <f t="shared" si="1"/>
        <v>-5.5207188345870024E-2</v>
      </c>
      <c r="R20" s="5">
        <f t="shared" si="2"/>
        <v>-2.6327264448717681E-3</v>
      </c>
      <c r="S20" s="7">
        <f t="shared" ref="S20:S36" si="33">AVERAGE(M20:O20)</f>
        <v>1.6517011736910341</v>
      </c>
      <c r="U20" s="50">
        <v>0.22048080754416247</v>
      </c>
      <c r="W20" s="7">
        <v>0.27</v>
      </c>
      <c r="Y20" s="7">
        <v>0</v>
      </c>
      <c r="AA20" s="7">
        <f t="shared" si="24"/>
        <v>6.1658757835178992</v>
      </c>
      <c r="AB20" s="7" t="str">
        <f t="shared" si="25"/>
        <v/>
      </c>
      <c r="AC20" s="7" t="str">
        <f t="shared" si="26"/>
        <v/>
      </c>
      <c r="AD20" t="str">
        <f t="shared" si="4"/>
        <v/>
      </c>
      <c r="AE20">
        <f t="shared" si="5"/>
        <v>0.36416840859704014</v>
      </c>
      <c r="AF20" t="str">
        <f t="shared" si="6"/>
        <v/>
      </c>
      <c r="AG20" t="str">
        <f t="shared" si="27"/>
        <v/>
      </c>
      <c r="AH20">
        <f t="shared" si="7"/>
        <v>0.37671653822979845</v>
      </c>
      <c r="AI20">
        <f t="shared" si="8"/>
        <v>0.34343621792082213</v>
      </c>
      <c r="AJ20">
        <f t="shared" si="9"/>
        <v>0.22057866500862144</v>
      </c>
      <c r="AK20">
        <f t="shared" si="10"/>
        <v>0.12285755291220068</v>
      </c>
      <c r="AL20">
        <f t="shared" si="11"/>
        <v>3.3280320308976319E-2</v>
      </c>
      <c r="AM20">
        <f t="shared" si="28"/>
        <v>5.8380735769286032</v>
      </c>
      <c r="AN20">
        <f t="shared" si="29"/>
        <v>161.67164139756832</v>
      </c>
      <c r="AO20" s="14">
        <f t="shared" si="12"/>
        <v>0.17128937941993147</v>
      </c>
      <c r="AP20" s="14">
        <f t="shared" si="30"/>
        <v>8.7437469862233275E-2</v>
      </c>
      <c r="AQ20">
        <f t="shared" si="13"/>
        <v>0.22044419886898975</v>
      </c>
      <c r="AR20">
        <f t="shared" si="14"/>
        <v>0.34671653822979842</v>
      </c>
      <c r="AS20">
        <f t="shared" si="15"/>
        <v>3.0000000000000027E-2</v>
      </c>
      <c r="AT20">
        <f t="shared" si="16"/>
        <v>0.12627233936080867</v>
      </c>
      <c r="AU20">
        <v>4</v>
      </c>
      <c r="AV20">
        <f t="shared" si="31"/>
        <v>121.92</v>
      </c>
      <c r="AW20">
        <v>4</v>
      </c>
      <c r="AX20">
        <f t="shared" si="32"/>
        <v>121.92</v>
      </c>
      <c r="AY20">
        <v>89</v>
      </c>
      <c r="AZ20">
        <f t="shared" si="17"/>
        <v>18.388905182804013</v>
      </c>
      <c r="BA20">
        <f t="shared" si="18"/>
        <v>18.388905182804013</v>
      </c>
      <c r="BB20">
        <f t="shared" si="19"/>
        <v>18.341643664281619</v>
      </c>
      <c r="BC20">
        <f t="shared" si="20"/>
        <v>18.341643664281619</v>
      </c>
      <c r="BD20">
        <f t="shared" si="21"/>
        <v>14.504288447437796</v>
      </c>
      <c r="BH20">
        <v>2</v>
      </c>
      <c r="BI20">
        <v>3</v>
      </c>
      <c r="BJ20" s="5">
        <v>1.7402</v>
      </c>
      <c r="BK20" s="5">
        <v>35.926153268193801</v>
      </c>
      <c r="BL20" s="5">
        <v>0.15769292780940627</v>
      </c>
    </row>
    <row r="21" spans="1:112" x14ac:dyDescent="0.25">
      <c r="A21" s="7" t="s">
        <v>23</v>
      </c>
      <c r="B21" s="7">
        <v>4</v>
      </c>
      <c r="C21" s="7">
        <v>1</v>
      </c>
      <c r="D21" s="7">
        <v>10.031601857048932</v>
      </c>
      <c r="E21" s="7">
        <v>64.638302120003587</v>
      </c>
      <c r="F21" s="7">
        <v>25.330096022947469</v>
      </c>
      <c r="G21" s="50">
        <v>0.10938000000000001</v>
      </c>
      <c r="H21" s="50">
        <v>1.3462000000000001</v>
      </c>
      <c r="I21" s="7">
        <v>0.10602</v>
      </c>
      <c r="J21" s="7">
        <v>1.1751133333333332</v>
      </c>
      <c r="K21" s="5">
        <f t="shared" si="22"/>
        <v>0.17108666666666683</v>
      </c>
      <c r="L21" s="5">
        <f t="shared" si="23"/>
        <v>3.3600000000000019E-3</v>
      </c>
      <c r="M21" s="7">
        <v>1.5331108755551957</v>
      </c>
      <c r="N21" s="7">
        <v>1.4439243143128417</v>
      </c>
      <c r="O21" s="50">
        <v>1.3738411877759655</v>
      </c>
      <c r="P21" s="5">
        <f t="shared" si="0"/>
        <v>6.1495583993573535E-2</v>
      </c>
      <c r="Q21" s="5">
        <f t="shared" si="1"/>
        <v>4.832345517582335E-2</v>
      </c>
      <c r="R21" s="5">
        <f t="shared" si="2"/>
        <v>0.10981903916939689</v>
      </c>
      <c r="S21" s="7">
        <f t="shared" si="33"/>
        <v>1.4502921258813342</v>
      </c>
      <c r="T21" s="50">
        <v>1.3743876688691443</v>
      </c>
      <c r="U21" s="50">
        <v>0.1301411377608451</v>
      </c>
      <c r="V21" s="7">
        <v>0.24781659388646282</v>
      </c>
      <c r="W21" s="7">
        <v>0.14499999999999999</v>
      </c>
      <c r="X21" s="7">
        <v>1.98</v>
      </c>
      <c r="Y21" s="7">
        <v>5.33E-2</v>
      </c>
      <c r="Z21" s="7">
        <v>0.106</v>
      </c>
      <c r="AA21" s="7">
        <f t="shared" si="24"/>
        <v>3.6819633593456169</v>
      </c>
      <c r="AB21" s="7">
        <f t="shared" si="25"/>
        <v>42.765063890739654</v>
      </c>
      <c r="AC21" s="7">
        <f t="shared" si="26"/>
        <v>39.083100531394038</v>
      </c>
      <c r="AD21">
        <f t="shared" si="4"/>
        <v>0.11767545612561772</v>
      </c>
      <c r="AE21">
        <f t="shared" si="5"/>
        <v>0.1887426673477916</v>
      </c>
      <c r="AF21">
        <f t="shared" si="6"/>
        <v>0.35940645477626942</v>
      </c>
      <c r="AG21">
        <f t="shared" si="27"/>
        <v>0.17066378742847782</v>
      </c>
      <c r="AH21">
        <f t="shared" si="7"/>
        <v>0.45271995249760977</v>
      </c>
      <c r="AI21">
        <f t="shared" si="8"/>
        <v>0.32722549676860047</v>
      </c>
      <c r="AJ21">
        <f t="shared" si="9"/>
        <v>0.16743316191261193</v>
      </c>
      <c r="AK21">
        <f t="shared" si="10"/>
        <v>0.15979233485598854</v>
      </c>
      <c r="AL21">
        <f t="shared" si="11"/>
        <v>0.1254944557290093</v>
      </c>
      <c r="AM21">
        <f t="shared" si="28"/>
        <v>3.5895288433818386</v>
      </c>
      <c r="AN21">
        <f t="shared" si="29"/>
        <v>74.435648352341346</v>
      </c>
      <c r="AO21" s="14">
        <f t="shared" si="12"/>
        <v>0.27858809432434034</v>
      </c>
      <c r="AP21" s="14">
        <f t="shared" si="30"/>
        <v>8.314939070853139E-2</v>
      </c>
      <c r="AQ21">
        <f t="shared" si="13"/>
        <v>0.17258940910940501</v>
      </c>
      <c r="AR21">
        <f t="shared" si="14"/>
        <v>0.33591574226558774</v>
      </c>
      <c r="AS21">
        <f t="shared" si="15"/>
        <v>0.11680421023202203</v>
      </c>
      <c r="AT21">
        <f t="shared" si="16"/>
        <v>0.16332633315618272</v>
      </c>
      <c r="AU21">
        <v>4</v>
      </c>
      <c r="AV21">
        <f t="shared" si="31"/>
        <v>121.92</v>
      </c>
      <c r="AW21">
        <v>4</v>
      </c>
      <c r="AX21">
        <f t="shared" si="32"/>
        <v>121.92</v>
      </c>
      <c r="AZ21">
        <f t="shared" si="17"/>
        <v>16.380811894727653</v>
      </c>
      <c r="BA21">
        <f t="shared" si="18"/>
        <v>16.380811894727653</v>
      </c>
      <c r="BB21">
        <f t="shared" si="19"/>
        <v>14.807885972096473</v>
      </c>
      <c r="BC21">
        <f t="shared" si="20"/>
        <v>14.807885972096473</v>
      </c>
      <c r="BD21" t="str">
        <f t="shared" si="21"/>
        <v/>
      </c>
      <c r="BH21">
        <v>2</v>
      </c>
      <c r="BI21">
        <v>4</v>
      </c>
      <c r="BJ21" s="5">
        <v>0.44463999999999998</v>
      </c>
      <c r="BK21" s="5">
        <v>27.179494113310302</v>
      </c>
      <c r="BL21" s="5">
        <v>0.1388597744012883</v>
      </c>
    </row>
    <row r="22" spans="1:112" x14ac:dyDescent="0.25">
      <c r="A22" s="7" t="s">
        <v>23</v>
      </c>
      <c r="B22" s="7">
        <v>4</v>
      </c>
      <c r="C22" s="7">
        <v>2</v>
      </c>
      <c r="D22" s="7">
        <v>11.536758417642099</v>
      </c>
      <c r="E22" s="7">
        <v>61.283747469047597</v>
      </c>
      <c r="F22" s="7">
        <v>27.179494113310302</v>
      </c>
      <c r="G22" s="50">
        <v>6.386E-2</v>
      </c>
      <c r="H22" s="50">
        <v>0.50039999999999996</v>
      </c>
      <c r="I22" s="7">
        <v>5.5320000000000001E-2</v>
      </c>
      <c r="J22" s="7">
        <v>0.44463999999999998</v>
      </c>
      <c r="K22" s="5">
        <f t="shared" si="22"/>
        <v>5.5759999999999976E-2</v>
      </c>
      <c r="L22" s="5">
        <f t="shared" si="23"/>
        <v>8.539999999999999E-3</v>
      </c>
      <c r="M22" s="7">
        <v>1.7229264234010069</v>
      </c>
      <c r="N22" s="7">
        <v>1.5672712167674943</v>
      </c>
      <c r="O22" s="50">
        <v>1.7178545608825075</v>
      </c>
      <c r="P22" s="5">
        <f t="shared" si="0"/>
        <v>9.3242961765162641E-2</v>
      </c>
      <c r="Q22" s="5">
        <f t="shared" si="1"/>
        <v>-9.0204737133178017E-2</v>
      </c>
      <c r="R22" s="5">
        <f t="shared" si="2"/>
        <v>3.0382246319846287E-3</v>
      </c>
      <c r="S22" s="7">
        <f t="shared" si="33"/>
        <v>1.6693507336836697</v>
      </c>
      <c r="T22" s="50">
        <v>1.4973274941232309</v>
      </c>
      <c r="U22" s="50">
        <v>0.14547038327526127</v>
      </c>
      <c r="V22" s="7">
        <v>0.2122161315583399</v>
      </c>
      <c r="W22" s="7">
        <v>0.105</v>
      </c>
      <c r="X22" s="7">
        <v>1.41</v>
      </c>
      <c r="Y22" s="7">
        <v>2.2100000000000002E-2</v>
      </c>
      <c r="Z22" s="7">
        <v>6.3E-2</v>
      </c>
      <c r="AA22" s="7">
        <f t="shared" si="24"/>
        <v>2.7532495885351849</v>
      </c>
      <c r="AB22" s="7">
        <f t="shared" si="25"/>
        <v>33.767505058884296</v>
      </c>
      <c r="AC22" s="7">
        <f t="shared" si="26"/>
        <v>31.014255470349113</v>
      </c>
      <c r="AD22">
        <f t="shared" si="4"/>
        <v>6.6745748283078637E-2</v>
      </c>
      <c r="AE22">
        <f t="shared" si="5"/>
        <v>0.24284109104980203</v>
      </c>
      <c r="AF22">
        <f t="shared" si="6"/>
        <v>0.3542631549164249</v>
      </c>
      <c r="AG22">
        <f t="shared" si="27"/>
        <v>0.11142206386662287</v>
      </c>
      <c r="AH22">
        <f t="shared" si="7"/>
        <v>0.37005632691182277</v>
      </c>
      <c r="AI22">
        <f t="shared" si="8"/>
        <v>0.31430105405630815</v>
      </c>
      <c r="AJ22">
        <f t="shared" si="9"/>
        <v>0.17544127965501985</v>
      </c>
      <c r="AK22">
        <f t="shared" si="10"/>
        <v>0.1388597744012883</v>
      </c>
      <c r="AL22">
        <f t="shared" si="11"/>
        <v>5.5755272855514626E-2</v>
      </c>
      <c r="AM22">
        <f t="shared" si="28"/>
        <v>4.2315286680073907</v>
      </c>
      <c r="AN22">
        <f t="shared" si="29"/>
        <v>133.43761762151027</v>
      </c>
      <c r="AO22" s="14">
        <f t="shared" si="12"/>
        <v>0.236321215914365</v>
      </c>
      <c r="AP22" s="14">
        <f t="shared" si="30"/>
        <v>8.0621101028405584E-2</v>
      </c>
      <c r="AQ22">
        <f t="shared" si="13"/>
        <v>0.22463773432323997</v>
      </c>
      <c r="AR22">
        <f t="shared" si="14"/>
        <v>0.34005632691182275</v>
      </c>
      <c r="AS22">
        <f t="shared" si="15"/>
        <v>3.0000000000000027E-2</v>
      </c>
      <c r="AT22">
        <f t="shared" si="16"/>
        <v>0.11541859258858278</v>
      </c>
      <c r="AU22">
        <v>4</v>
      </c>
      <c r="AV22">
        <f t="shared" si="31"/>
        <v>121.92</v>
      </c>
      <c r="AW22">
        <v>4</v>
      </c>
      <c r="AX22">
        <f t="shared" si="32"/>
        <v>121.92</v>
      </c>
      <c r="AZ22">
        <f t="shared" si="17"/>
        <v>16.380811894727653</v>
      </c>
      <c r="BA22">
        <f t="shared" si="18"/>
        <v>16.380811894727653</v>
      </c>
      <c r="BB22">
        <f t="shared" si="19"/>
        <v>14.807885972096473</v>
      </c>
      <c r="BC22">
        <f t="shared" si="20"/>
        <v>14.807885972096473</v>
      </c>
      <c r="BD22" t="str">
        <f t="shared" si="21"/>
        <v/>
      </c>
      <c r="BF22" s="5"/>
      <c r="BG22" s="5"/>
      <c r="BH22">
        <v>2</v>
      </c>
      <c r="BI22">
        <v>5</v>
      </c>
      <c r="BJ22" s="5">
        <v>0.48715999999999998</v>
      </c>
      <c r="BK22" s="5">
        <v>30.444344140176501</v>
      </c>
      <c r="BL22" s="5">
        <v>0.14655245194835931</v>
      </c>
    </row>
    <row r="23" spans="1:112" x14ac:dyDescent="0.25">
      <c r="A23" s="7" t="s">
        <v>23</v>
      </c>
      <c r="B23" s="7">
        <v>4</v>
      </c>
      <c r="C23" s="7">
        <v>3</v>
      </c>
      <c r="D23" s="7">
        <v>10.0963012115967</v>
      </c>
      <c r="E23" s="7">
        <v>54.264166450530503</v>
      </c>
      <c r="F23" s="7">
        <v>35.639532337872801</v>
      </c>
      <c r="G23" s="50">
        <v>4.7289999999999999E-2</v>
      </c>
      <c r="H23" s="50">
        <v>0.35219</v>
      </c>
      <c r="I23" s="7">
        <v>4.8520000000000001E-2</v>
      </c>
      <c r="J23" s="7">
        <v>0.32990999999999998</v>
      </c>
      <c r="K23" s="5">
        <f t="shared" si="22"/>
        <v>2.2280000000000022E-2</v>
      </c>
      <c r="L23" s="5">
        <f t="shared" si="23"/>
        <v>-1.2300000000000019E-3</v>
      </c>
      <c r="M23" s="7">
        <v>1.6600490174588132</v>
      </c>
      <c r="N23" s="7">
        <v>1.6522886271788342</v>
      </c>
      <c r="O23" s="50">
        <v>1.6620229777365991</v>
      </c>
      <c r="P23" s="5">
        <f t="shared" si="0"/>
        <v>4.6802338244678653E-3</v>
      </c>
      <c r="Q23" s="5">
        <f t="shared" si="1"/>
        <v>-5.8707146285176884E-3</v>
      </c>
      <c r="R23" s="5">
        <f t="shared" si="2"/>
        <v>-1.1904808040498233E-3</v>
      </c>
      <c r="S23" s="7">
        <f t="shared" si="33"/>
        <v>1.6581202074580823</v>
      </c>
      <c r="T23" s="50">
        <v>1.6398669558877084</v>
      </c>
      <c r="U23" s="50">
        <v>0.15741731641441156</v>
      </c>
      <c r="V23" s="7">
        <v>0.21871794871794856</v>
      </c>
      <c r="W23" s="7">
        <v>0.20499999999999999</v>
      </c>
      <c r="X23" s="7">
        <v>0.91600000000000004</v>
      </c>
      <c r="Y23" s="7">
        <v>9.1000000000000004E-3</v>
      </c>
      <c r="Z23" s="7">
        <v>0</v>
      </c>
      <c r="AA23" s="7">
        <f t="shared" si="24"/>
        <v>4.6546950145679835</v>
      </c>
      <c r="AB23" s="7">
        <f t="shared" si="25"/>
        <v>20.969267906135027</v>
      </c>
      <c r="AC23" s="7">
        <f t="shared" si="26"/>
        <v>16.314572891567042</v>
      </c>
      <c r="AD23">
        <f t="shared" si="4"/>
        <v>6.1300632303536995E-2</v>
      </c>
      <c r="AE23">
        <f t="shared" si="5"/>
        <v>0.2610168333505587</v>
      </c>
      <c r="AF23">
        <f t="shared" si="6"/>
        <v>0.36266065050301105</v>
      </c>
      <c r="AG23">
        <f t="shared" si="27"/>
        <v>0.10164381715245235</v>
      </c>
      <c r="AH23">
        <f t="shared" si="7"/>
        <v>0.37429426133657273</v>
      </c>
      <c r="AI23">
        <f t="shared" si="8"/>
        <v>0.34271781914240446</v>
      </c>
      <c r="AJ23">
        <f t="shared" si="9"/>
        <v>0.22036424430350723</v>
      </c>
      <c r="AK23">
        <f t="shared" si="10"/>
        <v>0.12235357483889722</v>
      </c>
      <c r="AL23">
        <f t="shared" si="11"/>
        <v>3.1576442194168275E-2</v>
      </c>
      <c r="AM23">
        <f t="shared" si="28"/>
        <v>5.8732206705442005</v>
      </c>
      <c r="AN23">
        <f t="shared" si="29"/>
        <v>166.67774547088501</v>
      </c>
      <c r="AO23" s="14">
        <f t="shared" si="12"/>
        <v>0.17026433299454796</v>
      </c>
      <c r="AP23" s="14">
        <f t="shared" si="30"/>
        <v>8.6681547667584014E-2</v>
      </c>
      <c r="AQ23">
        <f t="shared" si="13"/>
        <v>0.22196936129204037</v>
      </c>
      <c r="AR23">
        <f t="shared" si="14"/>
        <v>0.3442942613365727</v>
      </c>
      <c r="AS23">
        <f t="shared" si="15"/>
        <v>3.0000000000000027E-2</v>
      </c>
      <c r="AT23">
        <f t="shared" si="16"/>
        <v>0.12232490004453234</v>
      </c>
      <c r="AU23">
        <v>4</v>
      </c>
      <c r="AV23">
        <f t="shared" si="31"/>
        <v>121.92</v>
      </c>
      <c r="AW23">
        <v>4</v>
      </c>
      <c r="AX23">
        <f t="shared" si="32"/>
        <v>121.92</v>
      </c>
      <c r="AZ23">
        <f t="shared" si="17"/>
        <v>16.380811894727653</v>
      </c>
      <c r="BA23">
        <f t="shared" si="18"/>
        <v>16.380811894727653</v>
      </c>
      <c r="BB23">
        <f t="shared" si="19"/>
        <v>14.807885972096473</v>
      </c>
      <c r="BC23">
        <f t="shared" si="20"/>
        <v>14.807885972096473</v>
      </c>
      <c r="BD23" t="str">
        <f t="shared" si="21"/>
        <v/>
      </c>
      <c r="BF23" s="5"/>
      <c r="BG23" s="5"/>
      <c r="BH23">
        <v>2</v>
      </c>
      <c r="BI23">
        <v>6</v>
      </c>
      <c r="BJ23" s="5">
        <v>1.365</v>
      </c>
      <c r="BK23" s="5">
        <v>25.448690004291599</v>
      </c>
      <c r="BL23" s="5">
        <v>0.15988975778437053</v>
      </c>
      <c r="CT23" s="5"/>
      <c r="CU23" s="5"/>
    </row>
    <row r="24" spans="1:112" x14ac:dyDescent="0.25">
      <c r="A24" s="7" t="s">
        <v>23</v>
      </c>
      <c r="B24" s="7">
        <v>4</v>
      </c>
      <c r="C24" s="7">
        <v>4</v>
      </c>
      <c r="D24" s="7">
        <v>8.4133078486046902</v>
      </c>
      <c r="E24" s="7">
        <v>57.374113362411798</v>
      </c>
      <c r="F24" s="7">
        <v>34.2125787889835</v>
      </c>
      <c r="G24" s="50">
        <v>3.585E-2</v>
      </c>
      <c r="H24" s="50">
        <v>0.25674999999999998</v>
      </c>
      <c r="I24" s="7">
        <v>3.2579999999999998E-2</v>
      </c>
      <c r="J24" s="7">
        <v>0.27506000000000003</v>
      </c>
      <c r="K24" s="5">
        <f t="shared" si="22"/>
        <v>-1.8310000000000048E-2</v>
      </c>
      <c r="L24" s="5">
        <f t="shared" si="23"/>
        <v>3.2700000000000021E-3</v>
      </c>
      <c r="M24" s="7">
        <v>1.7567218062728109</v>
      </c>
      <c r="N24" s="7">
        <v>1.7040318641525658</v>
      </c>
      <c r="O24" s="50">
        <v>1.6968958852490073</v>
      </c>
      <c r="P24" s="5">
        <f t="shared" si="0"/>
        <v>3.0647647664783444E-2</v>
      </c>
      <c r="Q24" s="5">
        <f t="shared" si="1"/>
        <v>4.1507156466501086E-3</v>
      </c>
      <c r="R24" s="5">
        <f t="shared" si="2"/>
        <v>3.4798363311433551E-2</v>
      </c>
      <c r="S24" s="7">
        <f t="shared" si="33"/>
        <v>1.7192165185581281</v>
      </c>
      <c r="U24" s="50">
        <v>0.1949740034662045</v>
      </c>
      <c r="W24" s="7">
        <v>0.374</v>
      </c>
      <c r="Y24" s="7">
        <v>2.8299999999999999E-2</v>
      </c>
      <c r="AA24" s="7">
        <f t="shared" si="24"/>
        <v>9.362840833970429</v>
      </c>
      <c r="AB24" s="7" t="str">
        <f t="shared" si="25"/>
        <v/>
      </c>
      <c r="AC24" s="7" t="str">
        <f t="shared" si="26"/>
        <v/>
      </c>
      <c r="AD24" t="str">
        <f t="shared" si="4"/>
        <v/>
      </c>
      <c r="AE24">
        <f t="shared" si="5"/>
        <v>0.33520252744850848</v>
      </c>
      <c r="AF24" t="str">
        <f t="shared" si="6"/>
        <v/>
      </c>
      <c r="AG24" t="str">
        <f t="shared" si="27"/>
        <v/>
      </c>
      <c r="AH24">
        <f t="shared" si="7"/>
        <v>0.3512390496007064</v>
      </c>
      <c r="AI24">
        <f t="shared" si="8"/>
        <v>0.32990719906129196</v>
      </c>
      <c r="AJ24">
        <f t="shared" si="9"/>
        <v>0.213484671388186</v>
      </c>
      <c r="AK24">
        <f t="shared" si="10"/>
        <v>0.11642252767310596</v>
      </c>
      <c r="AL24">
        <f t="shared" si="11"/>
        <v>2.1331850539414443E-2</v>
      </c>
      <c r="AM24">
        <f t="shared" si="28"/>
        <v>6.030629465427352</v>
      </c>
      <c r="AN24">
        <f t="shared" si="29"/>
        <v>200.73437307855059</v>
      </c>
      <c r="AO24" s="14">
        <f t="shared" si="12"/>
        <v>0.16582016947531636</v>
      </c>
      <c r="AP24" s="14">
        <f t="shared" si="30"/>
        <v>8.1641935341341482E-2</v>
      </c>
      <c r="AQ24">
        <f t="shared" si="13"/>
        <v>0.23648584480941126</v>
      </c>
      <c r="AR24">
        <f t="shared" si="14"/>
        <v>0.32123904960070637</v>
      </c>
      <c r="AS24">
        <f t="shared" si="15"/>
        <v>3.0000000000000027E-2</v>
      </c>
      <c r="AT24">
        <f t="shared" si="16"/>
        <v>8.4753204791295111E-2</v>
      </c>
      <c r="AU24">
        <v>4</v>
      </c>
      <c r="AV24">
        <f t="shared" si="31"/>
        <v>121.92</v>
      </c>
      <c r="AW24">
        <v>4</v>
      </c>
      <c r="AX24">
        <f t="shared" si="32"/>
        <v>121.92</v>
      </c>
      <c r="AZ24">
        <f t="shared" si="17"/>
        <v>16.380811894727653</v>
      </c>
      <c r="BA24">
        <f t="shared" si="18"/>
        <v>16.380811894727653</v>
      </c>
      <c r="BB24">
        <f t="shared" si="19"/>
        <v>14.807885972096473</v>
      </c>
      <c r="BC24">
        <f t="shared" si="20"/>
        <v>14.807885972096473</v>
      </c>
      <c r="BD24" t="str">
        <f t="shared" si="21"/>
        <v/>
      </c>
      <c r="BF24" s="5"/>
      <c r="BG24" s="5"/>
      <c r="BH24">
        <v>2</v>
      </c>
      <c r="BI24">
        <v>7</v>
      </c>
      <c r="BJ24" s="5">
        <v>0.43107000000000001</v>
      </c>
      <c r="BK24" s="5">
        <v>37.020358085756797</v>
      </c>
      <c r="BL24" s="5">
        <v>9.4158431171692925E-2</v>
      </c>
      <c r="CT24" s="5"/>
      <c r="CU24" s="5"/>
    </row>
    <row r="25" spans="1:112" x14ac:dyDescent="0.25">
      <c r="A25" s="7" t="s">
        <v>23</v>
      </c>
      <c r="B25" s="7">
        <v>4</v>
      </c>
      <c r="C25" s="7">
        <v>5</v>
      </c>
      <c r="D25" s="7">
        <v>9.6967346570338098</v>
      </c>
      <c r="E25" s="7">
        <v>59.476247948084897</v>
      </c>
      <c r="F25" s="7">
        <v>30.827017394881299</v>
      </c>
      <c r="G25" s="50">
        <v>4.5454999999999995E-2</v>
      </c>
      <c r="H25" s="50">
        <v>0.23146</v>
      </c>
      <c r="I25" s="7">
        <v>3.7530000000000001E-2</v>
      </c>
      <c r="J25" s="7">
        <v>0.25351000000000001</v>
      </c>
      <c r="K25" s="5">
        <f t="shared" si="22"/>
        <v>-2.2050000000000014E-2</v>
      </c>
      <c r="L25" s="5">
        <f t="shared" si="23"/>
        <v>7.9249999999999945E-3</v>
      </c>
      <c r="M25" s="7">
        <v>1.737746917931146</v>
      </c>
      <c r="N25" s="7">
        <v>1.7018652965018501</v>
      </c>
      <c r="O25" s="50">
        <v>1.6128775703857365</v>
      </c>
      <c r="P25" s="5">
        <f t="shared" si="0"/>
        <v>2.1305310623552211E-2</v>
      </c>
      <c r="Q25" s="5">
        <f t="shared" si="1"/>
        <v>5.2837945194958692E-2</v>
      </c>
      <c r="R25" s="5">
        <f t="shared" si="2"/>
        <v>7.4143255818510903E-2</v>
      </c>
      <c r="S25" s="7">
        <f t="shared" si="33"/>
        <v>1.6841632616062441</v>
      </c>
      <c r="U25" s="50">
        <v>0.20062545104642757</v>
      </c>
      <c r="W25" s="7">
        <v>0.373</v>
      </c>
      <c r="Y25" s="7">
        <v>0</v>
      </c>
      <c r="AA25" s="7">
        <f t="shared" si="24"/>
        <v>8.5441554641204132</v>
      </c>
      <c r="AB25" s="7" t="str">
        <f t="shared" si="25"/>
        <v/>
      </c>
      <c r="AC25" s="7" t="str">
        <f t="shared" si="26"/>
        <v/>
      </c>
      <c r="AD25" t="str">
        <f t="shared" si="4"/>
        <v/>
      </c>
      <c r="AE25">
        <f t="shared" si="5"/>
        <v>0.33788601399557533</v>
      </c>
      <c r="AF25" t="str">
        <f t="shared" si="6"/>
        <v/>
      </c>
      <c r="AG25" t="str">
        <f t="shared" si="27"/>
        <v/>
      </c>
      <c r="AH25">
        <f t="shared" si="7"/>
        <v>0.36446669373349283</v>
      </c>
      <c r="AI25">
        <f t="shared" si="8"/>
        <v>0.32611923908398321</v>
      </c>
      <c r="AJ25">
        <f t="shared" si="9"/>
        <v>0.19539104078459341</v>
      </c>
      <c r="AK25">
        <f t="shared" si="10"/>
        <v>0.13072819829938981</v>
      </c>
      <c r="AL25">
        <f t="shared" si="11"/>
        <v>3.8347454649509616E-2</v>
      </c>
      <c r="AM25">
        <f t="shared" si="28"/>
        <v>4.9540193904466188</v>
      </c>
      <c r="AN25">
        <f t="shared" si="29"/>
        <v>159.84085126101698</v>
      </c>
      <c r="AO25" s="14">
        <f t="shared" si="12"/>
        <v>0.20185629509816011</v>
      </c>
      <c r="AP25" s="14">
        <f t="shared" si="30"/>
        <v>8.2761291430554551E-2</v>
      </c>
      <c r="AQ25">
        <f t="shared" si="13"/>
        <v>0.22815719095764364</v>
      </c>
      <c r="AR25">
        <f t="shared" si="14"/>
        <v>0.3344666937334928</v>
      </c>
      <c r="AS25">
        <f t="shared" si="15"/>
        <v>3.0000000000000027E-2</v>
      </c>
      <c r="AT25">
        <f t="shared" si="16"/>
        <v>0.10630950277584916</v>
      </c>
      <c r="AU25">
        <v>4</v>
      </c>
      <c r="AV25">
        <f t="shared" si="31"/>
        <v>121.92</v>
      </c>
      <c r="AW25">
        <v>4</v>
      </c>
      <c r="AX25">
        <f t="shared" si="32"/>
        <v>121.92</v>
      </c>
      <c r="AZ25">
        <f t="shared" si="17"/>
        <v>16.380811894727653</v>
      </c>
      <c r="BA25">
        <f t="shared" si="18"/>
        <v>16.380811894727653</v>
      </c>
      <c r="BB25">
        <f t="shared" si="19"/>
        <v>14.807885972096473</v>
      </c>
      <c r="BC25">
        <f t="shared" si="20"/>
        <v>14.807885972096473</v>
      </c>
      <c r="BD25" t="str">
        <f t="shared" si="21"/>
        <v/>
      </c>
      <c r="BF25" s="5"/>
      <c r="BG25" s="5"/>
      <c r="BH25">
        <v>2</v>
      </c>
      <c r="BI25">
        <v>8</v>
      </c>
      <c r="BJ25" s="5">
        <v>0.48124</v>
      </c>
      <c r="BK25" s="5">
        <v>26.0632700013606</v>
      </c>
      <c r="BL25" s="5">
        <v>0.16181210702707199</v>
      </c>
      <c r="CT25" s="5"/>
      <c r="CU25" s="5"/>
    </row>
    <row r="26" spans="1:112" x14ac:dyDescent="0.25">
      <c r="A26" s="7" t="s">
        <v>23</v>
      </c>
      <c r="B26" s="7">
        <v>5</v>
      </c>
      <c r="C26" s="7">
        <v>1</v>
      </c>
      <c r="D26" s="7">
        <v>9.3806807756021335</v>
      </c>
      <c r="E26" s="7">
        <v>61.780788547732698</v>
      </c>
      <c r="F26" s="7">
        <v>28.838530676665201</v>
      </c>
      <c r="G26" s="50">
        <v>9.0179999999999996E-2</v>
      </c>
      <c r="H26" s="50">
        <v>0.93993000000000004</v>
      </c>
      <c r="I26" s="7">
        <v>9.1473333333333337E-2</v>
      </c>
      <c r="J26" s="7">
        <v>0.99858000000000002</v>
      </c>
      <c r="K26" s="5">
        <f t="shared" si="22"/>
        <v>-5.864999999999998E-2</v>
      </c>
      <c r="L26" s="5">
        <f t="shared" si="23"/>
        <v>-1.2933333333333408E-3</v>
      </c>
      <c r="M26" s="7">
        <v>1.4717034951418635</v>
      </c>
      <c r="N26" s="50"/>
      <c r="O26" s="50">
        <v>1.4692031619083934</v>
      </c>
      <c r="P26" s="5" t="str">
        <f t="shared" si="0"/>
        <v/>
      </c>
      <c r="Q26" s="5" t="str">
        <f t="shared" si="1"/>
        <v/>
      </c>
      <c r="R26" s="5">
        <f t="shared" si="2"/>
        <v>1.7003825860817654E-3</v>
      </c>
      <c r="S26" s="7">
        <f t="shared" si="33"/>
        <v>1.4704533285251284</v>
      </c>
      <c r="T26" s="50">
        <v>1.2202615798818885</v>
      </c>
      <c r="U26" s="50">
        <v>0.1120578363026075</v>
      </c>
      <c r="V26" s="7">
        <v>0.24183648416400672</v>
      </c>
      <c r="W26" s="7">
        <v>8.4500000000000006E-2</v>
      </c>
      <c r="X26" s="7">
        <v>1.07</v>
      </c>
      <c r="Y26" s="7">
        <v>4.9799999999999997E-2</v>
      </c>
      <c r="Z26" s="7">
        <v>8.5400000000000004E-2</v>
      </c>
      <c r="AA26" s="7">
        <f t="shared" si="24"/>
        <v>2.4878443612432553</v>
      </c>
      <c r="AB26" s="7">
        <f t="shared" si="25"/>
        <v>23.90102896668196</v>
      </c>
      <c r="AC26" s="7">
        <f t="shared" si="26"/>
        <v>21.413184605438705</v>
      </c>
      <c r="AD26">
        <f t="shared" si="4"/>
        <v>0.1297786478613992</v>
      </c>
      <c r="AE26">
        <f t="shared" si="5"/>
        <v>0.16477581837849317</v>
      </c>
      <c r="AF26">
        <f t="shared" si="6"/>
        <v>0.35560926309777818</v>
      </c>
      <c r="AG26">
        <f t="shared" si="27"/>
        <v>0.19083344471928501</v>
      </c>
      <c r="AH26">
        <f t="shared" si="7"/>
        <v>0.44511195149995153</v>
      </c>
      <c r="AI26">
        <f t="shared" si="8"/>
        <v>0.34071103187996826</v>
      </c>
      <c r="AJ26">
        <f t="shared" si="9"/>
        <v>0.18402222632942217</v>
      </c>
      <c r="AK26">
        <f t="shared" si="10"/>
        <v>0.1566888055505461</v>
      </c>
      <c r="AL26">
        <f t="shared" si="11"/>
        <v>0.10440091961998327</v>
      </c>
      <c r="AM26">
        <f t="shared" si="28"/>
        <v>3.9261320808702611</v>
      </c>
      <c r="AN26">
        <f t="shared" si="29"/>
        <v>84.630471399409515</v>
      </c>
      <c r="AO26" s="14">
        <f t="shared" si="12"/>
        <v>0.25470360634895944</v>
      </c>
      <c r="AP26" s="14">
        <f t="shared" si="30"/>
        <v>8.868783601970065E-2</v>
      </c>
      <c r="AQ26">
        <f t="shared" si="13"/>
        <v>0.17737971085757054</v>
      </c>
      <c r="AR26">
        <f t="shared" si="14"/>
        <v>0.33941774316481482</v>
      </c>
      <c r="AS26">
        <f t="shared" si="15"/>
        <v>0.10569420833513671</v>
      </c>
      <c r="AT26">
        <f t="shared" si="16"/>
        <v>0.16203803230724428</v>
      </c>
      <c r="AU26">
        <v>3</v>
      </c>
      <c r="AV26">
        <f t="shared" si="31"/>
        <v>91.44</v>
      </c>
      <c r="AW26">
        <v>3</v>
      </c>
      <c r="AX26">
        <f t="shared" si="32"/>
        <v>91.44</v>
      </c>
      <c r="AY26">
        <v>81</v>
      </c>
      <c r="AZ26">
        <f t="shared" si="17"/>
        <v>12.325533865139922</v>
      </c>
      <c r="BA26">
        <f t="shared" si="18"/>
        <v>12.325533865139922</v>
      </c>
      <c r="BB26">
        <f t="shared" si="19"/>
        <v>12.538723478022858</v>
      </c>
      <c r="BC26">
        <f t="shared" si="20"/>
        <v>12.538723478022858</v>
      </c>
      <c r="BD26">
        <f t="shared" si="21"/>
        <v>10.918287872663317</v>
      </c>
      <c r="BF26" s="5"/>
      <c r="BG26" s="5"/>
      <c r="BH26">
        <v>2</v>
      </c>
      <c r="BI26">
        <v>9</v>
      </c>
      <c r="BJ26" s="5">
        <v>0.74982000000000004</v>
      </c>
      <c r="BK26" s="5">
        <v>30.927656569839598</v>
      </c>
      <c r="BL26" s="5">
        <v>0.15085877600543646</v>
      </c>
      <c r="CT26" s="5"/>
      <c r="CU26" s="5"/>
    </row>
    <row r="27" spans="1:112" x14ac:dyDescent="0.25">
      <c r="A27" s="7" t="s">
        <v>23</v>
      </c>
      <c r="B27" s="7">
        <v>5</v>
      </c>
      <c r="C27" s="7">
        <v>2</v>
      </c>
      <c r="D27" s="7">
        <v>8.5699062305921299</v>
      </c>
      <c r="E27" s="7">
        <v>60.9857496292313</v>
      </c>
      <c r="F27" s="7">
        <v>30.444344140176501</v>
      </c>
      <c r="G27" s="50">
        <v>5.2359999999999997E-2</v>
      </c>
      <c r="H27" s="50">
        <v>0.39117000000000002</v>
      </c>
      <c r="I27" s="7">
        <v>5.8959999999999999E-2</v>
      </c>
      <c r="J27" s="7">
        <v>0.48715999999999998</v>
      </c>
      <c r="K27" s="5">
        <f t="shared" si="22"/>
        <v>-9.5989999999999964E-2</v>
      </c>
      <c r="L27" s="5">
        <f t="shared" si="23"/>
        <v>-6.6000000000000017E-3</v>
      </c>
      <c r="M27" s="7">
        <v>1.564338263778809</v>
      </c>
      <c r="N27" s="50"/>
      <c r="O27" s="50">
        <v>1.5716951953004534</v>
      </c>
      <c r="P27" s="5" t="str">
        <f t="shared" si="0"/>
        <v/>
      </c>
      <c r="Q27" s="5" t="str">
        <f t="shared" si="1"/>
        <v/>
      </c>
      <c r="R27" s="5">
        <f t="shared" si="2"/>
        <v>-4.6918705540880271E-3</v>
      </c>
      <c r="S27" s="7">
        <f t="shared" si="33"/>
        <v>1.5680167295396312</v>
      </c>
      <c r="T27" s="50">
        <v>1.4843593135750022</v>
      </c>
      <c r="U27" s="50">
        <v>0.12896890343698847</v>
      </c>
      <c r="V27" s="7">
        <v>0.24008919722497518</v>
      </c>
      <c r="W27" s="7">
        <v>6.3200000000000006E-2</v>
      </c>
      <c r="X27" s="7">
        <v>1.08</v>
      </c>
      <c r="Y27" s="7">
        <v>2.06E-2</v>
      </c>
      <c r="Z27" s="7">
        <v>5.33E-2</v>
      </c>
      <c r="AA27" s="7">
        <f t="shared" si="24"/>
        <v>1.6805261150670312</v>
      </c>
      <c r="AB27" s="7">
        <f t="shared" si="25"/>
        <v>24.964167065732298</v>
      </c>
      <c r="AC27" s="7">
        <f t="shared" si="26"/>
        <v>23.283640950665266</v>
      </c>
      <c r="AD27">
        <f t="shared" si="4"/>
        <v>0.11112029378798671</v>
      </c>
      <c r="AE27">
        <f t="shared" si="5"/>
        <v>0.20222539817957916</v>
      </c>
      <c r="AF27">
        <f t="shared" si="6"/>
        <v>0.37646387783050111</v>
      </c>
      <c r="AG27">
        <f t="shared" si="27"/>
        <v>0.17423847965092196</v>
      </c>
      <c r="AH27">
        <f t="shared" si="7"/>
        <v>0.40829557375862968</v>
      </c>
      <c r="AI27">
        <f t="shared" si="8"/>
        <v>0.34025891724878909</v>
      </c>
      <c r="AJ27">
        <f t="shared" si="9"/>
        <v>0.19370646530042979</v>
      </c>
      <c r="AK27">
        <f t="shared" si="10"/>
        <v>0.14655245194835931</v>
      </c>
      <c r="AL27">
        <f t="shared" si="11"/>
        <v>6.8036656509840587E-2</v>
      </c>
      <c r="AM27">
        <f t="shared" si="28"/>
        <v>4.4122045954996194</v>
      </c>
      <c r="AN27">
        <f t="shared" si="29"/>
        <v>115.43795123404732</v>
      </c>
      <c r="AO27" s="14">
        <f t="shared" si="12"/>
        <v>0.22664406836890216</v>
      </c>
      <c r="AP27" s="14">
        <f t="shared" si="30"/>
        <v>8.71298381677931E-2</v>
      </c>
      <c r="AQ27">
        <f t="shared" si="13"/>
        <v>0.2005607749386164</v>
      </c>
      <c r="AR27">
        <f t="shared" si="14"/>
        <v>0.35636450592103397</v>
      </c>
      <c r="AS27">
        <f t="shared" si="15"/>
        <v>5.1931067837595712E-2</v>
      </c>
      <c r="AT27">
        <f t="shared" si="16"/>
        <v>0.15580373098241757</v>
      </c>
      <c r="AU27">
        <v>3</v>
      </c>
      <c r="AV27">
        <f t="shared" si="31"/>
        <v>91.44</v>
      </c>
      <c r="AW27">
        <v>3</v>
      </c>
      <c r="AX27">
        <f t="shared" si="32"/>
        <v>91.44</v>
      </c>
      <c r="AY27">
        <v>81</v>
      </c>
      <c r="AZ27">
        <f t="shared" si="17"/>
        <v>12.325533865139922</v>
      </c>
      <c r="BA27">
        <f t="shared" si="18"/>
        <v>12.325533865139922</v>
      </c>
      <c r="BB27">
        <f t="shared" si="19"/>
        <v>12.538723478022858</v>
      </c>
      <c r="BC27">
        <f t="shared" si="20"/>
        <v>12.538723478022858</v>
      </c>
      <c r="BD27">
        <f t="shared" si="21"/>
        <v>10.918287872663317</v>
      </c>
      <c r="BF27" s="5"/>
      <c r="BG27" s="5"/>
      <c r="BH27">
        <v>2</v>
      </c>
      <c r="BI27">
        <v>10</v>
      </c>
      <c r="BJ27" s="5">
        <v>0.78525999999999996</v>
      </c>
      <c r="BK27" s="5">
        <v>25.789390190803399</v>
      </c>
      <c r="BL27" s="5">
        <v>0.17979681127946101</v>
      </c>
      <c r="CT27" s="5"/>
      <c r="CU27" s="5"/>
    </row>
    <row r="28" spans="1:112" x14ac:dyDescent="0.25">
      <c r="A28" s="7" t="s">
        <v>23</v>
      </c>
      <c r="B28" s="7">
        <v>5</v>
      </c>
      <c r="C28" s="7">
        <v>3</v>
      </c>
      <c r="D28" s="7">
        <v>7.3198088854216898</v>
      </c>
      <c r="E28" s="7">
        <v>52.901372422313202</v>
      </c>
      <c r="F28" s="7">
        <v>39.778818692265098</v>
      </c>
      <c r="G28" s="50">
        <v>5.058E-2</v>
      </c>
      <c r="H28" s="50">
        <v>0.31829000000000002</v>
      </c>
      <c r="I28" s="7">
        <v>5.2690000000000001E-2</v>
      </c>
      <c r="J28" s="7">
        <v>0.33650000000000002</v>
      </c>
      <c r="K28" s="5">
        <f t="shared" si="22"/>
        <v>-1.8210000000000004E-2</v>
      </c>
      <c r="L28" s="5">
        <f t="shared" si="23"/>
        <v>-2.1100000000000008E-3</v>
      </c>
      <c r="M28" s="7">
        <v>1.704938361176624</v>
      </c>
      <c r="N28" s="50"/>
      <c r="O28" s="51"/>
      <c r="P28" s="5" t="str">
        <f t="shared" si="0"/>
        <v/>
      </c>
      <c r="Q28" s="5" t="str">
        <f t="shared" si="1"/>
        <v/>
      </c>
      <c r="R28" s="5" t="str">
        <f t="shared" si="2"/>
        <v/>
      </c>
      <c r="S28" s="7">
        <f t="shared" si="33"/>
        <v>1.704938361176624</v>
      </c>
      <c r="T28" s="50">
        <v>1.5766654964261004</v>
      </c>
      <c r="U28" s="50">
        <v>0.16185267475645182</v>
      </c>
      <c r="V28" s="7">
        <v>0.22002294893861143</v>
      </c>
      <c r="W28" s="7">
        <v>5.1499999999999997E-2</v>
      </c>
      <c r="X28" s="7">
        <v>0.80700000000000005</v>
      </c>
      <c r="Y28" s="7">
        <v>0</v>
      </c>
      <c r="Z28" s="7">
        <v>0</v>
      </c>
      <c r="AA28" s="7">
        <f t="shared" si="24"/>
        <v>1.1556745488746414</v>
      </c>
      <c r="AB28" s="7">
        <f t="shared" si="25"/>
        <v>19.015983527310148</v>
      </c>
      <c r="AC28" s="7">
        <f t="shared" si="26"/>
        <v>17.860308978435505</v>
      </c>
      <c r="AD28">
        <f t="shared" si="4"/>
        <v>5.8170274182159615E-2</v>
      </c>
      <c r="AE28">
        <f t="shared" si="5"/>
        <v>0.27594883405131809</v>
      </c>
      <c r="AF28">
        <f t="shared" si="6"/>
        <v>0.37512556598464419</v>
      </c>
      <c r="AG28">
        <f t="shared" si="27"/>
        <v>9.9176731933326101E-2</v>
      </c>
      <c r="AH28">
        <f t="shared" si="7"/>
        <v>0.35662703351825509</v>
      </c>
      <c r="AI28">
        <f t="shared" si="8"/>
        <v>0.34397126336274197</v>
      </c>
      <c r="AJ28">
        <f t="shared" si="9"/>
        <v>0.24283148854078379</v>
      </c>
      <c r="AK28">
        <f t="shared" si="10"/>
        <v>0.10113977482195818</v>
      </c>
      <c r="AL28">
        <f t="shared" si="11"/>
        <v>1.2655770155513113E-2</v>
      </c>
      <c r="AM28">
        <f t="shared" si="28"/>
        <v>7.8582449575311122</v>
      </c>
      <c r="AN28">
        <f t="shared" si="29"/>
        <v>228.05932116016908</v>
      </c>
      <c r="AO28" s="14">
        <f t="shared" si="12"/>
        <v>0.12725487757182083</v>
      </c>
      <c r="AP28" s="14">
        <f t="shared" si="30"/>
        <v>8.1086709981899499E-2</v>
      </c>
      <c r="AQ28">
        <f t="shared" si="13"/>
        <v>0.23309335461556591</v>
      </c>
      <c r="AR28">
        <f t="shared" si="14"/>
        <v>0.32662703351825506</v>
      </c>
      <c r="AS28">
        <f t="shared" si="15"/>
        <v>3.0000000000000027E-2</v>
      </c>
      <c r="AT28">
        <f t="shared" si="16"/>
        <v>9.3533678902689155E-2</v>
      </c>
      <c r="AU28">
        <v>3</v>
      </c>
      <c r="AV28">
        <f t="shared" si="31"/>
        <v>91.44</v>
      </c>
      <c r="AW28">
        <v>3</v>
      </c>
      <c r="AX28">
        <f t="shared" si="32"/>
        <v>91.44</v>
      </c>
      <c r="AY28">
        <v>81</v>
      </c>
      <c r="AZ28">
        <f t="shared" si="17"/>
        <v>12.325533865139922</v>
      </c>
      <c r="BA28">
        <f t="shared" si="18"/>
        <v>12.325533865139922</v>
      </c>
      <c r="BB28">
        <f t="shared" si="19"/>
        <v>12.538723478022858</v>
      </c>
      <c r="BC28">
        <f t="shared" si="20"/>
        <v>12.538723478022858</v>
      </c>
      <c r="BD28">
        <f t="shared" si="21"/>
        <v>10.918287872663317</v>
      </c>
      <c r="BF28" s="5"/>
      <c r="BG28" s="5"/>
      <c r="BH28">
        <v>2</v>
      </c>
      <c r="BI28">
        <v>11</v>
      </c>
      <c r="BJ28" s="5">
        <v>1.1084000000000001</v>
      </c>
      <c r="BK28" s="5">
        <v>29.677673346103301</v>
      </c>
      <c r="BL28" s="5">
        <v>0.16256472784891357</v>
      </c>
      <c r="CT28" s="5"/>
      <c r="CU28" s="5"/>
    </row>
    <row r="29" spans="1:112" x14ac:dyDescent="0.25">
      <c r="A29" s="7" t="s">
        <v>23</v>
      </c>
      <c r="B29" s="7">
        <v>5</v>
      </c>
      <c r="C29" s="7">
        <v>4</v>
      </c>
      <c r="D29" s="7">
        <v>7.5493923361225397</v>
      </c>
      <c r="E29" s="7">
        <v>57.705733845538496</v>
      </c>
      <c r="F29" s="7">
        <v>34.744873818339002</v>
      </c>
      <c r="G29" s="50"/>
      <c r="H29" s="50"/>
      <c r="I29" s="7">
        <v>4.9509999999999998E-2</v>
      </c>
      <c r="J29" s="7">
        <v>0.27800000000000002</v>
      </c>
      <c r="K29" s="5" t="str">
        <f t="shared" si="22"/>
        <v/>
      </c>
      <c r="L29" s="5" t="str">
        <f t="shared" si="23"/>
        <v/>
      </c>
      <c r="M29" s="7">
        <v>1.7149228704544419</v>
      </c>
      <c r="N29" s="50"/>
      <c r="O29" s="51"/>
      <c r="P29" s="5" t="str">
        <f t="shared" si="0"/>
        <v/>
      </c>
      <c r="Q29" s="5" t="str">
        <f t="shared" si="1"/>
        <v/>
      </c>
      <c r="R29" s="5" t="str">
        <f t="shared" si="2"/>
        <v/>
      </c>
      <c r="S29" s="7">
        <f t="shared" si="33"/>
        <v>1.7149228704544419</v>
      </c>
      <c r="U29" s="50">
        <v>0.18496197445831516</v>
      </c>
      <c r="V29" s="7">
        <v>0.2281067556296914</v>
      </c>
      <c r="W29" s="7">
        <v>0.251</v>
      </c>
      <c r="X29" s="7">
        <v>0.77300000000000002</v>
      </c>
      <c r="Y29" s="7">
        <v>0</v>
      </c>
      <c r="Z29" s="7">
        <v>0</v>
      </c>
      <c r="AA29" s="7">
        <f t="shared" si="24"/>
        <v>5.7781831440438562</v>
      </c>
      <c r="AB29" s="7">
        <f t="shared" si="25"/>
        <v>18.442881754483913</v>
      </c>
      <c r="AC29" s="7">
        <f t="shared" si="26"/>
        <v>12.664698610440057</v>
      </c>
      <c r="AD29">
        <f t="shared" si="4"/>
        <v>4.314478117137624E-2</v>
      </c>
      <c r="AE29">
        <f t="shared" si="5"/>
        <v>0.31719552016297503</v>
      </c>
      <c r="AF29">
        <f t="shared" si="6"/>
        <v>0.39118549213452031</v>
      </c>
      <c r="AG29">
        <f t="shared" si="27"/>
        <v>7.3989971971545276E-2</v>
      </c>
      <c r="AH29">
        <f t="shared" si="7"/>
        <v>0.35285929416813511</v>
      </c>
      <c r="AI29">
        <f t="shared" si="8"/>
        <v>0.33253492568234716</v>
      </c>
      <c r="AJ29">
        <f t="shared" si="9"/>
        <v>0.21686177795386871</v>
      </c>
      <c r="AK29">
        <f t="shared" si="10"/>
        <v>0.11567314772847845</v>
      </c>
      <c r="AL29">
        <f t="shared" si="11"/>
        <v>2.0324368485787947E-2</v>
      </c>
      <c r="AM29">
        <f t="shared" si="28"/>
        <v>6.1772127385608062</v>
      </c>
      <c r="AN29">
        <f t="shared" si="29"/>
        <v>203.988269041569</v>
      </c>
      <c r="AO29" s="14">
        <f t="shared" si="12"/>
        <v>0.16188531014280469</v>
      </c>
      <c r="AP29" s="14">
        <f t="shared" si="30"/>
        <v>8.156715646806606E-2</v>
      </c>
      <c r="AQ29">
        <f t="shared" si="13"/>
        <v>0.23546567401997542</v>
      </c>
      <c r="AR29">
        <f t="shared" si="14"/>
        <v>0.32285929416813508</v>
      </c>
      <c r="AS29">
        <f t="shared" si="15"/>
        <v>3.0000000000000027E-2</v>
      </c>
      <c r="AT29">
        <f t="shared" si="16"/>
        <v>8.7393620148159656E-2</v>
      </c>
      <c r="AU29">
        <v>3</v>
      </c>
      <c r="AV29">
        <f t="shared" si="31"/>
        <v>91.44</v>
      </c>
      <c r="AW29">
        <v>3</v>
      </c>
      <c r="AX29">
        <f t="shared" si="32"/>
        <v>91.44</v>
      </c>
      <c r="AY29">
        <v>81</v>
      </c>
      <c r="AZ29">
        <f t="shared" si="17"/>
        <v>12.325533865139922</v>
      </c>
      <c r="BA29">
        <f t="shared" si="18"/>
        <v>12.325533865139922</v>
      </c>
      <c r="BB29">
        <f t="shared" si="19"/>
        <v>12.538723478022858</v>
      </c>
      <c r="BC29">
        <f t="shared" si="20"/>
        <v>12.538723478022858</v>
      </c>
      <c r="BD29">
        <f t="shared" si="21"/>
        <v>10.918287872663317</v>
      </c>
      <c r="BF29" s="5"/>
      <c r="BG29" s="5"/>
      <c r="BH29">
        <v>2</v>
      </c>
      <c r="BI29">
        <v>12</v>
      </c>
      <c r="BJ29" s="5">
        <v>1.3627</v>
      </c>
      <c r="BK29" s="5">
        <v>24.709536051346898</v>
      </c>
      <c r="BL29" s="5">
        <v>0.16700465005411178</v>
      </c>
      <c r="BP29" s="5"/>
      <c r="BQ29" s="5"/>
      <c r="CT29" s="5"/>
      <c r="CU29" s="5"/>
    </row>
    <row r="30" spans="1:112" x14ac:dyDescent="0.25">
      <c r="A30" s="7" t="s">
        <v>23</v>
      </c>
      <c r="B30" s="7">
        <v>5</v>
      </c>
      <c r="C30" s="7">
        <v>5</v>
      </c>
      <c r="D30" s="7">
        <v>8.9717833222093208</v>
      </c>
      <c r="E30" s="7">
        <v>60.337339052915503</v>
      </c>
      <c r="F30" s="7">
        <v>30.690877624875199</v>
      </c>
      <c r="G30" s="50">
        <v>4.3580000000000001E-2</v>
      </c>
      <c r="H30" s="50">
        <v>0.23028000000000001</v>
      </c>
      <c r="I30" s="7">
        <v>4.3430000000000003E-2</v>
      </c>
      <c r="J30" s="7">
        <v>0.26841999999999999</v>
      </c>
      <c r="K30" s="5">
        <f t="shared" si="22"/>
        <v>-3.8139999999999979E-2</v>
      </c>
      <c r="L30" s="5">
        <f t="shared" si="23"/>
        <v>1.4999999999999736E-4</v>
      </c>
      <c r="M30" s="7">
        <v>1.709005342281696</v>
      </c>
      <c r="N30" s="50"/>
      <c r="O30" s="51"/>
      <c r="P30" s="5" t="str">
        <f t="shared" si="0"/>
        <v/>
      </c>
      <c r="Q30" s="5" t="str">
        <f t="shared" si="1"/>
        <v/>
      </c>
      <c r="R30" s="5" t="str">
        <f t="shared" si="2"/>
        <v/>
      </c>
      <c r="S30" s="7">
        <f t="shared" si="33"/>
        <v>1.709005342281696</v>
      </c>
      <c r="U30" s="50">
        <v>0.20146627565982372</v>
      </c>
      <c r="W30" s="7">
        <v>0.24099999999999999</v>
      </c>
      <c r="Y30" s="7">
        <v>0</v>
      </c>
      <c r="AA30" s="7">
        <f t="shared" si="24"/>
        <v>5.605839032723595</v>
      </c>
      <c r="AB30" s="7" t="str">
        <f t="shared" si="25"/>
        <v/>
      </c>
      <c r="AC30" s="7" t="str">
        <f t="shared" si="26"/>
        <v/>
      </c>
      <c r="AD30" t="str">
        <f t="shared" si="4"/>
        <v/>
      </c>
      <c r="AE30">
        <f t="shared" si="5"/>
        <v>0.34430694139223555</v>
      </c>
      <c r="AF30" t="str">
        <f t="shared" si="6"/>
        <v/>
      </c>
      <c r="AG30" t="str">
        <f t="shared" si="27"/>
        <v/>
      </c>
      <c r="AH30">
        <f t="shared" si="7"/>
        <v>0.35509232366728449</v>
      </c>
      <c r="AI30">
        <f t="shared" si="8"/>
        <v>0.32268098702346404</v>
      </c>
      <c r="AJ30">
        <f t="shared" si="9"/>
        <v>0.19490314821219917</v>
      </c>
      <c r="AK30">
        <f t="shared" si="10"/>
        <v>0.12777783881126487</v>
      </c>
      <c r="AL30">
        <f t="shared" si="11"/>
        <v>3.2411336643820454E-2</v>
      </c>
      <c r="AM30">
        <f t="shared" si="28"/>
        <v>5.0715760061178434</v>
      </c>
      <c r="AN30">
        <f t="shared" si="29"/>
        <v>174.28523348104011</v>
      </c>
      <c r="AO30" s="14">
        <f t="shared" si="12"/>
        <v>0.19717736632433383</v>
      </c>
      <c r="AP30" s="14">
        <f t="shared" si="30"/>
        <v>8.1064447801199979E-2</v>
      </c>
      <c r="AQ30">
        <f t="shared" si="13"/>
        <v>0.23405966932613098</v>
      </c>
      <c r="AR30">
        <f t="shared" si="14"/>
        <v>0.32509232366728447</v>
      </c>
      <c r="AS30">
        <f t="shared" si="15"/>
        <v>3.0000000000000027E-2</v>
      </c>
      <c r="AT30">
        <f t="shared" si="16"/>
        <v>9.1032654341153485E-2</v>
      </c>
      <c r="AU30">
        <v>3</v>
      </c>
      <c r="AV30">
        <f t="shared" si="31"/>
        <v>91.44</v>
      </c>
      <c r="AW30">
        <v>3</v>
      </c>
      <c r="AX30">
        <f t="shared" si="32"/>
        <v>91.44</v>
      </c>
      <c r="AY30">
        <v>81</v>
      </c>
      <c r="AZ30">
        <f t="shared" si="17"/>
        <v>12.325533865139922</v>
      </c>
      <c r="BA30">
        <f t="shared" si="18"/>
        <v>12.325533865139922</v>
      </c>
      <c r="BB30">
        <f t="shared" si="19"/>
        <v>12.538723478022858</v>
      </c>
      <c r="BC30">
        <f t="shared" si="20"/>
        <v>12.538723478022858</v>
      </c>
      <c r="BD30">
        <f t="shared" si="21"/>
        <v>10.918287872663317</v>
      </c>
      <c r="BF30" s="5"/>
      <c r="BG30" s="5"/>
      <c r="BH30">
        <v>3</v>
      </c>
      <c r="BI30">
        <v>1</v>
      </c>
      <c r="BJ30" s="5">
        <v>0.39022000000000001</v>
      </c>
      <c r="BK30" s="5">
        <v>28.1768065164235</v>
      </c>
      <c r="BL30" s="5">
        <v>0.13831703599047088</v>
      </c>
      <c r="BP30" s="5"/>
      <c r="BQ30" s="5"/>
      <c r="CT30" s="5"/>
      <c r="CU30" s="5"/>
    </row>
    <row r="31" spans="1:112" x14ac:dyDescent="0.25">
      <c r="A31" s="7" t="s">
        <v>23</v>
      </c>
      <c r="B31" s="7">
        <v>6</v>
      </c>
      <c r="C31" s="7">
        <v>1</v>
      </c>
      <c r="D31" s="7">
        <v>13.766703388661</v>
      </c>
      <c r="E31" s="7">
        <v>61.755790235175702</v>
      </c>
      <c r="F31" s="7">
        <v>24.477506376163333</v>
      </c>
      <c r="G31" s="50">
        <v>0.12032</v>
      </c>
      <c r="H31" s="50">
        <v>1.6133999999999999</v>
      </c>
      <c r="I31" s="7">
        <v>0.12735333333333335</v>
      </c>
      <c r="J31" s="7">
        <v>1.5502</v>
      </c>
      <c r="K31" s="5">
        <f t="shared" si="22"/>
        <v>6.3199999999999923E-2</v>
      </c>
      <c r="L31" s="5">
        <f t="shared" si="23"/>
        <v>-7.0333333333333498E-3</v>
      </c>
      <c r="M31" s="7">
        <v>1.4809818070307719</v>
      </c>
      <c r="N31" s="7">
        <v>1.420233616884353</v>
      </c>
      <c r="O31" s="50">
        <v>1.3846698368532739</v>
      </c>
      <c r="P31" s="5">
        <f t="shared" si="0"/>
        <v>4.2522036720736352E-2</v>
      </c>
      <c r="Q31" s="5">
        <f t="shared" si="1"/>
        <v>2.4893652909902902E-2</v>
      </c>
      <c r="R31" s="5">
        <f t="shared" si="2"/>
        <v>6.7415689630639264E-2</v>
      </c>
      <c r="S31" s="7">
        <f t="shared" si="33"/>
        <v>1.428628420256133</v>
      </c>
      <c r="T31" s="50">
        <v>1.3871163801742945</v>
      </c>
      <c r="U31" s="50">
        <v>9.1350885826771616E-2</v>
      </c>
      <c r="V31" s="7">
        <v>0.28354519774011305</v>
      </c>
      <c r="W31" s="7">
        <v>0.313</v>
      </c>
      <c r="X31" s="7">
        <v>1.91</v>
      </c>
      <c r="Y31" s="7">
        <v>0</v>
      </c>
      <c r="Z31" s="7">
        <v>5.1400000000000001E-2</v>
      </c>
      <c r="AA31" s="7">
        <f t="shared" si="24"/>
        <v>5.5283636612685232</v>
      </c>
      <c r="AB31" s="7">
        <f t="shared" si="25"/>
        <v>40.744143986799408</v>
      </c>
      <c r="AC31" s="7">
        <f t="shared" si="26"/>
        <v>35.215780325530886</v>
      </c>
      <c r="AD31">
        <f t="shared" si="4"/>
        <v>0.19219431191334144</v>
      </c>
      <c r="AE31">
        <f t="shared" si="5"/>
        <v>0.13050647170769911</v>
      </c>
      <c r="AF31">
        <f t="shared" si="6"/>
        <v>0.40508072791867056</v>
      </c>
      <c r="AG31">
        <f t="shared" si="27"/>
        <v>0.27457425621097142</v>
      </c>
      <c r="AH31">
        <f t="shared" si="7"/>
        <v>0.46089493575240259</v>
      </c>
      <c r="AI31">
        <f t="shared" si="8"/>
        <v>0.31824043566593552</v>
      </c>
      <c r="AJ31">
        <f t="shared" si="9"/>
        <v>0.16150033484493961</v>
      </c>
      <c r="AK31">
        <f t="shared" si="10"/>
        <v>0.1567401008209959</v>
      </c>
      <c r="AL31">
        <f t="shared" si="11"/>
        <v>0.14265450008646707</v>
      </c>
      <c r="AM31">
        <f t="shared" si="28"/>
        <v>3.4719936593493879</v>
      </c>
      <c r="AN31">
        <f t="shared" si="29"/>
        <v>63.571935160125683</v>
      </c>
      <c r="AO31" s="14">
        <f t="shared" si="12"/>
        <v>0.28801895916693254</v>
      </c>
      <c r="AP31" s="14">
        <f t="shared" si="30"/>
        <v>8.3209388851095342E-2</v>
      </c>
      <c r="AQ31">
        <f t="shared" si="13"/>
        <v>0.16744211265285724</v>
      </c>
      <c r="AR31">
        <f t="shared" si="14"/>
        <v>0.33215275659849031</v>
      </c>
      <c r="AS31">
        <f t="shared" si="15"/>
        <v>0.12874217915391228</v>
      </c>
      <c r="AT31">
        <f t="shared" si="16"/>
        <v>0.16471064394563306</v>
      </c>
      <c r="AU31">
        <v>5</v>
      </c>
      <c r="AV31">
        <f t="shared" si="31"/>
        <v>152.4</v>
      </c>
      <c r="AW31">
        <v>5</v>
      </c>
      <c r="AX31">
        <f t="shared" si="32"/>
        <v>152.4</v>
      </c>
      <c r="AY31">
        <v>91</v>
      </c>
      <c r="AZ31">
        <f t="shared" si="17"/>
        <v>22.150010135578857</v>
      </c>
      <c r="BA31">
        <f t="shared" si="18"/>
        <v>22.150010135578857</v>
      </c>
      <c r="BB31">
        <f t="shared" si="19"/>
        <v>23.474279594515828</v>
      </c>
      <c r="BC31">
        <f t="shared" si="20"/>
        <v>23.474279594515828</v>
      </c>
      <c r="BD31">
        <f t="shared" si="21"/>
        <v>14.388790817156805</v>
      </c>
      <c r="BF31" s="5"/>
      <c r="BG31" s="5"/>
      <c r="BH31">
        <v>3</v>
      </c>
      <c r="BI31">
        <v>2</v>
      </c>
      <c r="BJ31" s="5">
        <v>0.46684999999999999</v>
      </c>
      <c r="BK31" s="5">
        <v>29.983083493845101</v>
      </c>
      <c r="BL31" s="5">
        <v>0.13558737578315616</v>
      </c>
      <c r="BP31" s="5"/>
      <c r="BQ31" s="5"/>
      <c r="CT31" s="5"/>
      <c r="CU31" s="5"/>
    </row>
    <row r="32" spans="1:112" x14ac:dyDescent="0.25">
      <c r="A32" s="7" t="s">
        <v>23</v>
      </c>
      <c r="B32" s="7">
        <v>6</v>
      </c>
      <c r="C32" s="7">
        <v>2</v>
      </c>
      <c r="D32" s="7">
        <v>13.1151640493788</v>
      </c>
      <c r="E32" s="7">
        <v>61.436145946329603</v>
      </c>
      <c r="F32" s="7">
        <v>25.448690004291599</v>
      </c>
      <c r="G32" s="50">
        <v>0.11975</v>
      </c>
      <c r="H32" s="50">
        <v>1.4748000000000001</v>
      </c>
      <c r="I32" s="7">
        <v>0.10321</v>
      </c>
      <c r="J32" s="7">
        <v>1.365</v>
      </c>
      <c r="K32" s="5">
        <f t="shared" si="22"/>
        <v>0.10980000000000012</v>
      </c>
      <c r="L32" s="5">
        <f t="shared" si="23"/>
        <v>1.6539999999999999E-2</v>
      </c>
      <c r="M32" s="7">
        <v>1.3911585581478885</v>
      </c>
      <c r="N32" s="7">
        <v>1.2987682413363941</v>
      </c>
      <c r="O32" s="50">
        <v>1.4275186848150976</v>
      </c>
      <c r="P32" s="5">
        <f t="shared" si="0"/>
        <v>6.7316240492166737E-2</v>
      </c>
      <c r="Q32" s="5">
        <f t="shared" si="1"/>
        <v>-9.3808486817606146E-2</v>
      </c>
      <c r="R32" s="5">
        <f t="shared" si="2"/>
        <v>-2.6492246325439409E-2</v>
      </c>
      <c r="S32" s="7">
        <f t="shared" si="33"/>
        <v>1.3724818280997935</v>
      </c>
      <c r="T32" s="50">
        <v>1.3965477842093701</v>
      </c>
      <c r="U32" s="50">
        <v>0.12094332981344603</v>
      </c>
      <c r="V32" s="7">
        <v>0.29684456564082606</v>
      </c>
      <c r="W32" s="7">
        <v>0.17299999999999999</v>
      </c>
      <c r="X32" s="7">
        <v>1.5</v>
      </c>
      <c r="Y32" s="7">
        <v>1.2699999999999999E-2</v>
      </c>
      <c r="Z32" s="7">
        <v>4.8500000000000001E-2</v>
      </c>
      <c r="AA32" s="7">
        <f t="shared" si="24"/>
        <v>3.236463690937434</v>
      </c>
      <c r="AB32" s="7">
        <f t="shared" si="25"/>
        <v>31.22297738805841</v>
      </c>
      <c r="AC32" s="7">
        <f t="shared" si="26"/>
        <v>27.986513697120976</v>
      </c>
      <c r="AD32">
        <f t="shared" si="4"/>
        <v>0.17590123582738004</v>
      </c>
      <c r="AE32">
        <f t="shared" si="5"/>
        <v>0.16599252239883466</v>
      </c>
      <c r="AF32">
        <f t="shared" si="6"/>
        <v>0.40741377211221008</v>
      </c>
      <c r="AG32">
        <f t="shared" si="27"/>
        <v>0.24142124971337542</v>
      </c>
      <c r="AH32">
        <f t="shared" si="7"/>
        <v>0.48208232901894588</v>
      </c>
      <c r="AI32">
        <f t="shared" si="8"/>
        <v>0.32583715663560037</v>
      </c>
      <c r="AJ32">
        <f t="shared" si="9"/>
        <v>0.16594739885122983</v>
      </c>
      <c r="AK32">
        <f t="shared" si="10"/>
        <v>0.15988975778437053</v>
      </c>
      <c r="AL32">
        <f t="shared" si="11"/>
        <v>0.15624517238334551</v>
      </c>
      <c r="AM32">
        <f t="shared" si="28"/>
        <v>3.4752008395111953</v>
      </c>
      <c r="AN32">
        <f t="shared" si="29"/>
        <v>57.739194965423366</v>
      </c>
      <c r="AO32" s="14">
        <f t="shared" si="12"/>
        <v>0.28775315332297602</v>
      </c>
      <c r="AP32" s="14">
        <f t="shared" si="30"/>
        <v>8.5961597673148538E-2</v>
      </c>
      <c r="AQ32">
        <f t="shared" si="13"/>
        <v>0.15410168235651095</v>
      </c>
      <c r="AR32">
        <f t="shared" si="14"/>
        <v>0.32240009354093413</v>
      </c>
      <c r="AS32">
        <f t="shared" si="15"/>
        <v>0.15968223547801175</v>
      </c>
      <c r="AT32">
        <f t="shared" si="16"/>
        <v>0.16829841118442318</v>
      </c>
      <c r="AU32">
        <v>5</v>
      </c>
      <c r="AV32">
        <f t="shared" si="31"/>
        <v>152.4</v>
      </c>
      <c r="AW32">
        <v>5</v>
      </c>
      <c r="AX32">
        <f t="shared" si="32"/>
        <v>152.4</v>
      </c>
      <c r="AY32">
        <v>91</v>
      </c>
      <c r="AZ32">
        <f t="shared" si="17"/>
        <v>22.150010135578857</v>
      </c>
      <c r="BA32">
        <f t="shared" si="18"/>
        <v>22.150010135578857</v>
      </c>
      <c r="BB32">
        <f t="shared" si="19"/>
        <v>23.474279594515828</v>
      </c>
      <c r="BC32">
        <f t="shared" si="20"/>
        <v>23.474279594515828</v>
      </c>
      <c r="BD32">
        <f t="shared" si="21"/>
        <v>14.388790817156805</v>
      </c>
      <c r="BF32" s="5"/>
      <c r="BG32" s="5"/>
      <c r="BH32">
        <v>3</v>
      </c>
      <c r="BI32">
        <v>3</v>
      </c>
      <c r="BJ32" s="5">
        <v>0.83631999999999995</v>
      </c>
      <c r="BK32" s="5">
        <v>28.194706898130502</v>
      </c>
      <c r="BL32" s="5">
        <v>0.16104443275391539</v>
      </c>
      <c r="BP32" s="5"/>
      <c r="BQ32" s="5"/>
      <c r="CT32" s="5"/>
      <c r="CU32" s="5"/>
    </row>
    <row r="33" spans="1:99" x14ac:dyDescent="0.25">
      <c r="A33" s="7" t="s">
        <v>23</v>
      </c>
      <c r="B33" s="7">
        <v>6</v>
      </c>
      <c r="C33" s="7">
        <v>3</v>
      </c>
      <c r="D33" s="7">
        <v>12.721072302959801</v>
      </c>
      <c r="E33" s="7">
        <v>62.660115633965802</v>
      </c>
      <c r="F33" s="7">
        <v>24.618812063074401</v>
      </c>
      <c r="G33" s="50">
        <v>8.8639999999999997E-2</v>
      </c>
      <c r="H33" s="50">
        <v>0.78873000000000004</v>
      </c>
      <c r="I33" s="7">
        <v>9.3490000000000004E-2</v>
      </c>
      <c r="J33" s="7">
        <v>0.96452000000000004</v>
      </c>
      <c r="K33" s="5">
        <f t="shared" si="22"/>
        <v>-0.17579</v>
      </c>
      <c r="L33" s="5">
        <f t="shared" si="23"/>
        <v>-4.8500000000000071E-3</v>
      </c>
      <c r="M33" s="7">
        <v>1.3295659855001953</v>
      </c>
      <c r="N33" s="7">
        <v>1.4568212913235263</v>
      </c>
      <c r="O33" s="50">
        <v>1.5183396125602671</v>
      </c>
      <c r="P33" s="5">
        <f t="shared" si="0"/>
        <v>-8.8685281849465739E-2</v>
      </c>
      <c r="Q33" s="5">
        <f t="shared" si="1"/>
        <v>-4.287263012326252E-2</v>
      </c>
      <c r="R33" s="5">
        <f t="shared" si="2"/>
        <v>-0.13155791197272826</v>
      </c>
      <c r="S33" s="7">
        <f t="shared" si="33"/>
        <v>1.4349089631279963</v>
      </c>
      <c r="T33" s="50">
        <v>1.2770342112024005</v>
      </c>
      <c r="U33" s="50">
        <v>0.13723311373918584</v>
      </c>
      <c r="V33" s="7">
        <v>0.3493877551020409</v>
      </c>
      <c r="W33" s="7">
        <v>0.34799999999999998</v>
      </c>
      <c r="X33" s="7">
        <v>2.58</v>
      </c>
      <c r="Y33" s="7">
        <v>4.3899999999999998E-3</v>
      </c>
      <c r="Z33" s="7">
        <v>0.106</v>
      </c>
      <c r="AA33" s="7">
        <f t="shared" si="24"/>
        <v>6.5142736194201065</v>
      </c>
      <c r="AB33" s="7">
        <f t="shared" si="25"/>
        <v>58.91633147699519</v>
      </c>
      <c r="AC33" s="7">
        <f t="shared" si="26"/>
        <v>52.40205785757508</v>
      </c>
      <c r="AD33">
        <f t="shared" si="4"/>
        <v>0.21215464136285506</v>
      </c>
      <c r="AE33">
        <f t="shared" si="5"/>
        <v>0.19691702494232155</v>
      </c>
      <c r="AF33">
        <f t="shared" si="6"/>
        <v>0.50133962140308785</v>
      </c>
      <c r="AG33">
        <f t="shared" si="27"/>
        <v>0.3044225964607663</v>
      </c>
      <c r="AH33">
        <f t="shared" si="7"/>
        <v>0.45852491957434094</v>
      </c>
      <c r="AI33">
        <f t="shared" si="8"/>
        <v>0.32042789949288031</v>
      </c>
      <c r="AJ33">
        <f t="shared" si="9"/>
        <v>0.16270201687329711</v>
      </c>
      <c r="AK33">
        <f t="shared" si="10"/>
        <v>0.1577258826195832</v>
      </c>
      <c r="AL33">
        <f t="shared" si="11"/>
        <v>0.13809702008146063</v>
      </c>
      <c r="AM33">
        <f t="shared" si="28"/>
        <v>3.4963321259538227</v>
      </c>
      <c r="AN33">
        <f t="shared" si="29"/>
        <v>66.428059517588466</v>
      </c>
      <c r="AO33" s="14">
        <f t="shared" si="12"/>
        <v>0.28601401811253652</v>
      </c>
      <c r="AP33" s="14">
        <f t="shared" si="30"/>
        <v>8.3007709972507462E-2</v>
      </c>
      <c r="AQ33">
        <f t="shared" si="13"/>
        <v>0.16893436963921193</v>
      </c>
      <c r="AR33">
        <f t="shared" si="14"/>
        <v>0.33324368689533296</v>
      </c>
      <c r="AS33">
        <f t="shared" si="15"/>
        <v>0.12528123267900798</v>
      </c>
      <c r="AT33">
        <f t="shared" si="16"/>
        <v>0.16430931725612102</v>
      </c>
      <c r="AU33">
        <v>5</v>
      </c>
      <c r="AV33">
        <f t="shared" si="31"/>
        <v>152.4</v>
      </c>
      <c r="AW33">
        <v>5</v>
      </c>
      <c r="AX33">
        <f t="shared" si="32"/>
        <v>152.4</v>
      </c>
      <c r="AY33">
        <v>91</v>
      </c>
      <c r="AZ33">
        <f t="shared" si="17"/>
        <v>22.150010135578857</v>
      </c>
      <c r="BA33">
        <f t="shared" si="18"/>
        <v>22.150010135578857</v>
      </c>
      <c r="BB33">
        <f t="shared" si="19"/>
        <v>23.474279594515828</v>
      </c>
      <c r="BC33">
        <f t="shared" si="20"/>
        <v>23.474279594515828</v>
      </c>
      <c r="BD33">
        <f t="shared" si="21"/>
        <v>14.388790817156805</v>
      </c>
      <c r="BF33" s="5"/>
      <c r="BG33" s="5"/>
      <c r="BH33">
        <v>3</v>
      </c>
      <c r="BI33">
        <v>4</v>
      </c>
      <c r="BJ33" s="5">
        <v>0.32990999999999998</v>
      </c>
      <c r="BK33" s="5">
        <v>35.639532337872801</v>
      </c>
      <c r="BL33" s="5">
        <v>0.12235357483889722</v>
      </c>
      <c r="BP33" s="5"/>
      <c r="BQ33" s="5"/>
      <c r="CT33" s="5"/>
      <c r="CU33" s="5"/>
    </row>
    <row r="34" spans="1:99" x14ac:dyDescent="0.25">
      <c r="A34" s="7" t="s">
        <v>23</v>
      </c>
      <c r="B34" s="7">
        <v>6</v>
      </c>
      <c r="C34" s="7">
        <v>4</v>
      </c>
      <c r="D34" s="7">
        <v>10.565434912656601</v>
      </c>
      <c r="E34" s="7">
        <v>57.950478074733397</v>
      </c>
      <c r="F34" s="7">
        <v>31.484087012610001</v>
      </c>
      <c r="G34" s="50">
        <v>4.5449999999999997E-2</v>
      </c>
      <c r="H34" s="50">
        <v>0.43432999999999999</v>
      </c>
      <c r="I34" s="7">
        <v>5.9760000000000001E-2</v>
      </c>
      <c r="J34" s="7">
        <v>0.44013999999999998</v>
      </c>
      <c r="K34" s="5">
        <f t="shared" si="22"/>
        <v>-5.8099999999999818E-3</v>
      </c>
      <c r="L34" s="5">
        <f t="shared" si="23"/>
        <v>-1.4310000000000003E-2</v>
      </c>
      <c r="M34" s="7">
        <v>1.6434463523859419</v>
      </c>
      <c r="N34" s="7">
        <v>1.6506533120312701</v>
      </c>
      <c r="O34" s="50">
        <v>1.5650171859074262</v>
      </c>
      <c r="P34" s="5">
        <f t="shared" si="0"/>
        <v>-4.4495490851470089E-3</v>
      </c>
      <c r="Q34" s="5">
        <f t="shared" si="1"/>
        <v>5.2871413939009813E-2</v>
      </c>
      <c r="R34" s="5">
        <f t="shared" si="2"/>
        <v>4.8421864853862809E-2</v>
      </c>
      <c r="S34" s="7">
        <f t="shared" si="33"/>
        <v>1.6197056167748796</v>
      </c>
      <c r="U34" s="50">
        <v>0.20734951779181904</v>
      </c>
      <c r="V34" s="7">
        <v>0.3957481602616516</v>
      </c>
      <c r="W34" s="7">
        <v>0.52400000000000002</v>
      </c>
      <c r="X34" s="7">
        <v>1.95</v>
      </c>
      <c r="Y34" s="7">
        <v>0</v>
      </c>
      <c r="Z34" s="7">
        <v>4.87E-2</v>
      </c>
      <c r="AA34" s="7">
        <f t="shared" si="24"/>
        <v>11.608309094307831</v>
      </c>
      <c r="AB34" s="7">
        <f t="shared" si="25"/>
        <v>51.186960305705092</v>
      </c>
      <c r="AC34" s="7">
        <f t="shared" si="26"/>
        <v>39.578651211397258</v>
      </c>
      <c r="AD34">
        <f t="shared" si="4"/>
        <v>0.18839864246983257</v>
      </c>
      <c r="AE34">
        <f t="shared" si="5"/>
        <v>0.33584517860297214</v>
      </c>
      <c r="AF34">
        <f t="shared" si="6"/>
        <v>0.64099551800412224</v>
      </c>
      <c r="AG34">
        <f t="shared" si="27"/>
        <v>0.30515033940115011</v>
      </c>
      <c r="AH34">
        <f t="shared" si="7"/>
        <v>0.38879033329249824</v>
      </c>
      <c r="AI34">
        <f t="shared" si="8"/>
        <v>0.33566250156398958</v>
      </c>
      <c r="AJ34">
        <f t="shared" si="9"/>
        <v>0.19821074572351394</v>
      </c>
      <c r="AK34">
        <f t="shared" si="10"/>
        <v>0.13745175584047564</v>
      </c>
      <c r="AL34">
        <f t="shared" si="11"/>
        <v>5.3127831728508657E-2</v>
      </c>
      <c r="AM34">
        <f t="shared" si="28"/>
        <v>4.7490903417489987</v>
      </c>
      <c r="AN34">
        <f t="shared" si="29"/>
        <v>131.65342539280346</v>
      </c>
      <c r="AO34" s="14">
        <f t="shared" si="12"/>
        <v>0.21056664077519302</v>
      </c>
      <c r="AP34" s="14">
        <f t="shared" si="30"/>
        <v>8.6799120654572348E-2</v>
      </c>
      <c r="AQ34">
        <f t="shared" si="13"/>
        <v>0.21284205454571142</v>
      </c>
      <c r="AR34">
        <f t="shared" si="14"/>
        <v>0.35879033329249821</v>
      </c>
      <c r="AS34">
        <f t="shared" si="15"/>
        <v>3.0000000000000027E-2</v>
      </c>
      <c r="AT34">
        <f t="shared" si="16"/>
        <v>0.14594827874678679</v>
      </c>
      <c r="AU34">
        <v>5</v>
      </c>
      <c r="AV34">
        <f t="shared" si="31"/>
        <v>152.4</v>
      </c>
      <c r="AW34">
        <v>5</v>
      </c>
      <c r="AX34">
        <f t="shared" si="32"/>
        <v>152.4</v>
      </c>
      <c r="AY34">
        <v>91</v>
      </c>
      <c r="AZ34">
        <f t="shared" si="17"/>
        <v>22.150010135578857</v>
      </c>
      <c r="BA34">
        <f t="shared" si="18"/>
        <v>22.150010135578857</v>
      </c>
      <c r="BB34">
        <f t="shared" si="19"/>
        <v>23.474279594515828</v>
      </c>
      <c r="BC34">
        <f t="shared" si="20"/>
        <v>23.474279594515828</v>
      </c>
      <c r="BD34">
        <f t="shared" si="21"/>
        <v>14.388790817156805</v>
      </c>
      <c r="BH34">
        <v>3</v>
      </c>
      <c r="BI34">
        <v>5</v>
      </c>
      <c r="BJ34" s="5">
        <v>0.33650000000000002</v>
      </c>
      <c r="BK34" s="5">
        <v>39.778818692265098</v>
      </c>
      <c r="BL34" s="5">
        <v>0.10113977482195818</v>
      </c>
      <c r="BP34" s="5"/>
      <c r="BQ34" s="5"/>
      <c r="CT34" s="5"/>
      <c r="CU34" s="5"/>
    </row>
    <row r="35" spans="1:99" x14ac:dyDescent="0.25">
      <c r="A35" s="7" t="s">
        <v>23</v>
      </c>
      <c r="B35" s="7">
        <v>6</v>
      </c>
      <c r="C35" s="7">
        <v>5</v>
      </c>
      <c r="D35" s="7">
        <v>8.1028854513541297</v>
      </c>
      <c r="E35" s="7">
        <v>53.050310854480401</v>
      </c>
      <c r="F35" s="7">
        <v>38.846803694165501</v>
      </c>
      <c r="G35" s="50">
        <v>4.8930000000000001E-2</v>
      </c>
      <c r="H35" s="50">
        <v>0.27388000000000001</v>
      </c>
      <c r="I35" s="7">
        <v>3.1550000000000002E-2</v>
      </c>
      <c r="J35" s="7">
        <v>0.31820999999999999</v>
      </c>
      <c r="K35" s="5">
        <f t="shared" si="22"/>
        <v>-4.4329999999999981E-2</v>
      </c>
      <c r="L35" s="5">
        <f t="shared" si="23"/>
        <v>1.738E-2</v>
      </c>
      <c r="M35" s="7">
        <v>1.6214093551113666</v>
      </c>
      <c r="N35" s="7">
        <v>1.6324612981593847</v>
      </c>
      <c r="O35" s="50">
        <v>1.6982349117478139</v>
      </c>
      <c r="P35" s="5">
        <f t="shared" si="0"/>
        <v>-6.6952993446394412E-3</v>
      </c>
      <c r="Q35" s="5">
        <f t="shared" si="1"/>
        <v>-3.9845847018923158E-2</v>
      </c>
      <c r="R35" s="5">
        <f t="shared" si="2"/>
        <v>-4.6541146363562602E-2</v>
      </c>
      <c r="S35" s="7">
        <f t="shared" si="33"/>
        <v>1.6507018550061883</v>
      </c>
      <c r="U35" s="50">
        <v>0.22686496694995278</v>
      </c>
      <c r="W35" s="7">
        <v>0.51900000000000002</v>
      </c>
      <c r="Y35" s="7">
        <v>3.3899999999999998E-3</v>
      </c>
      <c r="AA35" s="7">
        <f t="shared" si="24"/>
        <v>11.98474601633907</v>
      </c>
      <c r="AB35" s="7" t="str">
        <f t="shared" si="25"/>
        <v/>
      </c>
      <c r="AC35" s="7" t="str">
        <f t="shared" si="26"/>
        <v/>
      </c>
      <c r="AD35" t="str">
        <f t="shared" si="4"/>
        <v/>
      </c>
      <c r="AE35">
        <f t="shared" si="5"/>
        <v>0.37448642178020464</v>
      </c>
      <c r="AF35" t="str">
        <f t="shared" si="6"/>
        <v/>
      </c>
      <c r="AG35" t="str">
        <f t="shared" si="27"/>
        <v/>
      </c>
      <c r="AH35">
        <f t="shared" si="7"/>
        <v>0.37709363962030629</v>
      </c>
      <c r="AI35">
        <f t="shared" si="8"/>
        <v>0.35316481077558431</v>
      </c>
      <c r="AJ35">
        <f t="shared" si="9"/>
        <v>0.23826593856348799</v>
      </c>
      <c r="AK35">
        <f t="shared" si="10"/>
        <v>0.11489887221209633</v>
      </c>
      <c r="AL35">
        <f t="shared" si="11"/>
        <v>2.3928828844721972E-2</v>
      </c>
      <c r="AM35">
        <f t="shared" si="28"/>
        <v>6.7776738858945658</v>
      </c>
      <c r="AN35">
        <f t="shared" si="29"/>
        <v>184.38938215266708</v>
      </c>
      <c r="AO35" s="14">
        <f t="shared" si="12"/>
        <v>0.14754324519525225</v>
      </c>
      <c r="AP35" s="14">
        <f t="shared" si="30"/>
        <v>8.6315670064118999E-2</v>
      </c>
      <c r="AQ35">
        <f t="shared" si="13"/>
        <v>0.22020676074947038</v>
      </c>
      <c r="AR35">
        <f t="shared" si="14"/>
        <v>0.34709363962030626</v>
      </c>
      <c r="AS35">
        <f t="shared" si="15"/>
        <v>3.0000000000000027E-2</v>
      </c>
      <c r="AT35">
        <f t="shared" si="16"/>
        <v>0.12688687887083588</v>
      </c>
      <c r="AU35">
        <v>5</v>
      </c>
      <c r="AV35">
        <f t="shared" si="31"/>
        <v>152.4</v>
      </c>
      <c r="AW35">
        <v>5</v>
      </c>
      <c r="AX35">
        <f t="shared" si="32"/>
        <v>152.4</v>
      </c>
      <c r="AY35">
        <v>91</v>
      </c>
      <c r="AZ35">
        <f t="shared" si="17"/>
        <v>22.150010135578857</v>
      </c>
      <c r="BA35">
        <f t="shared" si="18"/>
        <v>22.150010135578857</v>
      </c>
      <c r="BB35">
        <f t="shared" si="19"/>
        <v>23.474279594515828</v>
      </c>
      <c r="BC35">
        <f t="shared" si="20"/>
        <v>23.474279594515828</v>
      </c>
      <c r="BD35">
        <f t="shared" si="21"/>
        <v>14.388790817156805</v>
      </c>
      <c r="BG35" s="5"/>
      <c r="BH35">
        <v>3</v>
      </c>
      <c r="BI35">
        <v>6</v>
      </c>
      <c r="BJ35" s="5">
        <v>0.96452000000000004</v>
      </c>
      <c r="BK35" s="5">
        <v>24.618812063074401</v>
      </c>
      <c r="BL35" s="5">
        <v>0.1577258826195832</v>
      </c>
      <c r="BP35" s="5"/>
      <c r="BQ35" s="5"/>
    </row>
    <row r="36" spans="1:99" x14ac:dyDescent="0.25">
      <c r="A36" s="7" t="s">
        <v>23</v>
      </c>
      <c r="B36" s="7">
        <v>7</v>
      </c>
      <c r="C36" s="7">
        <v>1</v>
      </c>
      <c r="D36" s="7">
        <v>8.8026328881872029</v>
      </c>
      <c r="E36" s="7">
        <v>61.098806824167035</v>
      </c>
      <c r="F36" s="7">
        <v>30.0985602876458</v>
      </c>
      <c r="G36" s="50">
        <v>9.0120000000000006E-2</v>
      </c>
      <c r="H36" s="50">
        <v>0.98033000000000003</v>
      </c>
      <c r="I36" s="7">
        <v>0.10199333333333334</v>
      </c>
      <c r="J36" s="7">
        <v>1.0858933333333334</v>
      </c>
      <c r="K36" s="5">
        <f t="shared" si="22"/>
        <v>-0.10556333333333334</v>
      </c>
      <c r="L36" s="5">
        <f t="shared" si="23"/>
        <v>-1.1873333333333333E-2</v>
      </c>
      <c r="M36" s="7">
        <v>1.5173388309873175</v>
      </c>
      <c r="N36" s="7">
        <v>1.5533126796630141</v>
      </c>
      <c r="O36" s="50">
        <v>1.5932086594066053</v>
      </c>
      <c r="P36" s="5">
        <f t="shared" si="0"/>
        <v>-2.3139961768144608E-2</v>
      </c>
      <c r="Q36" s="5">
        <f t="shared" si="1"/>
        <v>-2.5662848984881189E-2</v>
      </c>
      <c r="R36" s="5">
        <f t="shared" si="2"/>
        <v>-4.8802810753025797E-2</v>
      </c>
      <c r="S36" s="7">
        <f t="shared" si="33"/>
        <v>1.5546200566856456</v>
      </c>
      <c r="T36" s="50">
        <v>1.500403752861234</v>
      </c>
      <c r="U36" s="50">
        <v>9.5799219527125334E-2</v>
      </c>
      <c r="V36" s="7">
        <v>0.22332730560578651</v>
      </c>
      <c r="W36" s="7">
        <v>0.24399999999999999</v>
      </c>
      <c r="X36" s="7">
        <v>2.63</v>
      </c>
      <c r="Y36" s="7">
        <v>3.7100000000000001E-2</v>
      </c>
      <c r="Z36" s="7">
        <v>6.9800000000000001E-2</v>
      </c>
      <c r="AA36" s="7">
        <f t="shared" si="24"/>
        <v>5.4248117757701086</v>
      </c>
      <c r="AB36" s="7">
        <f t="shared" si="25"/>
        <v>58.165719465620896</v>
      </c>
      <c r="AC36" s="7">
        <f t="shared" si="26"/>
        <v>52.740907689850786</v>
      </c>
      <c r="AD36">
        <f t="shared" si="4"/>
        <v>0.12752808607866117</v>
      </c>
      <c r="AE36">
        <f t="shared" si="5"/>
        <v>0.1489313880917002</v>
      </c>
      <c r="AF36">
        <f t="shared" si="6"/>
        <v>0.34718910850032031</v>
      </c>
      <c r="AG36">
        <f t="shared" si="27"/>
        <v>0.19825772040862011</v>
      </c>
      <c r="AH36">
        <f t="shared" si="7"/>
        <v>0.41335092200541668</v>
      </c>
      <c r="AI36">
        <f t="shared" si="8"/>
        <v>0.33998499806844956</v>
      </c>
      <c r="AJ36">
        <f t="shared" si="9"/>
        <v>0.19166124336869603</v>
      </c>
      <c r="AK36">
        <f t="shared" si="10"/>
        <v>0.14832375469975353</v>
      </c>
      <c r="AL36">
        <f t="shared" si="11"/>
        <v>7.3365923936967115E-2</v>
      </c>
      <c r="AM36">
        <f t="shared" si="28"/>
        <v>4.314758209265583</v>
      </c>
      <c r="AN36">
        <f t="shared" si="29"/>
        <v>109.83973596280538</v>
      </c>
      <c r="AO36" s="14">
        <f t="shared" si="12"/>
        <v>0.23176269711998776</v>
      </c>
      <c r="AP36" s="14">
        <f t="shared" si="30"/>
        <v>8.7350899269903928E-2</v>
      </c>
      <c r="AQ36">
        <f t="shared" si="13"/>
        <v>0.1973777254685094</v>
      </c>
      <c r="AR36">
        <f t="shared" si="14"/>
        <v>0.35403750384629668</v>
      </c>
      <c r="AS36">
        <f t="shared" si="15"/>
        <v>5.9313418159120002E-2</v>
      </c>
      <c r="AT36">
        <f t="shared" si="16"/>
        <v>0.15665977837778727</v>
      </c>
      <c r="AU36">
        <v>2</v>
      </c>
      <c r="AV36">
        <f t="shared" si="31"/>
        <v>60.96</v>
      </c>
      <c r="AW36">
        <v>2</v>
      </c>
      <c r="AX36">
        <f t="shared" si="32"/>
        <v>60.96</v>
      </c>
      <c r="AY36">
        <v>117</v>
      </c>
      <c r="AZ36">
        <f t="shared" si="17"/>
        <v>7.3908570253616883</v>
      </c>
      <c r="BA36">
        <f t="shared" si="18"/>
        <v>7.3908570253616883</v>
      </c>
      <c r="BB36">
        <f t="shared" si="19"/>
        <v>6.0721663689012635</v>
      </c>
      <c r="BC36">
        <f t="shared" si="20"/>
        <v>6.0721663689012635</v>
      </c>
      <c r="BD36">
        <f t="shared" si="21"/>
        <v>14.022845782395615</v>
      </c>
      <c r="BG36" s="5"/>
      <c r="BH36">
        <v>3</v>
      </c>
      <c r="BI36">
        <v>7</v>
      </c>
      <c r="BJ36" s="5">
        <v>0.30547999999999997</v>
      </c>
      <c r="BK36" s="5">
        <v>40.707380701831497</v>
      </c>
      <c r="BL36" s="5">
        <v>0.12126908525858415</v>
      </c>
      <c r="BP36" s="5"/>
      <c r="BQ36" s="5"/>
    </row>
    <row r="37" spans="1:99" x14ac:dyDescent="0.25">
      <c r="A37" s="7" t="s">
        <v>23</v>
      </c>
      <c r="B37" s="7">
        <v>7</v>
      </c>
      <c r="C37" s="7">
        <v>2</v>
      </c>
      <c r="D37" s="7">
        <v>8.3492408342913897</v>
      </c>
      <c r="E37" s="7">
        <v>54.630401079951803</v>
      </c>
      <c r="F37" s="7">
        <v>37.020358085756797</v>
      </c>
      <c r="G37" s="50">
        <v>5.5449999999999999E-2</v>
      </c>
      <c r="H37" s="50">
        <v>0.44197999999999998</v>
      </c>
      <c r="I37" s="7">
        <v>5.5230000000000001E-2</v>
      </c>
      <c r="J37" s="7">
        <v>0.43107000000000001</v>
      </c>
      <c r="K37" s="5">
        <f t="shared" si="22"/>
        <v>1.0909999999999975E-2</v>
      </c>
      <c r="L37" s="5">
        <f t="shared" si="23"/>
        <v>2.1999999999999797E-4</v>
      </c>
      <c r="M37" s="7">
        <v>1.4551092119171698</v>
      </c>
      <c r="N37" s="7">
        <v>1.8651425479445325</v>
      </c>
      <c r="O37" s="50">
        <v>1.7105190244107824</v>
      </c>
      <c r="P37" s="5">
        <f t="shared" si="0"/>
        <v>-0.24451521662002668</v>
      </c>
      <c r="Q37" s="5">
        <f t="shared" si="1"/>
        <v>9.2206659872366259E-2</v>
      </c>
      <c r="R37" s="5">
        <f t="shared" si="2"/>
        <v>-0.15230855674766042</v>
      </c>
      <c r="S37" s="7">
        <f>AVERAGE(N37:O37)</f>
        <v>1.7878307861776574</v>
      </c>
      <c r="T37" s="50">
        <v>1.4664543824771641</v>
      </c>
      <c r="U37" s="50">
        <v>0.14914186400173821</v>
      </c>
      <c r="V37" s="7">
        <v>0.23440997761432675</v>
      </c>
      <c r="W37" s="7">
        <v>0.13100000000000001</v>
      </c>
      <c r="X37" s="7">
        <v>1.23</v>
      </c>
      <c r="Y37" s="7">
        <v>1.43E-2</v>
      </c>
      <c r="Z37" s="7">
        <v>0</v>
      </c>
      <c r="AA37" s="7">
        <f t="shared" si="24"/>
        <v>3.3816935385996807</v>
      </c>
      <c r="AB37" s="7">
        <f t="shared" si="25"/>
        <v>30.751019713504711</v>
      </c>
      <c r="AC37" s="7">
        <f t="shared" si="26"/>
        <v>27.36932617490503</v>
      </c>
      <c r="AD37">
        <f t="shared" si="4"/>
        <v>8.5268113612588542E-2</v>
      </c>
      <c r="AE37">
        <f t="shared" si="5"/>
        <v>0.26664041597022886</v>
      </c>
      <c r="AF37">
        <f t="shared" si="6"/>
        <v>0.41908537456610889</v>
      </c>
      <c r="AG37">
        <f t="shared" si="27"/>
        <v>0.15244495859588003</v>
      </c>
      <c r="AH37">
        <f t="shared" si="7"/>
        <v>0.32534687314050659</v>
      </c>
      <c r="AI37">
        <f t="shared" si="8"/>
        <v>0.31939477775835573</v>
      </c>
      <c r="AJ37">
        <f t="shared" si="9"/>
        <v>0.22523634658666281</v>
      </c>
      <c r="AK37">
        <f t="shared" si="10"/>
        <v>9.4158431171692925E-2</v>
      </c>
      <c r="AL37">
        <f t="shared" si="11"/>
        <v>5.9520953821508571E-3</v>
      </c>
      <c r="AM37">
        <f t="shared" si="28"/>
        <v>7.8037229172864517</v>
      </c>
      <c r="AN37">
        <f t="shared" si="29"/>
        <v>273.30045032201701</v>
      </c>
      <c r="AO37" s="14">
        <f t="shared" si="12"/>
        <v>0.12814396546356682</v>
      </c>
      <c r="AP37" s="14">
        <f t="shared" si="30"/>
        <v>7.5975021792548961E-2</v>
      </c>
      <c r="AQ37">
        <f t="shared" si="13"/>
        <v>0.25278859479581145</v>
      </c>
      <c r="AR37">
        <f t="shared" si="14"/>
        <v>0.29534687314050656</v>
      </c>
      <c r="AS37">
        <f t="shared" si="15"/>
        <v>3.0000000000000027E-2</v>
      </c>
      <c r="AT37">
        <f t="shared" si="16"/>
        <v>4.2558278344695111E-2</v>
      </c>
      <c r="AU37">
        <v>2</v>
      </c>
      <c r="AV37">
        <f t="shared" si="31"/>
        <v>60.96</v>
      </c>
      <c r="AW37">
        <v>2</v>
      </c>
      <c r="AX37">
        <f t="shared" si="32"/>
        <v>60.96</v>
      </c>
      <c r="AY37">
        <v>117</v>
      </c>
      <c r="AZ37">
        <f t="shared" si="17"/>
        <v>7.3908570253616883</v>
      </c>
      <c r="BA37">
        <f t="shared" si="18"/>
        <v>7.3908570253616883</v>
      </c>
      <c r="BB37">
        <f t="shared" si="19"/>
        <v>6.0721663689012635</v>
      </c>
      <c r="BC37">
        <f t="shared" si="20"/>
        <v>6.0721663689012635</v>
      </c>
      <c r="BD37">
        <f t="shared" si="21"/>
        <v>14.022845782395615</v>
      </c>
      <c r="BG37" s="5"/>
      <c r="BH37">
        <v>3</v>
      </c>
      <c r="BI37">
        <v>8</v>
      </c>
      <c r="BJ37" s="5">
        <v>0.36475000000000002</v>
      </c>
      <c r="BK37" s="5">
        <v>33.014602606119503</v>
      </c>
      <c r="BL37" s="5">
        <v>0.13843828550249593</v>
      </c>
      <c r="BP37" s="5"/>
      <c r="BQ37" s="5"/>
    </row>
    <row r="38" spans="1:99" x14ac:dyDescent="0.25">
      <c r="A38" s="7" t="s">
        <v>23</v>
      </c>
      <c r="B38" s="7">
        <v>7</v>
      </c>
      <c r="C38" s="7">
        <v>3</v>
      </c>
      <c r="D38" s="7">
        <v>8.4028950297927807</v>
      </c>
      <c r="E38" s="7">
        <v>50.889724268375701</v>
      </c>
      <c r="F38" s="7">
        <v>40.707380701831497</v>
      </c>
      <c r="G38" s="50">
        <v>3.3939999999999998E-2</v>
      </c>
      <c r="H38" s="50">
        <v>0.26529000000000003</v>
      </c>
      <c r="I38" s="7">
        <v>4.197E-2</v>
      </c>
      <c r="J38" s="7">
        <v>0.30547999999999997</v>
      </c>
      <c r="K38" s="5">
        <f t="shared" si="22"/>
        <v>-4.0189999999999948E-2</v>
      </c>
      <c r="L38" s="5">
        <f t="shared" si="23"/>
        <v>-8.0300000000000024E-3</v>
      </c>
      <c r="M38" s="7">
        <v>1.6283278761412019</v>
      </c>
      <c r="N38" s="7">
        <v>1.5958424762686836</v>
      </c>
      <c r="O38" s="50">
        <v>1.5423838709953663</v>
      </c>
      <c r="P38" s="5">
        <f t="shared" ref="P38:P65" si="34">IF(OR(M38="",N38=""),"",(M38-N38)/AVERAGE(M38:O38))</f>
        <v>2.0445838870145422E-2</v>
      </c>
      <c r="Q38" s="5">
        <f t="shared" ref="Q38:Q65" si="35">IF(OR(N38="",O38=""),"",(N38-O38)/AVERAGE(M38:O38))</f>
        <v>3.3646069739951143E-2</v>
      </c>
      <c r="R38" s="5">
        <f t="shared" ref="R38:R65" si="36">IF(OR(M38="",O38=""),"",(M38-O38)/AVERAGE(M38:O38))</f>
        <v>5.4091908610096558E-2</v>
      </c>
      <c r="S38" s="7">
        <f>AVERAGE(M38:O38)</f>
        <v>1.5888514078017506</v>
      </c>
      <c r="T38" s="50">
        <v>1.4884671321293419</v>
      </c>
      <c r="U38" s="50">
        <v>0.15802064971040053</v>
      </c>
      <c r="V38" s="7">
        <v>0.24027686222808198</v>
      </c>
      <c r="W38" s="7">
        <v>0.23499999999999999</v>
      </c>
      <c r="X38" s="7">
        <v>1.36</v>
      </c>
      <c r="Y38" s="7">
        <v>0</v>
      </c>
      <c r="Z38" s="7">
        <v>0</v>
      </c>
      <c r="AA38" s="7">
        <f t="shared" si="24"/>
        <v>4.8981944792544025</v>
      </c>
      <c r="AB38" s="7">
        <f t="shared" si="25"/>
        <v>30.360534192661589</v>
      </c>
      <c r="AC38" s="7">
        <f t="shared" si="26"/>
        <v>25.462339713407186</v>
      </c>
      <c r="AD38">
        <f t="shared" ref="AD38:AD65" si="37">IF(OR(V38=0,U38=0),"",V38-U38)</f>
        <v>8.2256212517681448E-2</v>
      </c>
      <c r="AE38">
        <f t="shared" ref="AE38:AE65" si="38">IF(OR(S38="",U38=""),"",S38*U38)</f>
        <v>0.25107133175411717</v>
      </c>
      <c r="AF38">
        <f t="shared" ref="AF38:AF65" si="39">IF(OR(V38="",S38=""),"",V38*S38)</f>
        <v>0.38176423081327532</v>
      </c>
      <c r="AG38">
        <f t="shared" si="27"/>
        <v>0.13069289905915815</v>
      </c>
      <c r="AH38">
        <f t="shared" ref="AH38:AH65" si="40">IF(S38="","",1-S38/2.65)</f>
        <v>0.40043343101820728</v>
      </c>
      <c r="AI38">
        <f t="shared" ref="AI38:AI65" si="41">IFERROR($AP38+(porosity-$AP38)*($AN38/330)^$AO38,"")</f>
        <v>0.36815945234480446</v>
      </c>
      <c r="AJ38">
        <f t="shared" ref="AJ38:AJ65" si="42">IFERROR($AP38+(porosity-$AP38)*($AN38/15000)^$AO38,"")</f>
        <v>0.24689036708622031</v>
      </c>
      <c r="AK38">
        <f t="shared" ref="AK38:AK65" si="43">IF(OR(AI38="",AJ38=""),"",AI38-AJ38)</f>
        <v>0.12126908525858415</v>
      </c>
      <c r="AL38">
        <f t="shared" ref="AL38:AL65" si="44">porosity-AI38</f>
        <v>3.2273978673402814E-2</v>
      </c>
      <c r="AM38">
        <f t="shared" si="28"/>
        <v>6.6320233838542837</v>
      </c>
      <c r="AN38">
        <f t="shared" si="29"/>
        <v>158.93958111081409</v>
      </c>
      <c r="AO38" s="14">
        <f t="shared" si="12"/>
        <v>0.15078354555180074</v>
      </c>
      <c r="AP38" s="14">
        <f t="shared" si="30"/>
        <v>9.1020483099080562E-2</v>
      </c>
      <c r="AQ38">
        <f t="shared" ref="AQ38:AQ65" si="45">0.2376*S38-0.172</f>
        <v>0.20551109449369598</v>
      </c>
      <c r="AR38">
        <f t="shared" ref="AR38:AR65" si="46">MIN((1-S38/2.65)-0.03,0.1737*S38+0.084)</f>
        <v>0.35998348953516407</v>
      </c>
      <c r="AS38">
        <f t="shared" ref="AS38:AS65" si="47">AH38-AR38</f>
        <v>4.0449941483043206E-2</v>
      </c>
      <c r="AT38">
        <f t="shared" ref="AT38:AT65" si="48">AR38-AQ38</f>
        <v>0.15447239504146809</v>
      </c>
      <c r="AU38">
        <v>2</v>
      </c>
      <c r="AV38">
        <f t="shared" si="31"/>
        <v>60.96</v>
      </c>
      <c r="AW38">
        <v>2</v>
      </c>
      <c r="AX38">
        <f t="shared" si="32"/>
        <v>60.96</v>
      </c>
      <c r="AY38">
        <v>117</v>
      </c>
      <c r="AZ38">
        <f t="shared" ref="AZ38:AZ65" si="49">IF($C38=1,$AV38*IF($AU38=2,AVERAGE($AK38:$AK39),IF($AU38=3,AVERAGE($AK38:$AK40),IF($AU38=4,AVERAGE($AK38:$AK41),AVERAGE($AK38:$AK42)))),AZ37)</f>
        <v>7.3908570253616883</v>
      </c>
      <c r="BA38">
        <f t="shared" ref="BA38:BA65" si="50">IF($C38=1,$AX38*IF($AW38=2,AVERAGE($AK38:$AK39),IF($AW38=3,AVERAGE($AK38:$AK40),IF($AW38=4,AVERAGE($AK38:$AK41),AVERAGE($AK38:$AK42)))),BA37)</f>
        <v>7.3908570253616883</v>
      </c>
      <c r="BB38">
        <f t="shared" ref="BB38:BB65" si="51">IF($C38=1,$AV38*IF($AU38=2,AVERAGE($AT38:$AT39),IF($AU38=3,AVERAGE($AT38:$AT40),IF($AU38=4,AVERAGE($AT38:$AT41),AVERAGE($AT38:$AT42)))),BB37)</f>
        <v>6.0721663689012635</v>
      </c>
      <c r="BC38">
        <f t="shared" ref="BC38:BC65" si="52">IF($C38=1,$AX38*IF($AW38=2,AVERAGE($AT38:$AT39),IF($AW38=3,AVERAGE($AT38:$AT40),IF($AW38=4,AVERAGE($AT38:$AT41),AVERAGE($AT38:$AT42)))),BC37)</f>
        <v>6.0721663689012635</v>
      </c>
      <c r="BD38">
        <f t="shared" ref="BD38:BD65" si="53">IF(AY38="","",IF(C38=1,AY38*IF(AY38&lt;60,AVERAGE(AK38:AK39),IF(AY38&lt;92,AVERAGE(AK38:AK40),IF(AY38&lt;122,AVERAGE(AK38:AK41),AVERAGE(AK38:AK42)))),BD37))</f>
        <v>14.022845782395615</v>
      </c>
      <c r="BG38" s="5"/>
      <c r="BH38">
        <v>3</v>
      </c>
      <c r="BI38">
        <v>9</v>
      </c>
      <c r="BJ38" s="5">
        <v>0.43215999999999999</v>
      </c>
      <c r="BK38" s="5">
        <v>38.336228860711302</v>
      </c>
      <c r="BL38" s="5">
        <v>0.12486606112222051</v>
      </c>
      <c r="BP38" s="5"/>
      <c r="BQ38" s="5"/>
    </row>
    <row r="39" spans="1:99" x14ac:dyDescent="0.25">
      <c r="A39" s="7" t="s">
        <v>23</v>
      </c>
      <c r="B39" s="7">
        <v>7</v>
      </c>
      <c r="C39" s="7">
        <v>4</v>
      </c>
      <c r="D39" s="7">
        <v>8.4945633088165096</v>
      </c>
      <c r="E39" s="7">
        <v>52.8079451506282</v>
      </c>
      <c r="F39" s="7">
        <v>38.697491540555298</v>
      </c>
      <c r="G39" s="50">
        <v>3.7010000000000001E-2</v>
      </c>
      <c r="H39" s="50">
        <v>0.22939999999999999</v>
      </c>
      <c r="I39" s="7">
        <v>3.9629999999999999E-2</v>
      </c>
      <c r="J39" s="7">
        <v>0.27526</v>
      </c>
      <c r="K39" s="5">
        <f t="shared" si="22"/>
        <v>-4.5860000000000012E-2</v>
      </c>
      <c r="L39" s="5">
        <f t="shared" si="23"/>
        <v>-2.6199999999999973E-3</v>
      </c>
      <c r="M39" s="7">
        <v>1.6544462501563928</v>
      </c>
      <c r="N39" s="7">
        <v>1.7037153957293283</v>
      </c>
      <c r="O39" s="50">
        <v>1.5880272090416565</v>
      </c>
      <c r="P39" s="5">
        <f t="shared" si="34"/>
        <v>-2.9883096067300621E-2</v>
      </c>
      <c r="Q39" s="5">
        <f t="shared" si="35"/>
        <v>7.0168076925989337E-2</v>
      </c>
      <c r="R39" s="5">
        <f t="shared" si="36"/>
        <v>4.0284980858688715E-2</v>
      </c>
      <c r="S39" s="7">
        <f>AVERAGE(M39:O39)</f>
        <v>1.6487296183091258</v>
      </c>
      <c r="U39" s="50">
        <v>0.18200774501042621</v>
      </c>
      <c r="V39" s="7">
        <v>0.22410615554736446</v>
      </c>
      <c r="W39" s="7">
        <v>0.34899999999999998</v>
      </c>
      <c r="X39" s="7">
        <v>1.21</v>
      </c>
      <c r="Y39" s="7">
        <v>0</v>
      </c>
      <c r="Z39" s="7">
        <v>1.5900000000000001E-3</v>
      </c>
      <c r="AA39" s="7">
        <f t="shared" si="24"/>
        <v>7.704842480615846</v>
      </c>
      <c r="AB39" s="7">
        <f t="shared" si="25"/>
        <v>27.700829689550286</v>
      </c>
      <c r="AC39" s="7">
        <f t="shared" si="26"/>
        <v>19.995987208934441</v>
      </c>
      <c r="AD39">
        <f t="shared" si="37"/>
        <v>4.2098410536938247E-2</v>
      </c>
      <c r="AE39">
        <f t="shared" si="38"/>
        <v>0.30008155996034469</v>
      </c>
      <c r="AF39">
        <f t="shared" si="39"/>
        <v>0.36949045629633176</v>
      </c>
      <c r="AG39">
        <f t="shared" si="27"/>
        <v>6.9408896335987069E-2</v>
      </c>
      <c r="AH39">
        <f t="shared" si="40"/>
        <v>0.37783787988334872</v>
      </c>
      <c r="AI39">
        <f t="shared" si="41"/>
        <v>0.35291616708106288</v>
      </c>
      <c r="AJ39">
        <f t="shared" si="42"/>
        <v>0.23725390718902117</v>
      </c>
      <c r="AK39">
        <f t="shared" si="43"/>
        <v>0.11566225989204171</v>
      </c>
      <c r="AL39">
        <f t="shared" si="44"/>
        <v>2.4921712802285834E-2</v>
      </c>
      <c r="AM39">
        <f t="shared" si="28"/>
        <v>6.696961519443219</v>
      </c>
      <c r="AN39">
        <f t="shared" ref="AN39:AN65" si="54">IF(AH39="","",EXP(5.3396738+0.1845038*F39-2.48394546*AH39-0.00213853*F39^2-0.04356349*D39*AH39-0.61745089*F39*AH39+0.00143598*D39^2*AH39^2-0.00855375*F39^2*AH39^2-0.00001282*D39^2*F39+0.00895359*F39^2*AH39-0.00072472*D39^2*AH39+0.0000054*F39^2*D39+0.5002806*AH39^2*F39))</f>
        <v>181.24418810125002</v>
      </c>
      <c r="AO39" s="14">
        <f t="shared" si="12"/>
        <v>0.14932144930155419</v>
      </c>
      <c r="AP39" s="14">
        <f t="shared" si="30"/>
        <v>8.6675622709589659E-2</v>
      </c>
      <c r="AQ39">
        <f t="shared" si="45"/>
        <v>0.21973815731024832</v>
      </c>
      <c r="AR39">
        <f t="shared" si="46"/>
        <v>0.34783787988334869</v>
      </c>
      <c r="AS39">
        <f t="shared" si="47"/>
        <v>3.0000000000000027E-2</v>
      </c>
      <c r="AT39">
        <f t="shared" si="48"/>
        <v>0.12809972257310037</v>
      </c>
      <c r="AU39">
        <v>2</v>
      </c>
      <c r="AV39">
        <f t="shared" si="31"/>
        <v>60.96</v>
      </c>
      <c r="AW39">
        <v>2</v>
      </c>
      <c r="AX39">
        <f t="shared" si="32"/>
        <v>60.96</v>
      </c>
      <c r="AY39">
        <v>117</v>
      </c>
      <c r="AZ39">
        <f t="shared" si="49"/>
        <v>7.3908570253616883</v>
      </c>
      <c r="BA39">
        <f t="shared" si="50"/>
        <v>7.3908570253616883</v>
      </c>
      <c r="BB39">
        <f t="shared" si="51"/>
        <v>6.0721663689012635</v>
      </c>
      <c r="BC39">
        <f t="shared" si="52"/>
        <v>6.0721663689012635</v>
      </c>
      <c r="BD39">
        <f t="shared" si="53"/>
        <v>14.022845782395615</v>
      </c>
      <c r="BG39" s="5"/>
      <c r="BH39">
        <v>3</v>
      </c>
      <c r="BI39">
        <v>10</v>
      </c>
      <c r="BJ39" s="5">
        <v>0.41853000000000001</v>
      </c>
      <c r="BK39" s="5">
        <v>27.202165279911899</v>
      </c>
      <c r="BL39" s="5">
        <v>0.15013696571002882</v>
      </c>
      <c r="BP39" s="5"/>
      <c r="BQ39" s="5"/>
    </row>
    <row r="40" spans="1:99" x14ac:dyDescent="0.25">
      <c r="A40" s="7" t="s">
        <v>23</v>
      </c>
      <c r="B40" s="7">
        <v>7</v>
      </c>
      <c r="C40" s="7">
        <v>5</v>
      </c>
      <c r="D40" s="7">
        <v>9.8632385305853205</v>
      </c>
      <c r="E40" s="7">
        <v>49.984231568739602</v>
      </c>
      <c r="F40" s="7">
        <v>40.152529900675098</v>
      </c>
      <c r="G40" s="50">
        <v>3.6449999999999996E-2</v>
      </c>
      <c r="H40" s="50">
        <v>0.22999</v>
      </c>
      <c r="I40" s="7">
        <v>1.864E-2</v>
      </c>
      <c r="J40" s="7">
        <v>0.24908</v>
      </c>
      <c r="K40" s="5">
        <f t="shared" si="22"/>
        <v>-1.9089999999999996E-2</v>
      </c>
      <c r="L40" s="5">
        <f t="shared" si="23"/>
        <v>1.7809999999999996E-2</v>
      </c>
      <c r="M40" s="7">
        <v>1.7415197218255281</v>
      </c>
      <c r="N40" s="7">
        <v>1.6971356563789264</v>
      </c>
      <c r="O40" s="50">
        <v>1.7148425172936581</v>
      </c>
      <c r="P40" s="5">
        <f t="shared" si="34"/>
        <v>2.5837246670095935E-2</v>
      </c>
      <c r="Q40" s="5">
        <f t="shared" si="35"/>
        <v>-1.0307675256954927E-2</v>
      </c>
      <c r="R40" s="5">
        <f t="shared" si="36"/>
        <v>1.552957141314101E-2</v>
      </c>
      <c r="S40" s="7">
        <f>AVERAGE(M40:O40)</f>
        <v>1.7178326318327042</v>
      </c>
      <c r="U40" s="50">
        <v>0.19415739268680435</v>
      </c>
      <c r="W40" s="7">
        <v>0.312</v>
      </c>
      <c r="Y40" s="7">
        <v>0</v>
      </c>
      <c r="AA40" s="7">
        <f t="shared" si="24"/>
        <v>7.2504604725605546</v>
      </c>
      <c r="AB40" s="7" t="str">
        <f t="shared" si="25"/>
        <v/>
      </c>
      <c r="AC40" s="7" t="str">
        <f t="shared" si="26"/>
        <v/>
      </c>
      <c r="AD40" t="str">
        <f t="shared" si="37"/>
        <v/>
      </c>
      <c r="AE40">
        <f t="shared" si="38"/>
        <v>0.33352990486894896</v>
      </c>
      <c r="AF40" t="str">
        <f t="shared" si="39"/>
        <v/>
      </c>
      <c r="AG40" t="str">
        <f t="shared" si="27"/>
        <v/>
      </c>
      <c r="AH40">
        <f t="shared" si="40"/>
        <v>0.35176127100652665</v>
      </c>
      <c r="AI40">
        <f t="shared" si="41"/>
        <v>0.34003404749962496</v>
      </c>
      <c r="AJ40">
        <f t="shared" si="42"/>
        <v>0.24289393804995929</v>
      </c>
      <c r="AK40">
        <f t="shared" si="43"/>
        <v>9.7140109449665668E-2</v>
      </c>
      <c r="AL40">
        <f t="shared" si="44"/>
        <v>1.1727223506901696E-2</v>
      </c>
      <c r="AM40">
        <f t="shared" si="28"/>
        <v>8.1223326341473285</v>
      </c>
      <c r="AN40">
        <f t="shared" si="54"/>
        <v>230.33140262095941</v>
      </c>
      <c r="AO40" s="14">
        <f t="shared" si="12"/>
        <v>0.12311734141444437</v>
      </c>
      <c r="AP40" s="14">
        <f t="shared" si="30"/>
        <v>8.0950532635199121E-2</v>
      </c>
      <c r="AQ40">
        <f t="shared" si="45"/>
        <v>0.23615703332345056</v>
      </c>
      <c r="AR40">
        <f t="shared" si="46"/>
        <v>0.32176127100652663</v>
      </c>
      <c r="AS40">
        <f t="shared" si="47"/>
        <v>3.0000000000000027E-2</v>
      </c>
      <c r="AT40">
        <f t="shared" si="48"/>
        <v>8.5604237683076068E-2</v>
      </c>
      <c r="AU40">
        <v>2</v>
      </c>
      <c r="AV40">
        <f t="shared" si="31"/>
        <v>60.96</v>
      </c>
      <c r="AW40">
        <v>2</v>
      </c>
      <c r="AX40">
        <f t="shared" si="32"/>
        <v>60.96</v>
      </c>
      <c r="AY40">
        <v>117</v>
      </c>
      <c r="AZ40">
        <f t="shared" si="49"/>
        <v>7.3908570253616883</v>
      </c>
      <c r="BA40">
        <f t="shared" si="50"/>
        <v>7.3908570253616883</v>
      </c>
      <c r="BB40">
        <f t="shared" si="51"/>
        <v>6.0721663689012635</v>
      </c>
      <c r="BC40">
        <f t="shared" si="52"/>
        <v>6.0721663689012635</v>
      </c>
      <c r="BD40">
        <f t="shared" si="53"/>
        <v>14.022845782395615</v>
      </c>
      <c r="BG40" s="5"/>
      <c r="BH40">
        <v>3</v>
      </c>
      <c r="BI40">
        <v>11</v>
      </c>
      <c r="BJ40" s="5">
        <v>0.56976000000000004</v>
      </c>
      <c r="BK40" s="5">
        <v>34.409485278956801</v>
      </c>
      <c r="BL40" s="5">
        <v>0.14471446211740227</v>
      </c>
      <c r="BP40" s="5"/>
      <c r="BQ40" s="5"/>
    </row>
    <row r="41" spans="1:99" x14ac:dyDescent="0.25">
      <c r="A41" s="7" t="s">
        <v>23</v>
      </c>
      <c r="B41" s="7">
        <v>8</v>
      </c>
      <c r="C41" s="7">
        <v>1</v>
      </c>
      <c r="D41" s="7">
        <v>9.7855192997366327</v>
      </c>
      <c r="E41" s="7">
        <v>60.626746461665427</v>
      </c>
      <c r="F41" s="7">
        <v>29.587734238597932</v>
      </c>
      <c r="G41" s="50">
        <v>0.12031</v>
      </c>
      <c r="H41" s="50">
        <v>1.3612</v>
      </c>
      <c r="I41" s="7">
        <v>0.13077000000000003</v>
      </c>
      <c r="J41" s="7">
        <v>1.5193333333333332</v>
      </c>
      <c r="K41" s="5">
        <f t="shared" si="22"/>
        <v>-0.15813333333333324</v>
      </c>
      <c r="L41" s="5">
        <f t="shared" si="23"/>
        <v>-1.0460000000000025E-2</v>
      </c>
      <c r="M41" s="7">
        <v>1.4347357766639901</v>
      </c>
      <c r="N41" s="7">
        <v>1.3773507169798773</v>
      </c>
      <c r="O41" s="50">
        <v>1.3580348532357007</v>
      </c>
      <c r="P41" s="5">
        <f t="shared" si="34"/>
        <v>4.1283014265558284E-2</v>
      </c>
      <c r="Q41" s="5">
        <f t="shared" si="35"/>
        <v>1.3895900481622914E-2</v>
      </c>
      <c r="R41" s="5">
        <f t="shared" si="36"/>
        <v>5.5178914747181201E-2</v>
      </c>
      <c r="S41" s="7">
        <f>AVERAGE(M41:O41)</f>
        <v>1.3900404489598561</v>
      </c>
      <c r="T41" s="50">
        <v>1.2837577707195926</v>
      </c>
      <c r="U41" s="50">
        <v>9.3794410232117431E-2</v>
      </c>
      <c r="V41" s="7">
        <v>0.19948556730494416</v>
      </c>
      <c r="W41" s="7">
        <v>0.21199999999999999</v>
      </c>
      <c r="X41" s="7">
        <v>2.0299999999999998</v>
      </c>
      <c r="Y41" s="7">
        <v>1.2600000000000001E-3</v>
      </c>
      <c r="Z41" s="7">
        <v>7.5300000000000006E-2</v>
      </c>
      <c r="AA41" s="7">
        <f t="shared" si="24"/>
        <v>3.6731707545005454</v>
      </c>
      <c r="AB41" s="7">
        <f t="shared" si="25"/>
        <v>39.765370257771075</v>
      </c>
      <c r="AC41" s="7">
        <f t="shared" si="26"/>
        <v>36.092199503270528</v>
      </c>
      <c r="AD41">
        <f t="shared" si="37"/>
        <v>0.10569115707282672</v>
      </c>
      <c r="AE41">
        <f t="shared" si="38"/>
        <v>0.13037802410897745</v>
      </c>
      <c r="AF41">
        <f t="shared" si="39"/>
        <v>0.27729300753757619</v>
      </c>
      <c r="AG41">
        <f t="shared" si="27"/>
        <v>0.14691498342859874</v>
      </c>
      <c r="AH41">
        <f t="shared" si="40"/>
        <v>0.47545643435477125</v>
      </c>
      <c r="AI41">
        <f t="shared" si="41"/>
        <v>0.34706809092676982</v>
      </c>
      <c r="AJ41">
        <f t="shared" si="42"/>
        <v>0.18582561861644448</v>
      </c>
      <c r="AK41">
        <f t="shared" si="43"/>
        <v>0.16124247231032535</v>
      </c>
      <c r="AL41">
        <f t="shared" si="44"/>
        <v>0.12838834342800143</v>
      </c>
      <c r="AM41">
        <f t="shared" si="28"/>
        <v>3.8080389961897656</v>
      </c>
      <c r="AN41">
        <f t="shared" si="54"/>
        <v>69.752500405295734</v>
      </c>
      <c r="AO41" s="14">
        <f t="shared" si="12"/>
        <v>0.2626023528121893</v>
      </c>
      <c r="AP41" s="14">
        <f t="shared" si="30"/>
        <v>9.2323562641097076E-2</v>
      </c>
      <c r="AQ41">
        <f t="shared" si="45"/>
        <v>0.15827361067286183</v>
      </c>
      <c r="AR41">
        <f t="shared" si="46"/>
        <v>0.32545002598432698</v>
      </c>
      <c r="AS41">
        <f t="shared" si="47"/>
        <v>0.15000640837044427</v>
      </c>
      <c r="AT41">
        <f t="shared" si="48"/>
        <v>0.16717641531146515</v>
      </c>
      <c r="AU41">
        <v>4</v>
      </c>
      <c r="AV41">
        <f t="shared" si="31"/>
        <v>121.92</v>
      </c>
      <c r="AW41">
        <v>4</v>
      </c>
      <c r="AX41">
        <f t="shared" si="32"/>
        <v>121.92</v>
      </c>
      <c r="AY41">
        <v>74</v>
      </c>
      <c r="AZ41">
        <f t="shared" si="49"/>
        <v>17.915394873683706</v>
      </c>
      <c r="BA41">
        <f t="shared" si="50"/>
        <v>17.915394873683706</v>
      </c>
      <c r="BB41">
        <f t="shared" si="51"/>
        <v>17.96653911825501</v>
      </c>
      <c r="BC41">
        <f t="shared" si="52"/>
        <v>17.96653911825501</v>
      </c>
      <c r="BD41">
        <f t="shared" si="53"/>
        <v>11.383490666050701</v>
      </c>
      <c r="BG41" s="5"/>
      <c r="BH41">
        <v>3</v>
      </c>
      <c r="BI41">
        <v>12</v>
      </c>
      <c r="BJ41" s="5">
        <v>0.76812000000000002</v>
      </c>
      <c r="BK41" s="5">
        <v>43.450870149962299</v>
      </c>
      <c r="BL41" s="5">
        <v>0.13275367150940598</v>
      </c>
    </row>
    <row r="42" spans="1:99" x14ac:dyDescent="0.25">
      <c r="A42" s="7" t="s">
        <v>23</v>
      </c>
      <c r="B42" s="7">
        <v>8</v>
      </c>
      <c r="C42" s="7">
        <v>2</v>
      </c>
      <c r="D42" s="7">
        <v>9.9961157570787407</v>
      </c>
      <c r="E42" s="7">
        <v>63.940614241560603</v>
      </c>
      <c r="F42" s="7">
        <v>26.0632700013606</v>
      </c>
      <c r="G42" s="50">
        <v>6.9790000000000005E-2</v>
      </c>
      <c r="H42" s="50">
        <v>0.56516</v>
      </c>
      <c r="I42" s="7">
        <v>5.8569999999999997E-2</v>
      </c>
      <c r="J42" s="7">
        <v>0.48124</v>
      </c>
      <c r="K42" s="5">
        <f t="shared" si="22"/>
        <v>8.3919999999999995E-2</v>
      </c>
      <c r="L42" s="5">
        <f t="shared" si="23"/>
        <v>1.1220000000000008E-2</v>
      </c>
      <c r="M42" s="7">
        <v>1.5341406172338803</v>
      </c>
      <c r="N42" s="7">
        <v>1.2610293450798851</v>
      </c>
      <c r="O42" s="50">
        <v>1.5558323545268626</v>
      </c>
      <c r="P42" s="5">
        <f t="shared" si="34"/>
        <v>0.18830921171674406</v>
      </c>
      <c r="Q42" s="5">
        <f t="shared" si="35"/>
        <v>-0.20326558432704406</v>
      </c>
      <c r="R42" s="5">
        <f t="shared" si="36"/>
        <v>-1.4956372610300009E-2</v>
      </c>
      <c r="S42" s="7">
        <f>AVERAGE(N42:O42)</f>
        <v>1.408430849803374</v>
      </c>
      <c r="T42" s="50">
        <v>1.4075449486799556</v>
      </c>
      <c r="U42" s="50">
        <v>0.17272662333023792</v>
      </c>
      <c r="V42" s="7">
        <v>0.19954194102490694</v>
      </c>
      <c r="W42" s="7">
        <v>9.0700000000000003E-2</v>
      </c>
      <c r="X42" s="7">
        <v>1.1499999999999999</v>
      </c>
      <c r="Y42" s="7">
        <v>1.9599999999999999E-2</v>
      </c>
      <c r="Z42" s="7">
        <v>0</v>
      </c>
      <c r="AA42" s="7">
        <f t="shared" si="24"/>
        <v>2.0638417875597863</v>
      </c>
      <c r="AB42" s="7">
        <f t="shared" si="25"/>
        <v>22.00986517191528</v>
      </c>
      <c r="AC42" s="7">
        <f t="shared" si="26"/>
        <v>19.946023384355492</v>
      </c>
      <c r="AD42">
        <f t="shared" si="37"/>
        <v>2.6815317694669022E-2</v>
      </c>
      <c r="AE42">
        <f t="shared" si="38"/>
        <v>0.24327350488067426</v>
      </c>
      <c r="AF42">
        <f t="shared" si="39"/>
        <v>0.28104102556912441</v>
      </c>
      <c r="AG42">
        <f t="shared" si="27"/>
        <v>3.7767520688450157E-2</v>
      </c>
      <c r="AH42">
        <f t="shared" si="40"/>
        <v>0.46851666045155693</v>
      </c>
      <c r="AI42">
        <f t="shared" si="41"/>
        <v>0.33228471418110272</v>
      </c>
      <c r="AJ42">
        <f t="shared" si="42"/>
        <v>0.17047260715403073</v>
      </c>
      <c r="AK42">
        <f t="shared" si="43"/>
        <v>0.16181210702707199</v>
      </c>
      <c r="AL42">
        <f t="shared" si="44"/>
        <v>0.13623194627045421</v>
      </c>
      <c r="AM42">
        <f t="shared" si="28"/>
        <v>3.5806635928034058</v>
      </c>
      <c r="AN42">
        <f t="shared" si="54"/>
        <v>68.398109084680655</v>
      </c>
      <c r="AO42" s="14">
        <f t="shared" si="12"/>
        <v>0.27927784168550468</v>
      </c>
      <c r="AP42" s="14">
        <f t="shared" si="30"/>
        <v>8.546576511257431E-2</v>
      </c>
      <c r="AQ42">
        <f t="shared" si="45"/>
        <v>0.16264316991328165</v>
      </c>
      <c r="AR42">
        <f t="shared" si="46"/>
        <v>0.32864443861084608</v>
      </c>
      <c r="AS42">
        <f t="shared" si="47"/>
        <v>0.13987222184071085</v>
      </c>
      <c r="AT42">
        <f t="shared" si="48"/>
        <v>0.16600126869756443</v>
      </c>
      <c r="AU42">
        <v>4</v>
      </c>
      <c r="AV42">
        <f t="shared" si="31"/>
        <v>121.92</v>
      </c>
      <c r="AW42">
        <v>4</v>
      </c>
      <c r="AX42">
        <f t="shared" si="32"/>
        <v>121.92</v>
      </c>
      <c r="AY42">
        <v>74</v>
      </c>
      <c r="AZ42">
        <f t="shared" si="49"/>
        <v>17.915394873683706</v>
      </c>
      <c r="BA42">
        <f t="shared" si="50"/>
        <v>17.915394873683706</v>
      </c>
      <c r="BB42">
        <f t="shared" si="51"/>
        <v>17.96653911825501</v>
      </c>
      <c r="BC42">
        <f t="shared" si="52"/>
        <v>17.96653911825501</v>
      </c>
      <c r="BD42">
        <f t="shared" si="53"/>
        <v>11.383490666050701</v>
      </c>
      <c r="BG42" s="5"/>
      <c r="BH42">
        <v>4</v>
      </c>
      <c r="BI42">
        <v>1</v>
      </c>
      <c r="BJ42" s="5">
        <v>0.31609999999999999</v>
      </c>
      <c r="BK42" s="5">
        <v>32.043138223429203</v>
      </c>
      <c r="BL42" s="5">
        <v>0.12793796369481486</v>
      </c>
      <c r="BP42" s="5"/>
      <c r="BQ42" s="5"/>
    </row>
    <row r="43" spans="1:99" x14ac:dyDescent="0.25">
      <c r="A43" s="7" t="s">
        <v>23</v>
      </c>
      <c r="B43" s="7">
        <v>8</v>
      </c>
      <c r="C43" s="7">
        <v>3</v>
      </c>
      <c r="D43" s="7">
        <v>8.0008475184456298</v>
      </c>
      <c r="E43" s="7">
        <v>58.984549875434901</v>
      </c>
      <c r="F43" s="7">
        <v>33.014602606119503</v>
      </c>
      <c r="G43" s="50">
        <v>4.4429999999999997E-2</v>
      </c>
      <c r="H43" s="50">
        <v>0.37863999999999998</v>
      </c>
      <c r="I43" s="7">
        <v>5.2130000000000003E-2</v>
      </c>
      <c r="J43" s="7">
        <v>0.36475000000000002</v>
      </c>
      <c r="K43" s="5">
        <f t="shared" si="22"/>
        <v>1.3889999999999958E-2</v>
      </c>
      <c r="L43" s="5">
        <f t="shared" si="23"/>
        <v>-7.7000000000000055E-3</v>
      </c>
      <c r="M43" s="7">
        <v>1.6554979790442272</v>
      </c>
      <c r="N43" s="7">
        <v>1.9002791792382669</v>
      </c>
      <c r="O43" s="50">
        <v>1.5425585266256459</v>
      </c>
      <c r="P43" s="5">
        <f t="shared" si="34"/>
        <v>-0.14403594544703863</v>
      </c>
      <c r="Q43" s="5">
        <f t="shared" si="35"/>
        <v>0.21049260467775557</v>
      </c>
      <c r="R43" s="5">
        <f t="shared" si="36"/>
        <v>6.6456659230716947E-2</v>
      </c>
      <c r="S43" s="7">
        <f>AVERAGE(M43,O43)</f>
        <v>1.5990282528349367</v>
      </c>
      <c r="T43" s="50">
        <v>1.5106272474695672</v>
      </c>
      <c r="U43" s="50">
        <v>0.13862890184740512</v>
      </c>
      <c r="V43" s="7">
        <v>0.20330902972518231</v>
      </c>
      <c r="W43" s="7">
        <v>7.8100000000000003E-2</v>
      </c>
      <c r="X43" s="7">
        <v>1.1599999999999999</v>
      </c>
      <c r="Y43" s="7">
        <v>7.1999999999999998E-3</v>
      </c>
      <c r="Z43" s="7">
        <v>0</v>
      </c>
      <c r="AA43" s="7">
        <f t="shared" si="24"/>
        <v>1.7593649960041271</v>
      </c>
      <c r="AB43" s="7">
        <f t="shared" si="25"/>
        <v>25.284820653572403</v>
      </c>
      <c r="AC43" s="7">
        <f t="shared" si="26"/>
        <v>23.525455657568276</v>
      </c>
      <c r="AD43">
        <f t="shared" si="37"/>
        <v>6.4680127877777188E-2</v>
      </c>
      <c r="AE43">
        <f t="shared" si="38"/>
        <v>0.22167153071348214</v>
      </c>
      <c r="AF43">
        <f t="shared" si="39"/>
        <v>0.32509688258702446</v>
      </c>
      <c r="AG43">
        <f t="shared" si="27"/>
        <v>0.10342535187354232</v>
      </c>
      <c r="AH43">
        <f t="shared" si="40"/>
        <v>0.39659311213775972</v>
      </c>
      <c r="AI43">
        <f t="shared" si="41"/>
        <v>0.34598352846306457</v>
      </c>
      <c r="AJ43">
        <f t="shared" si="42"/>
        <v>0.20754524296056864</v>
      </c>
      <c r="AK43">
        <f t="shared" si="43"/>
        <v>0.13843828550249593</v>
      </c>
      <c r="AL43">
        <f t="shared" si="44"/>
        <v>5.0609583674695147E-2</v>
      </c>
      <c r="AM43">
        <f t="shared" si="28"/>
        <v>4.9648829812925914</v>
      </c>
      <c r="AN43">
        <f t="shared" si="54"/>
        <v>135.64844438989599</v>
      </c>
      <c r="AO43" s="14">
        <f t="shared" si="12"/>
        <v>0.20141461616878897</v>
      </c>
      <c r="AP43" s="14">
        <f t="shared" si="30"/>
        <v>8.7897662004561478E-2</v>
      </c>
      <c r="AQ43">
        <f t="shared" si="45"/>
        <v>0.20792911287358096</v>
      </c>
      <c r="AR43">
        <f t="shared" si="46"/>
        <v>0.36175120751742851</v>
      </c>
      <c r="AS43">
        <f t="shared" si="47"/>
        <v>3.484190462033121E-2</v>
      </c>
      <c r="AT43">
        <f t="shared" si="48"/>
        <v>0.15382209464384755</v>
      </c>
      <c r="AU43">
        <v>4</v>
      </c>
      <c r="AV43">
        <f t="shared" si="31"/>
        <v>121.92</v>
      </c>
      <c r="AW43">
        <v>4</v>
      </c>
      <c r="AX43">
        <f t="shared" si="32"/>
        <v>121.92</v>
      </c>
      <c r="AY43">
        <v>74</v>
      </c>
      <c r="AZ43">
        <f t="shared" si="49"/>
        <v>17.915394873683706</v>
      </c>
      <c r="BA43">
        <f t="shared" si="50"/>
        <v>17.915394873683706</v>
      </c>
      <c r="BB43">
        <f t="shared" si="51"/>
        <v>17.96653911825501</v>
      </c>
      <c r="BC43">
        <f t="shared" si="52"/>
        <v>17.96653911825501</v>
      </c>
      <c r="BD43">
        <f t="shared" si="53"/>
        <v>11.383490666050701</v>
      </c>
      <c r="BG43" s="5"/>
      <c r="BH43">
        <v>4</v>
      </c>
      <c r="BI43">
        <v>2</v>
      </c>
      <c r="BJ43" s="5">
        <v>0.35483999999999999</v>
      </c>
      <c r="BK43" s="5">
        <v>39.3569218883612</v>
      </c>
      <c r="BL43" s="5">
        <v>9.8632785290459546E-2</v>
      </c>
      <c r="BP43" s="5"/>
      <c r="BQ43" s="5"/>
    </row>
    <row r="44" spans="1:99" x14ac:dyDescent="0.25">
      <c r="A44" s="7" t="s">
        <v>23</v>
      </c>
      <c r="B44" s="7">
        <v>8</v>
      </c>
      <c r="C44" s="7">
        <v>4</v>
      </c>
      <c r="D44" s="7">
        <v>7.4231156110349001</v>
      </c>
      <c r="E44" s="7">
        <v>60.0563956268658</v>
      </c>
      <c r="F44" s="7">
        <v>32.520488762099298</v>
      </c>
      <c r="G44" s="50">
        <v>4.6350000000000002E-2</v>
      </c>
      <c r="H44" s="50">
        <v>0.30219000000000001</v>
      </c>
      <c r="I44" s="7">
        <v>4.1779999999999998E-2</v>
      </c>
      <c r="J44" s="7">
        <v>0.33456000000000002</v>
      </c>
      <c r="K44" s="5">
        <f t="shared" si="22"/>
        <v>-3.237000000000001E-2</v>
      </c>
      <c r="L44" s="5">
        <f t="shared" si="23"/>
        <v>4.5700000000000046E-3</v>
      </c>
      <c r="M44" s="7">
        <v>1.6837366164171128</v>
      </c>
      <c r="N44" s="7">
        <v>1.8314790630582252</v>
      </c>
      <c r="O44" s="50">
        <v>1.5560846348817099</v>
      </c>
      <c r="P44" s="5">
        <f t="shared" si="34"/>
        <v>-8.739915060217264E-2</v>
      </c>
      <c r="Q44" s="5">
        <f t="shared" si="35"/>
        <v>0.16291350015115233</v>
      </c>
      <c r="R44" s="5">
        <f t="shared" si="36"/>
        <v>7.551434954897969E-2</v>
      </c>
      <c r="S44" s="7">
        <f t="shared" ref="S44:S50" si="55">AVERAGE(M44:O44)</f>
        <v>1.690433438119016</v>
      </c>
      <c r="U44" s="50">
        <v>0.14661058881741712</v>
      </c>
      <c r="W44" s="7">
        <v>5.4199999999999998E-2</v>
      </c>
      <c r="Y44" s="7">
        <v>1.8800000000000001E-2</v>
      </c>
      <c r="AA44" s="7">
        <f t="shared" si="24"/>
        <v>1.6028964180202909</v>
      </c>
      <c r="AB44" s="7" t="str">
        <f t="shared" si="25"/>
        <v/>
      </c>
      <c r="AC44" s="7" t="str">
        <f t="shared" si="26"/>
        <v/>
      </c>
      <c r="AD44" t="str">
        <f t="shared" si="37"/>
        <v/>
      </c>
      <c r="AE44">
        <f t="shared" si="38"/>
        <v>0.24783544171927979</v>
      </c>
      <c r="AF44" t="str">
        <f t="shared" si="39"/>
        <v/>
      </c>
      <c r="AG44" t="str">
        <f t="shared" si="27"/>
        <v/>
      </c>
      <c r="AH44">
        <f t="shared" si="40"/>
        <v>0.36210058938905054</v>
      </c>
      <c r="AI44">
        <f t="shared" si="41"/>
        <v>0.33195409847043222</v>
      </c>
      <c r="AJ44">
        <f t="shared" si="42"/>
        <v>0.2056715409453746</v>
      </c>
      <c r="AK44">
        <f t="shared" si="43"/>
        <v>0.12628255752505763</v>
      </c>
      <c r="AL44">
        <f t="shared" si="44"/>
        <v>3.0146490918618318E-2</v>
      </c>
      <c r="AM44">
        <f t="shared" si="28"/>
        <v>5.4123661547188782</v>
      </c>
      <c r="AN44">
        <f t="shared" si="54"/>
        <v>178.02128608902376</v>
      </c>
      <c r="AO44" s="14">
        <f t="shared" si="12"/>
        <v>0.18476207474029271</v>
      </c>
      <c r="AP44" s="14">
        <f t="shared" si="30"/>
        <v>8.2375059279317264E-2</v>
      </c>
      <c r="AQ44">
        <f t="shared" si="45"/>
        <v>0.22964698489707824</v>
      </c>
      <c r="AR44">
        <f t="shared" si="46"/>
        <v>0.33210058938905052</v>
      </c>
      <c r="AS44">
        <f t="shared" si="47"/>
        <v>3.0000000000000027E-2</v>
      </c>
      <c r="AT44">
        <f t="shared" si="48"/>
        <v>0.10245360449197227</v>
      </c>
      <c r="AU44">
        <v>4</v>
      </c>
      <c r="AV44">
        <f t="shared" si="31"/>
        <v>121.92</v>
      </c>
      <c r="AW44">
        <v>4</v>
      </c>
      <c r="AX44">
        <f t="shared" si="32"/>
        <v>121.92</v>
      </c>
      <c r="AY44">
        <v>74</v>
      </c>
      <c r="AZ44">
        <f t="shared" si="49"/>
        <v>17.915394873683706</v>
      </c>
      <c r="BA44">
        <f t="shared" si="50"/>
        <v>17.915394873683706</v>
      </c>
      <c r="BB44">
        <f t="shared" si="51"/>
        <v>17.96653911825501</v>
      </c>
      <c r="BC44">
        <f t="shared" si="52"/>
        <v>17.96653911825501</v>
      </c>
      <c r="BD44">
        <f t="shared" si="53"/>
        <v>11.383490666050701</v>
      </c>
      <c r="BG44" s="5"/>
      <c r="BH44">
        <v>4</v>
      </c>
      <c r="BI44">
        <v>3</v>
      </c>
      <c r="BJ44" s="5">
        <v>0.41571999999999998</v>
      </c>
      <c r="BK44" s="5">
        <v>35.4924546303901</v>
      </c>
      <c r="BL44" s="5">
        <v>0.11440193814173419</v>
      </c>
      <c r="BP44" s="5"/>
      <c r="BQ44" s="5"/>
    </row>
    <row r="45" spans="1:99" x14ac:dyDescent="0.25">
      <c r="A45" s="7" t="s">
        <v>23</v>
      </c>
      <c r="B45" s="7">
        <v>8</v>
      </c>
      <c r="C45" s="7">
        <v>5</v>
      </c>
      <c r="D45" s="7">
        <v>7.4430959405381003</v>
      </c>
      <c r="E45" s="7">
        <v>60.284926693114997</v>
      </c>
      <c r="F45" s="7">
        <v>32.271977366346903</v>
      </c>
      <c r="G45" s="50">
        <v>4.478E-2</v>
      </c>
      <c r="H45" s="50">
        <v>0.32334000000000002</v>
      </c>
      <c r="I45" s="7">
        <v>4.308E-2</v>
      </c>
      <c r="J45" s="7">
        <v>0.28706999999999999</v>
      </c>
      <c r="K45" s="5">
        <f t="shared" si="22"/>
        <v>3.6270000000000024E-2</v>
      </c>
      <c r="L45" s="5">
        <f t="shared" si="23"/>
        <v>1.7000000000000001E-3</v>
      </c>
      <c r="M45" s="7">
        <v>1.6974812852040733</v>
      </c>
      <c r="N45" s="7">
        <v>1.5847303694512205</v>
      </c>
      <c r="O45" s="50">
        <v>1.7306357703393476</v>
      </c>
      <c r="P45" s="5">
        <f t="shared" si="34"/>
        <v>6.7477167881071096E-2</v>
      </c>
      <c r="Q45" s="5">
        <f t="shared" si="35"/>
        <v>-8.7318875990894385E-2</v>
      </c>
      <c r="R45" s="5">
        <f t="shared" si="36"/>
        <v>-1.9841708109823279E-2</v>
      </c>
      <c r="S45" s="7">
        <f t="shared" si="55"/>
        <v>1.6709491416648803</v>
      </c>
      <c r="U45" s="50">
        <v>0.14839882816446134</v>
      </c>
      <c r="W45" s="7">
        <v>0.14599999999999999</v>
      </c>
      <c r="Y45" s="7">
        <v>2.1000000000000001E-2</v>
      </c>
      <c r="AA45" s="7">
        <f t="shared" si="24"/>
        <v>3.6302874869091109</v>
      </c>
      <c r="AB45" s="7" t="str">
        <f t="shared" si="25"/>
        <v/>
      </c>
      <c r="AC45" s="7" t="str">
        <f t="shared" si="26"/>
        <v/>
      </c>
      <c r="AD45" t="str">
        <f t="shared" si="37"/>
        <v/>
      </c>
      <c r="AE45">
        <f t="shared" si="38"/>
        <v>0.24796689454548074</v>
      </c>
      <c r="AF45" t="str">
        <f t="shared" si="39"/>
        <v/>
      </c>
      <c r="AG45" t="str">
        <f t="shared" si="27"/>
        <v/>
      </c>
      <c r="AH45">
        <f t="shared" si="40"/>
        <v>0.36945315408872437</v>
      </c>
      <c r="AI45">
        <f t="shared" si="41"/>
        <v>0.33442458837423583</v>
      </c>
      <c r="AJ45">
        <f t="shared" si="42"/>
        <v>0.20447287688455967</v>
      </c>
      <c r="AK45">
        <f t="shared" si="43"/>
        <v>0.12995171148967616</v>
      </c>
      <c r="AL45">
        <f t="shared" si="44"/>
        <v>3.5028565714488535E-2</v>
      </c>
      <c r="AM45">
        <f t="shared" si="28"/>
        <v>5.2363651345419271</v>
      </c>
      <c r="AN45">
        <f t="shared" si="54"/>
        <v>166.54174547445135</v>
      </c>
      <c r="AO45" s="14">
        <f t="shared" si="12"/>
        <v>0.1909721675830918</v>
      </c>
      <c r="AP45" s="14">
        <f t="shared" si="30"/>
        <v>8.3336286236367324E-2</v>
      </c>
      <c r="AQ45">
        <f t="shared" si="45"/>
        <v>0.2250175160595756</v>
      </c>
      <c r="AR45">
        <f t="shared" si="46"/>
        <v>0.33945315408872434</v>
      </c>
      <c r="AS45">
        <f t="shared" si="47"/>
        <v>3.0000000000000027E-2</v>
      </c>
      <c r="AT45">
        <f t="shared" si="48"/>
        <v>0.11443563802914875</v>
      </c>
      <c r="AU45">
        <v>4</v>
      </c>
      <c r="AV45">
        <f t="shared" si="31"/>
        <v>121.92</v>
      </c>
      <c r="AW45">
        <v>4</v>
      </c>
      <c r="AX45">
        <f t="shared" si="32"/>
        <v>121.92</v>
      </c>
      <c r="AY45">
        <v>74</v>
      </c>
      <c r="AZ45">
        <f t="shared" si="49"/>
        <v>17.915394873683706</v>
      </c>
      <c r="BA45">
        <f t="shared" si="50"/>
        <v>17.915394873683706</v>
      </c>
      <c r="BB45">
        <f t="shared" si="51"/>
        <v>17.96653911825501</v>
      </c>
      <c r="BC45">
        <f t="shared" si="52"/>
        <v>17.96653911825501</v>
      </c>
      <c r="BD45">
        <f t="shared" si="53"/>
        <v>11.383490666050701</v>
      </c>
      <c r="BG45" s="5"/>
      <c r="BH45">
        <v>4</v>
      </c>
      <c r="BI45">
        <v>4</v>
      </c>
      <c r="BJ45" s="5">
        <v>0.27506000000000003</v>
      </c>
      <c r="BK45" s="5">
        <v>34.2125787889835</v>
      </c>
      <c r="BL45" s="5">
        <v>0.11642252767310596</v>
      </c>
      <c r="BP45" s="5"/>
      <c r="BQ45" s="5"/>
    </row>
    <row r="46" spans="1:99" x14ac:dyDescent="0.25">
      <c r="A46" s="7" t="s">
        <v>23</v>
      </c>
      <c r="B46" s="7">
        <v>9</v>
      </c>
      <c r="C46" s="7">
        <v>1</v>
      </c>
      <c r="D46" s="7">
        <v>9.1471589310637427</v>
      </c>
      <c r="E46" s="7">
        <v>62.556591380507399</v>
      </c>
      <c r="F46" s="7">
        <v>28.296249688428833</v>
      </c>
      <c r="G46" s="50">
        <v>0.13231000000000001</v>
      </c>
      <c r="H46" s="50">
        <v>1.5330999999999999</v>
      </c>
      <c r="I46" s="7">
        <v>0.13880000000000001</v>
      </c>
      <c r="J46" s="7">
        <v>1.6795</v>
      </c>
      <c r="K46" s="5">
        <f t="shared" si="22"/>
        <v>-0.14640000000000009</v>
      </c>
      <c r="L46" s="5">
        <f t="shared" si="23"/>
        <v>-6.4899999999999958E-3</v>
      </c>
      <c r="M46" s="7">
        <v>1.4760400632219171</v>
      </c>
      <c r="N46" s="7">
        <v>1.4473300551027668</v>
      </c>
      <c r="O46" s="50">
        <v>1.5288480596487302</v>
      </c>
      <c r="P46" s="5">
        <f t="shared" si="34"/>
        <v>1.9345418601353432E-2</v>
      </c>
      <c r="Q46" s="5">
        <f t="shared" si="35"/>
        <v>-5.4928578039544235E-2</v>
      </c>
      <c r="R46" s="5">
        <f t="shared" si="36"/>
        <v>-3.5583159438190799E-2</v>
      </c>
      <c r="S46" s="7">
        <f t="shared" si="55"/>
        <v>1.4840727259911379</v>
      </c>
      <c r="U46" s="50">
        <v>0.10094569422553377</v>
      </c>
      <c r="V46" s="7">
        <v>0.25948539031836038</v>
      </c>
      <c r="W46" s="7">
        <v>0.33</v>
      </c>
      <c r="X46" s="7">
        <v>2.74</v>
      </c>
      <c r="Y46" s="7">
        <v>0</v>
      </c>
      <c r="Z46" s="7">
        <v>8.2600000000000007E-2</v>
      </c>
      <c r="AA46" s="7">
        <f t="shared" si="24"/>
        <v>6.1080642439130983</v>
      </c>
      <c r="AB46" s="7">
        <f t="shared" si="25"/>
        <v>59.767656921815039</v>
      </c>
      <c r="AC46" s="7">
        <f t="shared" si="26"/>
        <v>53.659592677901941</v>
      </c>
      <c r="AD46">
        <f t="shared" si="37"/>
        <v>0.15853969609282659</v>
      </c>
      <c r="AE46">
        <f t="shared" si="38"/>
        <v>0.14981075160635579</v>
      </c>
      <c r="AF46">
        <f t="shared" si="39"/>
        <v>0.38509519056464353</v>
      </c>
      <c r="AG46">
        <f t="shared" si="27"/>
        <v>0.23528443895828774</v>
      </c>
      <c r="AH46">
        <f t="shared" si="40"/>
        <v>0.43997255622975928</v>
      </c>
      <c r="AI46">
        <f t="shared" si="41"/>
        <v>0.33817121666947081</v>
      </c>
      <c r="AJ46">
        <f t="shared" si="42"/>
        <v>0.18182252585845066</v>
      </c>
      <c r="AK46">
        <f t="shared" si="43"/>
        <v>0.15634869081102015</v>
      </c>
      <c r="AL46">
        <f t="shared" si="44"/>
        <v>0.10180133956028847</v>
      </c>
      <c r="AM46">
        <f t="shared" si="28"/>
        <v>3.9095175978076671</v>
      </c>
      <c r="AN46">
        <f t="shared" si="54"/>
        <v>87.129930149744411</v>
      </c>
      <c r="AO46" s="14">
        <f t="shared" si="12"/>
        <v>0.25578603369396985</v>
      </c>
      <c r="AP46" s="14">
        <f t="shared" si="30"/>
        <v>8.7324305523317908E-2</v>
      </c>
      <c r="AQ46">
        <f t="shared" si="45"/>
        <v>0.18061567969549441</v>
      </c>
      <c r="AR46">
        <f t="shared" si="46"/>
        <v>0.34178343250466064</v>
      </c>
      <c r="AS46">
        <f t="shared" si="47"/>
        <v>9.8189123725098637E-2</v>
      </c>
      <c r="AT46">
        <f t="shared" si="48"/>
        <v>0.16116775280916623</v>
      </c>
      <c r="AU46">
        <v>5</v>
      </c>
      <c r="AV46">
        <f t="shared" si="31"/>
        <v>152.4</v>
      </c>
      <c r="AW46">
        <v>4</v>
      </c>
      <c r="AX46">
        <f t="shared" si="32"/>
        <v>121.92</v>
      </c>
      <c r="AY46">
        <v>102</v>
      </c>
      <c r="AZ46">
        <f t="shared" si="49"/>
        <v>20.756930209136357</v>
      </c>
      <c r="BA46">
        <f t="shared" si="50"/>
        <v>17.005135912547839</v>
      </c>
      <c r="BB46">
        <f t="shared" si="51"/>
        <v>22.631949386429518</v>
      </c>
      <c r="BC46">
        <f t="shared" si="52"/>
        <v>18.863575473087934</v>
      </c>
      <c r="BD46">
        <f t="shared" si="53"/>
        <v>14.226737722111872</v>
      </c>
      <c r="BG46" s="5"/>
      <c r="BH46">
        <v>4</v>
      </c>
      <c r="BI46">
        <v>5</v>
      </c>
      <c r="BJ46" s="5">
        <v>0.27800000000000002</v>
      </c>
      <c r="BK46" s="5">
        <v>34.744873818339002</v>
      </c>
      <c r="BL46" s="5">
        <v>0.11567314772847845</v>
      </c>
      <c r="BP46" s="5"/>
      <c r="BQ46" s="5"/>
    </row>
    <row r="47" spans="1:99" x14ac:dyDescent="0.25">
      <c r="A47" s="7" t="s">
        <v>23</v>
      </c>
      <c r="B47" s="7">
        <v>9</v>
      </c>
      <c r="C47" s="7">
        <v>2</v>
      </c>
      <c r="D47" s="7">
        <v>7.7309806131421697</v>
      </c>
      <c r="E47" s="7">
        <v>61.3413628170183</v>
      </c>
      <c r="F47" s="7">
        <v>30.927656569839598</v>
      </c>
      <c r="G47" s="50">
        <v>7.6850000000000002E-2</v>
      </c>
      <c r="H47" s="50">
        <v>0.69176000000000004</v>
      </c>
      <c r="I47" s="7">
        <v>0.10382</v>
      </c>
      <c r="J47" s="7">
        <v>0.74982000000000004</v>
      </c>
      <c r="K47" s="5">
        <f t="shared" si="22"/>
        <v>-5.806E-2</v>
      </c>
      <c r="L47" s="5">
        <f t="shared" si="23"/>
        <v>-2.6969999999999994E-2</v>
      </c>
      <c r="M47" s="7">
        <v>1.5079841439848498</v>
      </c>
      <c r="N47" s="7">
        <v>1.467385545562615</v>
      </c>
      <c r="O47" s="50">
        <v>1.6031640303325181</v>
      </c>
      <c r="P47" s="5">
        <f t="shared" si="34"/>
        <v>2.6601484824250017E-2</v>
      </c>
      <c r="Q47" s="5">
        <f t="shared" si="35"/>
        <v>-8.8966354564794292E-2</v>
      </c>
      <c r="R47" s="5">
        <f t="shared" si="36"/>
        <v>-6.2364869740544282E-2</v>
      </c>
      <c r="S47" s="7">
        <f t="shared" si="55"/>
        <v>1.5261779066266612</v>
      </c>
      <c r="U47" s="50">
        <v>0.12536461636017762</v>
      </c>
      <c r="V47" s="7">
        <v>0.25492909028017979</v>
      </c>
      <c r="W47" s="7">
        <v>0.224</v>
      </c>
      <c r="X47" s="7">
        <v>1.46</v>
      </c>
      <c r="Y47" s="7">
        <v>0</v>
      </c>
      <c r="Z47" s="7">
        <v>3.4000000000000002E-2</v>
      </c>
      <c r="AA47" s="7">
        <f t="shared" si="24"/>
        <v>4.3582788324177368</v>
      </c>
      <c r="AB47" s="7">
        <f t="shared" si="25"/>
        <v>32.414813097803091</v>
      </c>
      <c r="AC47" s="7">
        <f t="shared" si="26"/>
        <v>28.056534265385352</v>
      </c>
      <c r="AD47">
        <f t="shared" si="37"/>
        <v>0.12956447392000217</v>
      </c>
      <c r="AE47">
        <f t="shared" si="38"/>
        <v>0.19132870776163036</v>
      </c>
      <c r="AF47">
        <f t="shared" si="39"/>
        <v>0.3890671453420439</v>
      </c>
      <c r="AG47">
        <f t="shared" si="27"/>
        <v>0.19773843758041354</v>
      </c>
      <c r="AH47">
        <f t="shared" si="40"/>
        <v>0.42408380882012786</v>
      </c>
      <c r="AI47">
        <f t="shared" si="41"/>
        <v>0.34683567799141424</v>
      </c>
      <c r="AJ47">
        <f t="shared" si="42"/>
        <v>0.19597690198597778</v>
      </c>
      <c r="AK47">
        <f t="shared" si="43"/>
        <v>0.15085877600543646</v>
      </c>
      <c r="AL47">
        <f t="shared" si="44"/>
        <v>7.7248130828713624E-2</v>
      </c>
      <c r="AM47">
        <f t="shared" si="28"/>
        <v>4.3378304015546654</v>
      </c>
      <c r="AN47">
        <f t="shared" si="54"/>
        <v>105.87055102614566</v>
      </c>
      <c r="AO47" s="14">
        <f t="shared" si="12"/>
        <v>0.23052999020929979</v>
      </c>
      <c r="AP47" s="14">
        <f t="shared" si="30"/>
        <v>8.9028743203326835E-2</v>
      </c>
      <c r="AQ47">
        <f t="shared" si="45"/>
        <v>0.1906198706144947</v>
      </c>
      <c r="AR47">
        <f t="shared" si="46"/>
        <v>0.34909710238105107</v>
      </c>
      <c r="AS47">
        <f t="shared" si="47"/>
        <v>7.4986706439076789E-2</v>
      </c>
      <c r="AT47">
        <f t="shared" si="48"/>
        <v>0.15847723176655637</v>
      </c>
      <c r="AU47">
        <v>5</v>
      </c>
      <c r="AV47">
        <f t="shared" si="31"/>
        <v>152.4</v>
      </c>
      <c r="AW47">
        <v>4</v>
      </c>
      <c r="AX47">
        <f t="shared" si="32"/>
        <v>121.92</v>
      </c>
      <c r="AY47">
        <v>102</v>
      </c>
      <c r="AZ47">
        <f t="shared" si="49"/>
        <v>20.756930209136357</v>
      </c>
      <c r="BA47">
        <f t="shared" si="50"/>
        <v>17.005135912547839</v>
      </c>
      <c r="BB47">
        <f t="shared" si="51"/>
        <v>22.631949386429518</v>
      </c>
      <c r="BC47">
        <f t="shared" si="52"/>
        <v>18.863575473087934</v>
      </c>
      <c r="BD47">
        <f t="shared" si="53"/>
        <v>14.226737722111872</v>
      </c>
      <c r="BH47">
        <v>4</v>
      </c>
      <c r="BI47">
        <v>6</v>
      </c>
      <c r="BJ47" s="5">
        <v>0.44013999999999998</v>
      </c>
      <c r="BK47" s="5">
        <v>31.484087012610001</v>
      </c>
      <c r="BL47" s="5">
        <v>0.13745175584047564</v>
      </c>
      <c r="BP47" s="5"/>
      <c r="BQ47" s="5"/>
    </row>
    <row r="48" spans="1:99" x14ac:dyDescent="0.25">
      <c r="A48" s="7" t="s">
        <v>23</v>
      </c>
      <c r="B48" s="7">
        <v>9</v>
      </c>
      <c r="C48" s="7">
        <v>3</v>
      </c>
      <c r="D48" s="7">
        <v>7.7172725128637003</v>
      </c>
      <c r="E48" s="7">
        <v>53.946498626424997</v>
      </c>
      <c r="F48" s="7">
        <v>38.336228860711302</v>
      </c>
      <c r="G48" s="50">
        <v>5.5489999999999998E-2</v>
      </c>
      <c r="H48" s="50">
        <v>0.38416</v>
      </c>
      <c r="I48" s="7">
        <v>6.7119999999999999E-2</v>
      </c>
      <c r="J48" s="7">
        <v>0.43215999999999999</v>
      </c>
      <c r="K48" s="5">
        <f t="shared" si="22"/>
        <v>-4.7999999999999987E-2</v>
      </c>
      <c r="L48" s="5">
        <f t="shared" si="23"/>
        <v>-1.1630000000000001E-2</v>
      </c>
      <c r="M48" s="7">
        <v>1.574916309294345</v>
      </c>
      <c r="N48" s="7">
        <v>1.5769355021976941</v>
      </c>
      <c r="O48" s="50">
        <v>1.6638859711262437</v>
      </c>
      <c r="P48" s="5">
        <f t="shared" si="34"/>
        <v>-1.2578713757861071E-3</v>
      </c>
      <c r="Q48" s="5">
        <f t="shared" si="35"/>
        <v>-5.4166447294359502E-2</v>
      </c>
      <c r="R48" s="5">
        <f t="shared" si="36"/>
        <v>-5.5424318670145606E-2</v>
      </c>
      <c r="S48" s="7">
        <f t="shared" si="55"/>
        <v>1.6052459275394275</v>
      </c>
      <c r="U48" s="50">
        <v>0.16599408124831869</v>
      </c>
      <c r="V48" s="7">
        <v>0.27032590051457989</v>
      </c>
      <c r="W48" s="7">
        <v>5.3499999999999999E-2</v>
      </c>
      <c r="X48" s="7">
        <v>1.22</v>
      </c>
      <c r="Y48" s="7">
        <v>1.1800000000000001E-3</v>
      </c>
      <c r="Z48" s="7">
        <v>1.7299999999999999E-2</v>
      </c>
      <c r="AA48" s="7">
        <f t="shared" si="24"/>
        <v>1.1594045593922964</v>
      </c>
      <c r="AB48" s="7">
        <f t="shared" si="25"/>
        <v>28.582506966144877</v>
      </c>
      <c r="AC48" s="7">
        <f t="shared" si="26"/>
        <v>27.42310240675258</v>
      </c>
      <c r="AD48">
        <f t="shared" si="37"/>
        <v>0.1043318192662612</v>
      </c>
      <c r="AE48">
        <f t="shared" si="38"/>
        <v>0.26646132291951241</v>
      </c>
      <c r="AF48">
        <f t="shared" si="39"/>
        <v>0.43393955090945779</v>
      </c>
      <c r="AG48">
        <f t="shared" si="27"/>
        <v>0.16747822798994538</v>
      </c>
      <c r="AH48">
        <f t="shared" si="40"/>
        <v>0.39424681979644238</v>
      </c>
      <c r="AI48">
        <f t="shared" si="41"/>
        <v>0.36024879174796398</v>
      </c>
      <c r="AJ48">
        <f t="shared" si="42"/>
        <v>0.23538273062574347</v>
      </c>
      <c r="AK48">
        <f t="shared" si="43"/>
        <v>0.12486606112222051</v>
      </c>
      <c r="AL48">
        <f t="shared" si="44"/>
        <v>3.3998028048478401E-2</v>
      </c>
      <c r="AM48">
        <f t="shared" si="28"/>
        <v>6.1697826856011</v>
      </c>
      <c r="AN48">
        <f t="shared" si="54"/>
        <v>159.02927734765336</v>
      </c>
      <c r="AO48" s="14">
        <f t="shared" si="12"/>
        <v>0.16208026294569133</v>
      </c>
      <c r="AP48" s="14">
        <f t="shared" si="30"/>
        <v>8.9571296644402471E-2</v>
      </c>
      <c r="AQ48">
        <f t="shared" si="45"/>
        <v>0.20940643238336798</v>
      </c>
      <c r="AR48">
        <f t="shared" si="46"/>
        <v>0.36283121761359854</v>
      </c>
      <c r="AS48">
        <f t="shared" si="47"/>
        <v>3.1415602182843838E-2</v>
      </c>
      <c r="AT48">
        <f t="shared" si="48"/>
        <v>0.15342478523023056</v>
      </c>
      <c r="AU48">
        <v>5</v>
      </c>
      <c r="AV48">
        <f t="shared" si="31"/>
        <v>152.4</v>
      </c>
      <c r="AW48">
        <v>4</v>
      </c>
      <c r="AX48">
        <f t="shared" si="32"/>
        <v>121.92</v>
      </c>
      <c r="AY48">
        <v>102</v>
      </c>
      <c r="AZ48">
        <f t="shared" si="49"/>
        <v>20.756930209136357</v>
      </c>
      <c r="BA48">
        <f t="shared" si="50"/>
        <v>17.005135912547839</v>
      </c>
      <c r="BB48">
        <f t="shared" si="51"/>
        <v>22.631949386429518</v>
      </c>
      <c r="BC48">
        <f t="shared" si="52"/>
        <v>18.863575473087934</v>
      </c>
      <c r="BD48">
        <f t="shared" si="53"/>
        <v>14.226737722111872</v>
      </c>
      <c r="BH48">
        <v>4</v>
      </c>
      <c r="BI48">
        <v>7</v>
      </c>
      <c r="BJ48" s="5">
        <v>0.27526</v>
      </c>
      <c r="BK48" s="5">
        <v>38.697491540555298</v>
      </c>
      <c r="BL48" s="5">
        <v>0.11566225989204171</v>
      </c>
      <c r="BP48" s="5"/>
      <c r="BQ48" s="5"/>
    </row>
    <row r="49" spans="1:69" x14ac:dyDescent="0.25">
      <c r="A49" s="7" t="s">
        <v>23</v>
      </c>
      <c r="B49" s="7">
        <v>9</v>
      </c>
      <c r="C49" s="7">
        <v>4</v>
      </c>
      <c r="D49" s="7">
        <v>7.3684455512369702</v>
      </c>
      <c r="E49" s="7">
        <v>55.590835491689802</v>
      </c>
      <c r="F49" s="7">
        <v>37.040718957073302</v>
      </c>
      <c r="G49" s="50">
        <v>3.2320000000000002E-2</v>
      </c>
      <c r="H49" s="50">
        <v>0.21102000000000001</v>
      </c>
      <c r="I49" s="7">
        <v>4.9320000000000003E-2</v>
      </c>
      <c r="J49" s="7">
        <v>0.27900999999999998</v>
      </c>
      <c r="K49" s="5">
        <f t="shared" si="22"/>
        <v>-6.7989999999999967E-2</v>
      </c>
      <c r="L49" s="5">
        <f t="shared" si="23"/>
        <v>-1.7000000000000001E-2</v>
      </c>
      <c r="M49" s="7">
        <v>1.6290970583062601</v>
      </c>
      <c r="N49" s="7">
        <v>1.6236686933005595</v>
      </c>
      <c r="O49" s="50">
        <v>1.6070064541986597</v>
      </c>
      <c r="P49" s="5">
        <f t="shared" si="34"/>
        <v>3.3509996615988433E-3</v>
      </c>
      <c r="Q49" s="5">
        <f t="shared" si="35"/>
        <v>1.0285814887781219E-2</v>
      </c>
      <c r="R49" s="5">
        <f t="shared" si="36"/>
        <v>1.3636814549380061E-2</v>
      </c>
      <c r="S49" s="7">
        <f t="shared" si="55"/>
        <v>1.6199240686018264</v>
      </c>
      <c r="U49" s="50">
        <v>0.17755996904823329</v>
      </c>
      <c r="V49" s="7">
        <v>0.28190559440559421</v>
      </c>
      <c r="W49" s="7">
        <v>0.26300000000000001</v>
      </c>
      <c r="X49" s="7">
        <v>0.84399999999999997</v>
      </c>
      <c r="Y49" s="7">
        <v>2.63E-2</v>
      </c>
      <c r="Z49" s="7">
        <v>0</v>
      </c>
      <c r="AA49" s="7">
        <f t="shared" si="24"/>
        <v>6.251650642718996</v>
      </c>
      <c r="AB49" s="7">
        <f t="shared" si="25"/>
        <v>19.85462656040982</v>
      </c>
      <c r="AC49" s="7">
        <f t="shared" si="26"/>
        <v>13.602975917690824</v>
      </c>
      <c r="AD49">
        <f t="shared" si="37"/>
        <v>0.10434562535736092</v>
      </c>
      <c r="AE49">
        <f t="shared" si="38"/>
        <v>0.28763366748142843</v>
      </c>
      <c r="AF49">
        <f t="shared" si="39"/>
        <v>0.45666565745112642</v>
      </c>
      <c r="AG49">
        <f t="shared" si="27"/>
        <v>0.16903198996969798</v>
      </c>
      <c r="AH49">
        <f t="shared" si="40"/>
        <v>0.38870789864082023</v>
      </c>
      <c r="AI49">
        <f t="shared" si="41"/>
        <v>0.35494595967644771</v>
      </c>
      <c r="AJ49">
        <f t="shared" si="42"/>
        <v>0.22910820439505142</v>
      </c>
      <c r="AK49">
        <f t="shared" si="43"/>
        <v>0.12583775528139629</v>
      </c>
      <c r="AL49">
        <f t="shared" si="44"/>
        <v>3.3761938964372518E-2</v>
      </c>
      <c r="AM49">
        <f t="shared" si="28"/>
        <v>5.9795793369042682</v>
      </c>
      <c r="AN49">
        <f t="shared" si="54"/>
        <v>161.80388480621073</v>
      </c>
      <c r="AO49" s="14">
        <f t="shared" si="12"/>
        <v>0.16723584447291862</v>
      </c>
      <c r="AP49" s="14">
        <f t="shared" si="30"/>
        <v>8.8230788367485685E-2</v>
      </c>
      <c r="AQ49">
        <f t="shared" si="45"/>
        <v>0.21289395869979394</v>
      </c>
      <c r="AR49">
        <f t="shared" si="46"/>
        <v>0.3587078986408202</v>
      </c>
      <c r="AS49">
        <f t="shared" si="47"/>
        <v>3.0000000000000027E-2</v>
      </c>
      <c r="AT49">
        <f t="shared" si="48"/>
        <v>0.14581393994102626</v>
      </c>
      <c r="AU49">
        <v>5</v>
      </c>
      <c r="AV49">
        <f t="shared" si="31"/>
        <v>152.4</v>
      </c>
      <c r="AW49">
        <v>4</v>
      </c>
      <c r="AX49">
        <f t="shared" si="32"/>
        <v>121.92</v>
      </c>
      <c r="AY49">
        <v>102</v>
      </c>
      <c r="AZ49">
        <f t="shared" si="49"/>
        <v>20.756930209136357</v>
      </c>
      <c r="BA49">
        <f t="shared" si="50"/>
        <v>17.005135912547839</v>
      </c>
      <c r="BB49">
        <f t="shared" si="51"/>
        <v>22.631949386429518</v>
      </c>
      <c r="BC49">
        <f t="shared" si="52"/>
        <v>18.863575473087934</v>
      </c>
      <c r="BD49">
        <f t="shared" si="53"/>
        <v>14.226737722111872</v>
      </c>
      <c r="BH49">
        <v>4</v>
      </c>
      <c r="BI49">
        <v>8</v>
      </c>
      <c r="BJ49" s="5">
        <v>0.33456000000000002</v>
      </c>
      <c r="BK49" s="5">
        <v>32.520488762099298</v>
      </c>
      <c r="BL49" s="5">
        <v>0.12628255752505763</v>
      </c>
      <c r="BP49" s="5"/>
      <c r="BQ49" s="5"/>
    </row>
    <row r="50" spans="1:69" x14ac:dyDescent="0.25">
      <c r="A50" s="7" t="s">
        <v>23</v>
      </c>
      <c r="B50" s="7">
        <v>9</v>
      </c>
      <c r="C50" s="7">
        <v>5</v>
      </c>
      <c r="D50" s="7">
        <v>7.7156855831258602</v>
      </c>
      <c r="E50" s="7">
        <v>56.551247049025697</v>
      </c>
      <c r="F50" s="7">
        <v>35.733067367848399</v>
      </c>
      <c r="G50" s="50">
        <v>4.9390000000000003E-2</v>
      </c>
      <c r="H50" s="50">
        <v>0.28914000000000001</v>
      </c>
      <c r="I50" s="7">
        <v>4.5740000000000003E-2</v>
      </c>
      <c r="J50" s="7">
        <v>0.24858</v>
      </c>
      <c r="K50" s="5">
        <f t="shared" si="22"/>
        <v>4.0560000000000013E-2</v>
      </c>
      <c r="L50" s="5">
        <f t="shared" si="23"/>
        <v>3.6500000000000005E-3</v>
      </c>
      <c r="M50" s="7">
        <v>1.6518745663772201</v>
      </c>
      <c r="N50" s="7">
        <v>1.6258059970445258</v>
      </c>
      <c r="O50" s="50">
        <v>1.690292239037499</v>
      </c>
      <c r="P50" s="5">
        <f t="shared" si="34"/>
        <v>1.5741975873815074E-2</v>
      </c>
      <c r="Q50" s="5">
        <f t="shared" si="35"/>
        <v>-3.8941180572315909E-2</v>
      </c>
      <c r="R50" s="5">
        <f t="shared" si="36"/>
        <v>-2.3199204698500831E-2</v>
      </c>
      <c r="S50" s="7">
        <f t="shared" si="55"/>
        <v>1.6559909341530819</v>
      </c>
      <c r="U50" s="50">
        <v>0.20331514897188413</v>
      </c>
      <c r="W50" s="7">
        <v>0.28799999999999998</v>
      </c>
      <c r="Y50" s="7">
        <v>7.3499999999999998E-3</v>
      </c>
      <c r="AA50" s="7">
        <f t="shared" si="24"/>
        <v>6.6671908889780607</v>
      </c>
      <c r="AB50" s="7" t="str">
        <f t="shared" si="25"/>
        <v/>
      </c>
      <c r="AC50" s="7" t="str">
        <f t="shared" si="26"/>
        <v/>
      </c>
      <c r="AD50" t="str">
        <f t="shared" si="37"/>
        <v/>
      </c>
      <c r="AE50">
        <f t="shared" si="38"/>
        <v>0.3366880434734234</v>
      </c>
      <c r="AF50" t="str">
        <f t="shared" si="39"/>
        <v/>
      </c>
      <c r="AG50" t="str">
        <f t="shared" si="27"/>
        <v/>
      </c>
      <c r="AH50">
        <f t="shared" si="40"/>
        <v>0.37509776069695022</v>
      </c>
      <c r="AI50">
        <f t="shared" si="41"/>
        <v>0.34544981064518021</v>
      </c>
      <c r="AJ50">
        <f t="shared" si="42"/>
        <v>0.22235944658387707</v>
      </c>
      <c r="AK50">
        <f t="shared" si="43"/>
        <v>0.12309036406130314</v>
      </c>
      <c r="AL50">
        <f t="shared" si="44"/>
        <v>2.9647950051770011E-2</v>
      </c>
      <c r="AM50">
        <f t="shared" si="28"/>
        <v>5.9420362427259432</v>
      </c>
      <c r="AN50">
        <f t="shared" si="54"/>
        <v>173.60677407972992</v>
      </c>
      <c r="AO50" s="14">
        <f t="shared" si="12"/>
        <v>0.16829247738503261</v>
      </c>
      <c r="AP50" s="14">
        <f t="shared" si="30"/>
        <v>8.5728025266843019E-2</v>
      </c>
      <c r="AQ50">
        <f t="shared" si="45"/>
        <v>0.2214634459547723</v>
      </c>
      <c r="AR50">
        <f t="shared" si="46"/>
        <v>0.3450977606969502</v>
      </c>
      <c r="AS50">
        <f t="shared" si="47"/>
        <v>3.0000000000000027E-2</v>
      </c>
      <c r="AT50">
        <f t="shared" si="48"/>
        <v>0.1236343147421779</v>
      </c>
      <c r="AU50">
        <v>5</v>
      </c>
      <c r="AV50">
        <f t="shared" si="31"/>
        <v>152.4</v>
      </c>
      <c r="AW50">
        <v>4</v>
      </c>
      <c r="AX50">
        <f t="shared" si="32"/>
        <v>121.92</v>
      </c>
      <c r="AY50">
        <v>102</v>
      </c>
      <c r="AZ50">
        <f t="shared" si="49"/>
        <v>20.756930209136357</v>
      </c>
      <c r="BA50">
        <f t="shared" si="50"/>
        <v>17.005135912547839</v>
      </c>
      <c r="BB50">
        <f t="shared" si="51"/>
        <v>22.631949386429518</v>
      </c>
      <c r="BC50">
        <f t="shared" si="52"/>
        <v>18.863575473087934</v>
      </c>
      <c r="BD50">
        <f t="shared" si="53"/>
        <v>14.226737722111872</v>
      </c>
      <c r="BH50">
        <v>4</v>
      </c>
      <c r="BI50">
        <v>9</v>
      </c>
      <c r="BJ50" s="5">
        <v>0.27900999999999998</v>
      </c>
      <c r="BK50" s="5">
        <v>37.040718957073302</v>
      </c>
      <c r="BL50" s="5">
        <v>0.12583775528139629</v>
      </c>
      <c r="BP50" s="5"/>
      <c r="BQ50" s="5"/>
    </row>
    <row r="51" spans="1:69" x14ac:dyDescent="0.25">
      <c r="A51" s="7" t="s">
        <v>23</v>
      </c>
      <c r="B51" s="7">
        <v>10</v>
      </c>
      <c r="C51" s="7">
        <v>1</v>
      </c>
      <c r="D51" s="7">
        <v>7.9836665387286798</v>
      </c>
      <c r="E51" s="7">
        <v>64.712489762072266</v>
      </c>
      <c r="F51" s="7">
        <v>27.303843699199067</v>
      </c>
      <c r="G51" s="50">
        <v>0.18057999999999999</v>
      </c>
      <c r="H51" s="50">
        <v>2.1067999999999998</v>
      </c>
      <c r="I51" s="7">
        <v>0.19185666666666668</v>
      </c>
      <c r="J51" s="7">
        <v>2.2136</v>
      </c>
      <c r="K51" s="5">
        <f t="shared" si="22"/>
        <v>-0.10680000000000023</v>
      </c>
      <c r="L51" s="5">
        <f t="shared" si="23"/>
        <v>-1.1276666666666685E-2</v>
      </c>
      <c r="M51" s="7">
        <v>1.1609141425118703</v>
      </c>
      <c r="N51" s="7">
        <v>1.6714344911281358</v>
      </c>
      <c r="O51" s="50">
        <v>1.1611979579110738</v>
      </c>
      <c r="P51" s="5">
        <f t="shared" si="34"/>
        <v>-0.38350899651178066</v>
      </c>
      <c r="Q51" s="5">
        <f t="shared" si="35"/>
        <v>0.38329579098679389</v>
      </c>
      <c r="R51" s="5">
        <f t="shared" si="36"/>
        <v>-2.1320552498671957E-4</v>
      </c>
      <c r="S51" s="7">
        <f>AVERAGE(M51,O51)</f>
        <v>1.1610560502114722</v>
      </c>
      <c r="T51" s="50">
        <v>1.1666388901434039</v>
      </c>
      <c r="U51" s="50">
        <v>0.1058539005333004</v>
      </c>
      <c r="V51" s="7">
        <v>0.25162295507660321</v>
      </c>
      <c r="W51" s="7">
        <v>0.186</v>
      </c>
      <c r="X51" s="7">
        <v>3.36</v>
      </c>
      <c r="Y51" s="7">
        <v>1.6500000000000001E-2</v>
      </c>
      <c r="Z51" s="7">
        <v>0.19800000000000001</v>
      </c>
      <c r="AA51" s="7">
        <f t="shared" si="24"/>
        <v>2.945401766074708</v>
      </c>
      <c r="AB51" s="7">
        <f t="shared" si="25"/>
        <v>58.573506603819823</v>
      </c>
      <c r="AC51" s="7">
        <f t="shared" si="26"/>
        <v>55.628104837745113</v>
      </c>
      <c r="AD51">
        <f t="shared" si="37"/>
        <v>0.1457690545433028</v>
      </c>
      <c r="AE51">
        <f t="shared" si="38"/>
        <v>0.12290231165267182</v>
      </c>
      <c r="AF51">
        <f t="shared" si="39"/>
        <v>0.29214835436377962</v>
      </c>
      <c r="AG51">
        <f t="shared" si="27"/>
        <v>0.1692460427111078</v>
      </c>
      <c r="AH51">
        <f t="shared" si="40"/>
        <v>0.56186564142963313</v>
      </c>
      <c r="AI51">
        <f t="shared" si="41"/>
        <v>0.35026640857201224</v>
      </c>
      <c r="AJ51">
        <f t="shared" si="42"/>
        <v>0.17490163306643502</v>
      </c>
      <c r="AK51">
        <f t="shared" si="43"/>
        <v>0.17536477550557722</v>
      </c>
      <c r="AL51">
        <f t="shared" si="44"/>
        <v>0.21159923285762089</v>
      </c>
      <c r="AM51">
        <f t="shared" si="28"/>
        <v>3.3787325373201802</v>
      </c>
      <c r="AN51">
        <f t="shared" si="54"/>
        <v>43.900154065118102</v>
      </c>
      <c r="AO51" s="14">
        <f t="shared" si="12"/>
        <v>0.29596897326272043</v>
      </c>
      <c r="AP51" s="14">
        <f t="shared" si="30"/>
        <v>9.1175590246360738E-2</v>
      </c>
      <c r="AQ51">
        <f t="shared" si="45"/>
        <v>0.10386691753024579</v>
      </c>
      <c r="AR51">
        <f t="shared" si="46"/>
        <v>0.28567543592173272</v>
      </c>
      <c r="AS51">
        <f t="shared" si="47"/>
        <v>0.27619020550790041</v>
      </c>
      <c r="AT51">
        <f t="shared" si="48"/>
        <v>0.18180851839148693</v>
      </c>
      <c r="AU51">
        <v>5</v>
      </c>
      <c r="AV51">
        <f t="shared" si="31"/>
        <v>152.4</v>
      </c>
      <c r="AW51">
        <v>5</v>
      </c>
      <c r="AX51">
        <f t="shared" si="32"/>
        <v>152.4</v>
      </c>
      <c r="AY51">
        <v>81</v>
      </c>
      <c r="AZ51">
        <f t="shared" si="49"/>
        <v>23.431142853174816</v>
      </c>
      <c r="BA51">
        <f t="shared" si="50"/>
        <v>23.431142853174816</v>
      </c>
      <c r="BB51">
        <f t="shared" si="51"/>
        <v>22.145996191579997</v>
      </c>
      <c r="BC51">
        <f t="shared" si="52"/>
        <v>22.145996191579997</v>
      </c>
      <c r="BD51">
        <f t="shared" si="53"/>
        <v>13.64306091736681</v>
      </c>
      <c r="BH51">
        <v>4</v>
      </c>
      <c r="BI51">
        <v>10</v>
      </c>
      <c r="BJ51" s="5">
        <v>0.35460000000000003</v>
      </c>
      <c r="BK51" s="5">
        <v>28.4743768593382</v>
      </c>
      <c r="BL51" s="5">
        <v>0.13677710895719281</v>
      </c>
      <c r="BP51" s="5"/>
      <c r="BQ51" s="5"/>
    </row>
    <row r="52" spans="1:69" x14ac:dyDescent="0.25">
      <c r="A52" s="7" t="s">
        <v>23</v>
      </c>
      <c r="B52" s="7">
        <v>10</v>
      </c>
      <c r="C52" s="7">
        <v>2</v>
      </c>
      <c r="D52" s="7">
        <v>8.3929348945059594</v>
      </c>
      <c r="E52" s="7">
        <v>65.817674914690599</v>
      </c>
      <c r="F52" s="7">
        <v>25.789390190803399</v>
      </c>
      <c r="G52" s="50">
        <v>9.6509999999999999E-2</v>
      </c>
      <c r="H52" s="50">
        <v>0.76837999999999995</v>
      </c>
      <c r="I52" s="7">
        <v>9.5490000000000005E-2</v>
      </c>
      <c r="J52" s="7">
        <v>0.78525999999999996</v>
      </c>
      <c r="K52" s="5">
        <f t="shared" si="22"/>
        <v>-1.6880000000000006E-2</v>
      </c>
      <c r="L52" s="5">
        <f t="shared" si="23"/>
        <v>1.0199999999999931E-3</v>
      </c>
      <c r="M52" s="7">
        <v>1.0981300848655016</v>
      </c>
      <c r="N52" s="7">
        <v>1.0124789663505971</v>
      </c>
      <c r="O52" s="50">
        <v>1.3092622684802417</v>
      </c>
      <c r="P52" s="5">
        <f t="shared" si="34"/>
        <v>7.5135387131328973E-2</v>
      </c>
      <c r="Q52" s="5">
        <f t="shared" si="35"/>
        <v>-0.26034602567092802</v>
      </c>
      <c r="R52" s="5">
        <f t="shared" si="36"/>
        <v>-0.18521063853959907</v>
      </c>
      <c r="S52" s="7">
        <f>AVERAGE(M52:N52)</f>
        <v>1.0553045256080493</v>
      </c>
      <c r="T52" s="50">
        <v>1.3180018724797586</v>
      </c>
      <c r="U52" s="50">
        <v>8.2746669554857738E-2</v>
      </c>
      <c r="V52" s="7">
        <v>0.24716553287981854</v>
      </c>
      <c r="W52" s="7">
        <v>0.108</v>
      </c>
      <c r="X52" s="7">
        <v>1.4</v>
      </c>
      <c r="Y52" s="7">
        <v>2.0500000000000001E-2</v>
      </c>
      <c r="Z52" s="7">
        <v>4.5100000000000001E-2</v>
      </c>
      <c r="AA52" s="7">
        <f t="shared" si="24"/>
        <v>1.6633221086272056</v>
      </c>
      <c r="AB52" s="7">
        <f t="shared" si="25"/>
        <v>21.546085404944328</v>
      </c>
      <c r="AC52" s="7">
        <f t="shared" si="26"/>
        <v>19.882763296317123</v>
      </c>
      <c r="AD52">
        <f t="shared" si="37"/>
        <v>0.16441886332496081</v>
      </c>
      <c r="AE52">
        <f t="shared" si="38"/>
        <v>8.7322934860235166E-2</v>
      </c>
      <c r="AF52">
        <f t="shared" si="39"/>
        <v>0.26083490542239762</v>
      </c>
      <c r="AG52">
        <f t="shared" si="27"/>
        <v>0.17351197056216244</v>
      </c>
      <c r="AH52">
        <f t="shared" si="40"/>
        <v>0.6017718771290379</v>
      </c>
      <c r="AI52">
        <f t="shared" si="41"/>
        <v>0.34934248606572593</v>
      </c>
      <c r="AJ52">
        <f t="shared" si="42"/>
        <v>0.16954567478626492</v>
      </c>
      <c r="AK52">
        <f t="shared" si="43"/>
        <v>0.17979681127946101</v>
      </c>
      <c r="AL52">
        <f t="shared" si="44"/>
        <v>0.25242939106331197</v>
      </c>
      <c r="AM52">
        <f t="shared" si="28"/>
        <v>3.2705621159482501</v>
      </c>
      <c r="AN52">
        <f t="shared" si="54"/>
        <v>36.113783867172451</v>
      </c>
      <c r="AO52" s="14">
        <f t="shared" si="12"/>
        <v>0.30575783750557667</v>
      </c>
      <c r="AP52" s="14">
        <f t="shared" si="30"/>
        <v>8.827454762050943E-2</v>
      </c>
      <c r="AQ52">
        <f t="shared" si="45"/>
        <v>7.8740355284472541E-2</v>
      </c>
      <c r="AR52">
        <f t="shared" si="46"/>
        <v>0.26730639609811818</v>
      </c>
      <c r="AS52">
        <f t="shared" si="47"/>
        <v>0.33446548103091972</v>
      </c>
      <c r="AT52">
        <f t="shared" si="48"/>
        <v>0.18856604081364564</v>
      </c>
      <c r="AU52">
        <v>5</v>
      </c>
      <c r="AV52">
        <f t="shared" si="31"/>
        <v>152.4</v>
      </c>
      <c r="AW52">
        <v>5</v>
      </c>
      <c r="AX52">
        <f t="shared" si="32"/>
        <v>152.4</v>
      </c>
      <c r="AY52">
        <v>81</v>
      </c>
      <c r="AZ52">
        <f t="shared" si="49"/>
        <v>23.431142853174816</v>
      </c>
      <c r="BA52">
        <f t="shared" si="50"/>
        <v>23.431142853174816</v>
      </c>
      <c r="BB52">
        <f t="shared" si="51"/>
        <v>22.145996191579997</v>
      </c>
      <c r="BC52">
        <f t="shared" si="52"/>
        <v>22.145996191579997</v>
      </c>
      <c r="BD52">
        <f t="shared" si="53"/>
        <v>13.64306091736681</v>
      </c>
      <c r="BH52">
        <v>4</v>
      </c>
      <c r="BI52">
        <v>11</v>
      </c>
      <c r="BJ52" s="5">
        <v>0.32416</v>
      </c>
      <c r="BK52" s="5">
        <v>40.143431525395599</v>
      </c>
      <c r="BL52" s="5">
        <v>0.12572339374784064</v>
      </c>
      <c r="BP52" s="5"/>
      <c r="BQ52" s="5"/>
    </row>
    <row r="53" spans="1:69" x14ac:dyDescent="0.25">
      <c r="A53" s="7" t="s">
        <v>23</v>
      </c>
      <c r="B53" s="7">
        <v>10</v>
      </c>
      <c r="C53" s="7">
        <v>3</v>
      </c>
      <c r="D53" s="7">
        <v>8.5620895352612099</v>
      </c>
      <c r="E53" s="7">
        <v>64.235745184826897</v>
      </c>
      <c r="F53" s="7">
        <v>27.202165279911899</v>
      </c>
      <c r="G53" s="50">
        <v>5.5599999999999997E-2</v>
      </c>
      <c r="H53" s="50">
        <v>0.39391999999999999</v>
      </c>
      <c r="I53" s="7">
        <v>7.9880000000000007E-2</v>
      </c>
      <c r="J53" s="7">
        <v>0.41853000000000001</v>
      </c>
      <c r="K53" s="5">
        <f t="shared" si="22"/>
        <v>-2.4610000000000021E-2</v>
      </c>
      <c r="L53" s="5">
        <f t="shared" si="23"/>
        <v>-2.428000000000001E-2</v>
      </c>
      <c r="M53" s="7">
        <v>1.5326522162700356</v>
      </c>
      <c r="N53" s="7">
        <v>1.591011856107591</v>
      </c>
      <c r="O53" s="50">
        <v>1.6093788598432852</v>
      </c>
      <c r="P53" s="5">
        <f t="shared" si="34"/>
        <v>-3.6990773593197281E-2</v>
      </c>
      <c r="Q53" s="5">
        <f t="shared" si="35"/>
        <v>-1.1641772955823859E-2</v>
      </c>
      <c r="R53" s="5">
        <f t="shared" si="36"/>
        <v>-4.8632546549021133E-2</v>
      </c>
      <c r="S53" s="7">
        <f t="shared" ref="S53:S65" si="56">AVERAGE(M53:O53)</f>
        <v>1.5776809774069704</v>
      </c>
      <c r="T53" s="50">
        <v>1.4752963237600472</v>
      </c>
      <c r="U53" s="50">
        <v>0.11855765665554312</v>
      </c>
      <c r="V53" s="7">
        <v>0.20886942239255413</v>
      </c>
      <c r="W53" s="7">
        <v>9.7000000000000003E-2</v>
      </c>
      <c r="X53" s="7">
        <v>1.46</v>
      </c>
      <c r="Y53" s="7">
        <v>4.8500000000000001E-2</v>
      </c>
      <c r="Z53" s="7">
        <v>0.223</v>
      </c>
      <c r="AA53" s="7">
        <f t="shared" si="24"/>
        <v>2.9087683278373029</v>
      </c>
      <c r="AB53" s="7">
        <f t="shared" si="25"/>
        <v>36.362293921663557</v>
      </c>
      <c r="AC53" s="7">
        <f t="shared" si="26"/>
        <v>33.453525593826257</v>
      </c>
      <c r="AD53">
        <f t="shared" si="37"/>
        <v>9.031176573701101E-2</v>
      </c>
      <c r="AE53">
        <f t="shared" si="38"/>
        <v>0.18704615963139729</v>
      </c>
      <c r="AF53">
        <f t="shared" si="39"/>
        <v>0.32952931447071415</v>
      </c>
      <c r="AG53">
        <f t="shared" si="27"/>
        <v>0.14248315483931687</v>
      </c>
      <c r="AH53">
        <f t="shared" si="40"/>
        <v>0.40464868777095453</v>
      </c>
      <c r="AI53">
        <f t="shared" si="41"/>
        <v>0.32784169727163731</v>
      </c>
      <c r="AJ53">
        <f t="shared" si="42"/>
        <v>0.17770473156160849</v>
      </c>
      <c r="AK53">
        <f t="shared" si="43"/>
        <v>0.15013696571002882</v>
      </c>
      <c r="AL53">
        <f t="shared" si="44"/>
        <v>7.6806990499317218E-2</v>
      </c>
      <c r="AM53">
        <f t="shared" si="28"/>
        <v>4.032864232459227</v>
      </c>
      <c r="AN53">
        <f t="shared" si="54"/>
        <v>110.03853284739149</v>
      </c>
      <c r="AO53" s="14">
        <f t="shared" si="12"/>
        <v>0.24796272385053822</v>
      </c>
      <c r="AP53" s="14">
        <f t="shared" si="30"/>
        <v>8.2465800349885848E-2</v>
      </c>
      <c r="AQ53">
        <f t="shared" si="45"/>
        <v>0.20285700023189618</v>
      </c>
      <c r="AR53">
        <f t="shared" si="46"/>
        <v>0.3580431857755908</v>
      </c>
      <c r="AS53">
        <f t="shared" si="47"/>
        <v>4.660550199536373E-2</v>
      </c>
      <c r="AT53">
        <f t="shared" si="48"/>
        <v>0.15518618554369462</v>
      </c>
      <c r="AU53">
        <v>5</v>
      </c>
      <c r="AV53">
        <f t="shared" si="31"/>
        <v>152.4</v>
      </c>
      <c r="AW53">
        <v>5</v>
      </c>
      <c r="AX53">
        <f t="shared" si="32"/>
        <v>152.4</v>
      </c>
      <c r="AY53">
        <v>81</v>
      </c>
      <c r="AZ53">
        <f t="shared" si="49"/>
        <v>23.431142853174816</v>
      </c>
      <c r="BA53">
        <f t="shared" si="50"/>
        <v>23.431142853174816</v>
      </c>
      <c r="BB53">
        <f t="shared" si="51"/>
        <v>22.145996191579997</v>
      </c>
      <c r="BC53">
        <f t="shared" si="52"/>
        <v>22.145996191579997</v>
      </c>
      <c r="BD53">
        <f t="shared" si="53"/>
        <v>13.64306091736681</v>
      </c>
      <c r="BH53">
        <v>4</v>
      </c>
      <c r="BI53">
        <v>12</v>
      </c>
      <c r="BJ53" s="5">
        <v>0.32119999999999999</v>
      </c>
      <c r="BK53" s="5">
        <v>34.794542109766802</v>
      </c>
      <c r="BL53" s="5">
        <v>0.12472464204070699</v>
      </c>
      <c r="BP53" s="5"/>
      <c r="BQ53" s="5"/>
    </row>
    <row r="54" spans="1:69" x14ac:dyDescent="0.25">
      <c r="A54" s="7" t="s">
        <v>23</v>
      </c>
      <c r="B54" s="7">
        <v>10</v>
      </c>
      <c r="C54" s="7">
        <v>4</v>
      </c>
      <c r="D54" s="7">
        <v>7.5896263677160496</v>
      </c>
      <c r="E54" s="7">
        <v>63.935996772945799</v>
      </c>
      <c r="F54" s="7">
        <v>28.4743768593382</v>
      </c>
      <c r="G54" s="50">
        <v>5.3129999999999997E-2</v>
      </c>
      <c r="H54" s="50">
        <v>0.34206999999999999</v>
      </c>
      <c r="I54" s="7">
        <v>5.7910000000000003E-2</v>
      </c>
      <c r="J54" s="7">
        <v>0.35460000000000003</v>
      </c>
      <c r="K54" s="5">
        <f t="shared" si="22"/>
        <v>-1.2530000000000041E-2</v>
      </c>
      <c r="L54" s="5">
        <f t="shared" si="23"/>
        <v>-4.7800000000000065E-3</v>
      </c>
      <c r="M54" s="7">
        <v>1.626309523235459</v>
      </c>
      <c r="N54" s="7">
        <v>1.6381172378173163</v>
      </c>
      <c r="O54" s="50">
        <v>1.790656849437209</v>
      </c>
      <c r="P54" s="5">
        <f t="shared" si="34"/>
        <v>-7.0074298419247243E-3</v>
      </c>
      <c r="Q54" s="5">
        <f t="shared" si="35"/>
        <v>-9.0526462096503599E-2</v>
      </c>
      <c r="R54" s="5">
        <f t="shared" si="36"/>
        <v>-9.7533891938428319E-2</v>
      </c>
      <c r="S54" s="7">
        <f t="shared" si="56"/>
        <v>1.6850278701633281</v>
      </c>
      <c r="U54" s="50">
        <v>0.14167596631835216</v>
      </c>
      <c r="V54" s="7">
        <v>0.19899371069182401</v>
      </c>
      <c r="W54" s="7">
        <v>8.0999999999999989E-2</v>
      </c>
      <c r="X54" s="7">
        <v>0.96899999999999997</v>
      </c>
      <c r="Y54" s="7">
        <v>5.4000000000000003E-3</v>
      </c>
      <c r="Z54" s="7">
        <v>7.8899999999999998E-2</v>
      </c>
      <c r="AA54" s="7">
        <f t="shared" si="24"/>
        <v>1.8829217191641328</v>
      </c>
      <c r="AB54" s="7">
        <f t="shared" si="25"/>
        <v>23.983491582843467</v>
      </c>
      <c r="AC54" s="7">
        <f t="shared" si="26"/>
        <v>22.100569863679333</v>
      </c>
      <c r="AD54">
        <f t="shared" si="37"/>
        <v>5.7317744373471841E-2</v>
      </c>
      <c r="AE54">
        <f t="shared" si="38"/>
        <v>0.23872795177874437</v>
      </c>
      <c r="AF54">
        <f t="shared" si="39"/>
        <v>0.33530994850294171</v>
      </c>
      <c r="AG54">
        <f t="shared" si="27"/>
        <v>9.6581996724197344E-2</v>
      </c>
      <c r="AH54">
        <f t="shared" si="40"/>
        <v>0.36414042635346111</v>
      </c>
      <c r="AI54">
        <f t="shared" si="41"/>
        <v>0.32132069958971321</v>
      </c>
      <c r="AJ54">
        <f t="shared" si="42"/>
        <v>0.1845435906325204</v>
      </c>
      <c r="AK54">
        <f t="shared" si="43"/>
        <v>0.13677710895719281</v>
      </c>
      <c r="AL54">
        <f t="shared" si="44"/>
        <v>4.2819726763747901E-2</v>
      </c>
      <c r="AM54">
        <f t="shared" si="28"/>
        <v>4.5738657670781535</v>
      </c>
      <c r="AN54">
        <f t="shared" si="54"/>
        <v>156.50320016673794</v>
      </c>
      <c r="AO54" s="14">
        <f t="shared" si="12"/>
        <v>0.21863343852323269</v>
      </c>
      <c r="AP54" s="14">
        <f t="shared" si="30"/>
        <v>7.9618747299952441E-2</v>
      </c>
      <c r="AQ54">
        <f t="shared" si="45"/>
        <v>0.22836262195080681</v>
      </c>
      <c r="AR54">
        <f t="shared" si="46"/>
        <v>0.33414042635346108</v>
      </c>
      <c r="AS54">
        <f t="shared" si="47"/>
        <v>3.0000000000000027E-2</v>
      </c>
      <c r="AT54">
        <f t="shared" si="48"/>
        <v>0.10577780440265427</v>
      </c>
      <c r="AU54">
        <v>5</v>
      </c>
      <c r="AV54">
        <f t="shared" si="31"/>
        <v>152.4</v>
      </c>
      <c r="AW54">
        <v>5</v>
      </c>
      <c r="AX54">
        <f t="shared" si="32"/>
        <v>152.4</v>
      </c>
      <c r="AY54">
        <v>81</v>
      </c>
      <c r="AZ54">
        <f t="shared" si="49"/>
        <v>23.431142853174816</v>
      </c>
      <c r="BA54">
        <f t="shared" si="50"/>
        <v>23.431142853174816</v>
      </c>
      <c r="BB54">
        <f t="shared" si="51"/>
        <v>22.145996191579997</v>
      </c>
      <c r="BC54">
        <f t="shared" si="52"/>
        <v>22.145996191579997</v>
      </c>
      <c r="BD54">
        <f t="shared" si="53"/>
        <v>13.64306091736681</v>
      </c>
    </row>
    <row r="55" spans="1:69" x14ac:dyDescent="0.25">
      <c r="A55" s="7" t="s">
        <v>23</v>
      </c>
      <c r="B55" s="7">
        <v>10</v>
      </c>
      <c r="C55" s="7">
        <v>5</v>
      </c>
      <c r="D55" s="7">
        <v>8.1105379564016395</v>
      </c>
      <c r="E55" s="7">
        <v>60.266704952945602</v>
      </c>
      <c r="F55" s="7">
        <v>31.622757090652801</v>
      </c>
      <c r="G55" s="50">
        <v>5.1679999999999997E-2</v>
      </c>
      <c r="H55" s="50">
        <v>0.41976999999999998</v>
      </c>
      <c r="I55" s="7">
        <v>4.7059999999999998E-2</v>
      </c>
      <c r="J55" s="7">
        <v>0.34117999999999998</v>
      </c>
      <c r="K55" s="5">
        <f t="shared" si="22"/>
        <v>7.8589999999999993E-2</v>
      </c>
      <c r="L55" s="5">
        <f t="shared" si="23"/>
        <v>4.6199999999999991E-3</v>
      </c>
      <c r="M55" s="7">
        <v>1.7064011020802119</v>
      </c>
      <c r="N55" s="7">
        <v>1.6291006949948268</v>
      </c>
      <c r="O55" s="50">
        <v>1.7710080910308021</v>
      </c>
      <c r="P55" s="5">
        <f t="shared" si="34"/>
        <v>4.5412860512872619E-2</v>
      </c>
      <c r="Q55" s="5">
        <f t="shared" si="35"/>
        <v>-8.3368523205942388E-2</v>
      </c>
      <c r="R55" s="5">
        <f t="shared" si="36"/>
        <v>-3.7955662693069769E-2</v>
      </c>
      <c r="S55" s="7">
        <f t="shared" si="56"/>
        <v>1.7021699627019469</v>
      </c>
      <c r="U55" s="50">
        <v>0.14521310773184842</v>
      </c>
      <c r="W55" s="7">
        <v>0.19850000000000001</v>
      </c>
      <c r="Y55" s="7">
        <v>2.145E-2</v>
      </c>
      <c r="AA55" s="7">
        <f t="shared" si="24"/>
        <v>4.8571528921771616</v>
      </c>
      <c r="AB55" s="7" t="str">
        <f t="shared" si="25"/>
        <v/>
      </c>
      <c r="AC55" s="7" t="str">
        <f t="shared" si="26"/>
        <v/>
      </c>
      <c r="AD55" t="str">
        <f t="shared" si="37"/>
        <v/>
      </c>
      <c r="AE55">
        <f t="shared" si="38"/>
        <v>0.24717739017175422</v>
      </c>
      <c r="AF55" t="str">
        <f t="shared" si="39"/>
        <v/>
      </c>
      <c r="AG55" t="str">
        <f t="shared" si="27"/>
        <v/>
      </c>
      <c r="AH55">
        <f t="shared" si="40"/>
        <v>0.35767171218794458</v>
      </c>
      <c r="AI55">
        <f t="shared" si="41"/>
        <v>0.32708098498116639</v>
      </c>
      <c r="AJ55">
        <f t="shared" si="42"/>
        <v>0.20041836384895056</v>
      </c>
      <c r="AK55">
        <f t="shared" si="43"/>
        <v>0.12666262113221582</v>
      </c>
      <c r="AL55">
        <f t="shared" si="44"/>
        <v>3.059072720677819E-2</v>
      </c>
      <c r="AM55">
        <f t="shared" si="28"/>
        <v>5.2605085308290684</v>
      </c>
      <c r="AN55">
        <f t="shared" si="54"/>
        <v>177.92065519047728</v>
      </c>
      <c r="AO55" s="14">
        <f t="shared" si="12"/>
        <v>0.19009569020552422</v>
      </c>
      <c r="AP55" s="14">
        <f t="shared" si="30"/>
        <v>8.1580917273289061E-2</v>
      </c>
      <c r="AQ55">
        <f t="shared" si="45"/>
        <v>0.23243558313798263</v>
      </c>
      <c r="AR55">
        <f t="shared" si="46"/>
        <v>0.32767171218794455</v>
      </c>
      <c r="AS55">
        <f t="shared" si="47"/>
        <v>3.0000000000000027E-2</v>
      </c>
      <c r="AT55">
        <f t="shared" si="48"/>
        <v>9.5236129049961926E-2</v>
      </c>
      <c r="AU55">
        <v>5</v>
      </c>
      <c r="AV55">
        <f t="shared" si="31"/>
        <v>152.4</v>
      </c>
      <c r="AW55">
        <v>5</v>
      </c>
      <c r="AX55">
        <f t="shared" si="32"/>
        <v>152.4</v>
      </c>
      <c r="AY55">
        <v>81</v>
      </c>
      <c r="AZ55">
        <f t="shared" si="49"/>
        <v>23.431142853174816</v>
      </c>
      <c r="BA55">
        <f t="shared" si="50"/>
        <v>23.431142853174816</v>
      </c>
      <c r="BB55">
        <f t="shared" si="51"/>
        <v>22.145996191579997</v>
      </c>
      <c r="BC55">
        <f t="shared" si="52"/>
        <v>22.145996191579997</v>
      </c>
      <c r="BD55">
        <f t="shared" si="53"/>
        <v>13.64306091736681</v>
      </c>
    </row>
    <row r="56" spans="1:69" x14ac:dyDescent="0.25">
      <c r="A56" s="7" t="s">
        <v>23</v>
      </c>
      <c r="B56" s="7">
        <v>11</v>
      </c>
      <c r="C56" s="7">
        <v>1</v>
      </c>
      <c r="D56" s="7">
        <v>8.6845126916507169</v>
      </c>
      <c r="E56" s="7">
        <v>57.141449760873364</v>
      </c>
      <c r="F56" s="7">
        <v>34.174037547475905</v>
      </c>
      <c r="G56" s="50">
        <v>0.11212999999999999</v>
      </c>
      <c r="H56" s="50">
        <v>1.2989999999999999</v>
      </c>
      <c r="I56" s="7">
        <v>0.10831</v>
      </c>
      <c r="J56" s="7">
        <v>1.2261666666666666</v>
      </c>
      <c r="K56" s="5">
        <f t="shared" si="22"/>
        <v>7.2833333333333306E-2</v>
      </c>
      <c r="L56" s="5">
        <f t="shared" si="23"/>
        <v>3.8199999999999901E-3</v>
      </c>
      <c r="M56" s="7">
        <v>1.4062490281421764</v>
      </c>
      <c r="N56" s="7">
        <v>1.5217275332686386</v>
      </c>
      <c r="O56" s="50">
        <v>1.5362709239355952</v>
      </c>
      <c r="P56" s="5">
        <f t="shared" si="34"/>
        <v>-7.7602219974707412E-2</v>
      </c>
      <c r="Q56" s="5">
        <f t="shared" si="35"/>
        <v>-9.7732422192279185E-3</v>
      </c>
      <c r="R56" s="5">
        <f t="shared" si="36"/>
        <v>-8.7375462193935341E-2</v>
      </c>
      <c r="S56" s="7">
        <f t="shared" si="56"/>
        <v>1.4880824951154701</v>
      </c>
      <c r="T56" s="50">
        <v>1.3876874222154809</v>
      </c>
      <c r="U56" s="50">
        <v>9.6935654301763013E-2</v>
      </c>
      <c r="V56" s="7">
        <v>0.25662555759643141</v>
      </c>
      <c r="W56" s="7">
        <v>0.28399999999999997</v>
      </c>
      <c r="X56" s="7">
        <v>1.37</v>
      </c>
      <c r="Y56" s="7">
        <v>2.8300000000000001E-3</v>
      </c>
      <c r="Z56" s="7">
        <v>4.1599999999999998E-2</v>
      </c>
      <c r="AA56" s="7">
        <f t="shared" si="24"/>
        <v>5.3039730537036585</v>
      </c>
      <c r="AB56" s="7">
        <f t="shared" si="25"/>
        <v>29.902887106772084</v>
      </c>
      <c r="AC56" s="7">
        <f t="shared" si="26"/>
        <v>24.598914053068427</v>
      </c>
      <c r="AD56">
        <f t="shared" si="37"/>
        <v>0.15968990329466839</v>
      </c>
      <c r="AE56">
        <f t="shared" si="38"/>
        <v>0.14424825031901817</v>
      </c>
      <c r="AF56">
        <f t="shared" si="39"/>
        <v>0.38188000005849643</v>
      </c>
      <c r="AG56">
        <f t="shared" si="27"/>
        <v>0.23763174973947826</v>
      </c>
      <c r="AH56">
        <f t="shared" si="40"/>
        <v>0.43845943580548297</v>
      </c>
      <c r="AI56">
        <f t="shared" si="41"/>
        <v>0.36007307684754442</v>
      </c>
      <c r="AJ56">
        <f t="shared" si="42"/>
        <v>0.21028351089545311</v>
      </c>
      <c r="AK56">
        <f t="shared" si="43"/>
        <v>0.14978956595209131</v>
      </c>
      <c r="AL56">
        <f t="shared" si="44"/>
        <v>7.8386358957938551E-2</v>
      </c>
      <c r="AM56">
        <f t="shared" si="28"/>
        <v>4.5956354359859475</v>
      </c>
      <c r="AN56">
        <f t="shared" si="54"/>
        <v>100.50737307355756</v>
      </c>
      <c r="AO56" s="14">
        <f t="shared" si="12"/>
        <v>0.21759776508152459</v>
      </c>
      <c r="AP56" s="14">
        <f t="shared" si="30"/>
        <v>9.4569826470918467E-2</v>
      </c>
      <c r="AQ56">
        <f t="shared" si="45"/>
        <v>0.18156840083943571</v>
      </c>
      <c r="AR56">
        <f t="shared" si="46"/>
        <v>0.34247992940155714</v>
      </c>
      <c r="AS56">
        <f t="shared" si="47"/>
        <v>9.5979506403925829E-2</v>
      </c>
      <c r="AT56">
        <f t="shared" si="48"/>
        <v>0.16091152856212143</v>
      </c>
      <c r="AU56">
        <v>5</v>
      </c>
      <c r="AV56">
        <f t="shared" si="31"/>
        <v>152.4</v>
      </c>
      <c r="AW56">
        <v>5</v>
      </c>
      <c r="AX56">
        <f t="shared" si="32"/>
        <v>152.4</v>
      </c>
      <c r="AY56">
        <v>86</v>
      </c>
      <c r="AZ56">
        <f t="shared" si="49"/>
        <v>21.333311740803694</v>
      </c>
      <c r="BA56">
        <f t="shared" si="50"/>
        <v>21.333311740803694</v>
      </c>
      <c r="BB56">
        <f t="shared" si="51"/>
        <v>23.054600339106404</v>
      </c>
      <c r="BC56">
        <f t="shared" si="52"/>
        <v>23.054600339106404</v>
      </c>
      <c r="BD56">
        <f t="shared" si="53"/>
        <v>13.102637669661004</v>
      </c>
    </row>
    <row r="57" spans="1:69" x14ac:dyDescent="0.25">
      <c r="A57" s="7" t="s">
        <v>23</v>
      </c>
      <c r="B57" s="7">
        <v>11</v>
      </c>
      <c r="C57" s="7">
        <v>2</v>
      </c>
      <c r="D57" s="7">
        <v>8.1595654230805401</v>
      </c>
      <c r="E57" s="7">
        <v>62.162761230816201</v>
      </c>
      <c r="F57" s="7">
        <v>29.677673346103301</v>
      </c>
      <c r="G57" s="50">
        <v>8.9969999999999994E-2</v>
      </c>
      <c r="H57" s="50">
        <v>1.04</v>
      </c>
      <c r="I57" s="7">
        <v>9.9919999999999995E-2</v>
      </c>
      <c r="J57" s="7">
        <v>1.1084000000000001</v>
      </c>
      <c r="K57" s="5">
        <f t="shared" si="22"/>
        <v>-6.8400000000000016E-2</v>
      </c>
      <c r="L57" s="5">
        <f t="shared" si="23"/>
        <v>-9.9500000000000005E-3</v>
      </c>
      <c r="M57" s="7">
        <v>1.3557285399538996</v>
      </c>
      <c r="N57" s="7">
        <v>1.3100876486847963</v>
      </c>
      <c r="O57" s="50">
        <v>1.5214834139052924</v>
      </c>
      <c r="P57" s="5">
        <f t="shared" si="34"/>
        <v>3.2699516825622589E-2</v>
      </c>
      <c r="Q57" s="5">
        <f t="shared" si="35"/>
        <v>-0.15145496044185341</v>
      </c>
      <c r="R57" s="5">
        <f t="shared" si="36"/>
        <v>-0.11875544361623082</v>
      </c>
      <c r="S57" s="7">
        <f t="shared" si="56"/>
        <v>1.3957665341813295</v>
      </c>
      <c r="T57" s="50">
        <v>1.3698561739616666</v>
      </c>
      <c r="U57" s="50"/>
      <c r="V57" s="7">
        <v>0.24482338611449447</v>
      </c>
      <c r="W57" s="7">
        <v>0.2</v>
      </c>
      <c r="X57" s="7">
        <v>1.69</v>
      </c>
      <c r="Y57" s="7">
        <v>6.6600000000000006E-2</v>
      </c>
      <c r="Z57" s="7">
        <v>4.5499999999999999E-2</v>
      </c>
      <c r="AB57" s="7">
        <f t="shared" si="25"/>
        <v>34.159673671147402</v>
      </c>
      <c r="AC57" s="7" t="str">
        <f t="shared" si="26"/>
        <v/>
      </c>
      <c r="AD57" t="str">
        <f t="shared" si="37"/>
        <v/>
      </c>
      <c r="AE57" t="str">
        <f t="shared" si="38"/>
        <v/>
      </c>
      <c r="AF57">
        <f t="shared" si="39"/>
        <v>0.34171628912356539</v>
      </c>
      <c r="AG57" t="str">
        <f t="shared" si="27"/>
        <v/>
      </c>
      <c r="AH57">
        <f t="shared" si="40"/>
        <v>0.47329564747874353</v>
      </c>
      <c r="AI57">
        <f t="shared" si="41"/>
        <v>0.34980897594734905</v>
      </c>
      <c r="AJ57">
        <f t="shared" si="42"/>
        <v>0.18724424809843548</v>
      </c>
      <c r="AK57">
        <f t="shared" si="43"/>
        <v>0.16256472784891357</v>
      </c>
      <c r="AL57">
        <f t="shared" si="44"/>
        <v>0.12348667153139448</v>
      </c>
      <c r="AM57">
        <f t="shared" si="28"/>
        <v>3.8396041071859157</v>
      </c>
      <c r="AN57">
        <f t="shared" si="54"/>
        <v>73.530933472778017</v>
      </c>
      <c r="AO57" s="14">
        <f t="shared" si="12"/>
        <v>0.26044351763466311</v>
      </c>
      <c r="AP57" s="14">
        <f t="shared" si="30"/>
        <v>9.1737262674288861E-2</v>
      </c>
      <c r="AQ57">
        <f t="shared" si="45"/>
        <v>0.1596341285214839</v>
      </c>
      <c r="AR57">
        <f t="shared" si="46"/>
        <v>0.32644464698729692</v>
      </c>
      <c r="AS57">
        <f t="shared" si="47"/>
        <v>0.14685100049144661</v>
      </c>
      <c r="AT57">
        <f t="shared" si="48"/>
        <v>0.16681051846581302</v>
      </c>
      <c r="AU57">
        <v>5</v>
      </c>
      <c r="AV57">
        <f t="shared" si="31"/>
        <v>152.4</v>
      </c>
      <c r="AW57">
        <v>5</v>
      </c>
      <c r="AX57">
        <f t="shared" si="32"/>
        <v>152.4</v>
      </c>
      <c r="AY57">
        <v>86</v>
      </c>
      <c r="AZ57">
        <f t="shared" si="49"/>
        <v>21.333311740803694</v>
      </c>
      <c r="BA57">
        <f t="shared" si="50"/>
        <v>21.333311740803694</v>
      </c>
      <c r="BB57">
        <f t="shared" si="51"/>
        <v>23.054600339106404</v>
      </c>
      <c r="BC57">
        <f t="shared" si="52"/>
        <v>23.054600339106404</v>
      </c>
      <c r="BD57">
        <f t="shared" si="53"/>
        <v>13.102637669661004</v>
      </c>
    </row>
    <row r="58" spans="1:69" x14ac:dyDescent="0.25">
      <c r="A58" s="7" t="s">
        <v>23</v>
      </c>
      <c r="B58" s="7">
        <v>11</v>
      </c>
      <c r="C58" s="7">
        <v>3</v>
      </c>
      <c r="D58" s="7">
        <v>9.7211941771526096</v>
      </c>
      <c r="E58" s="7">
        <v>55.869320543890602</v>
      </c>
      <c r="F58" s="7">
        <v>34.409485278956801</v>
      </c>
      <c r="G58" s="50">
        <v>5.3719999999999997E-2</v>
      </c>
      <c r="H58" s="50">
        <v>0.63783999999999996</v>
      </c>
      <c r="I58" s="7">
        <v>6.1089999999999998E-2</v>
      </c>
      <c r="J58" s="7">
        <v>0.56976000000000004</v>
      </c>
      <c r="K58" s="5">
        <f t="shared" si="22"/>
        <v>6.8079999999999918E-2</v>
      </c>
      <c r="L58" s="5">
        <f t="shared" si="23"/>
        <v>-7.3700000000000015E-3</v>
      </c>
      <c r="M58" s="7">
        <v>1.5643237003166117</v>
      </c>
      <c r="N58" s="7">
        <v>1.4970512674423657</v>
      </c>
      <c r="O58" s="50">
        <v>1.5075109634829584</v>
      </c>
      <c r="P58" s="5">
        <f t="shared" si="34"/>
        <v>4.4172102709484608E-2</v>
      </c>
      <c r="Q58" s="5">
        <f t="shared" si="35"/>
        <v>-6.8679955231993571E-3</v>
      </c>
      <c r="R58" s="5">
        <f t="shared" si="36"/>
        <v>3.7304107186285247E-2</v>
      </c>
      <c r="S58" s="7">
        <f t="shared" si="56"/>
        <v>1.5229619770806453</v>
      </c>
      <c r="T58" s="50">
        <v>1.4524178006905872</v>
      </c>
      <c r="U58" s="50">
        <v>0.15147625160462128</v>
      </c>
      <c r="V58" s="7">
        <v>0.24909200968522993</v>
      </c>
      <c r="W58" s="7">
        <v>0.27</v>
      </c>
      <c r="X58" s="7">
        <v>1.65</v>
      </c>
      <c r="Y58" s="7">
        <v>4.7300000000000002E-2</v>
      </c>
      <c r="Z58" s="7">
        <v>3.1600000000000003E-2</v>
      </c>
      <c r="AA58" s="7">
        <v>6.1975138514644668</v>
      </c>
      <c r="AB58" s="7">
        <f t="shared" si="25"/>
        <v>36.238879836642397</v>
      </c>
      <c r="AC58" s="7">
        <f t="shared" si="26"/>
        <v>30.041365985177929</v>
      </c>
      <c r="AD58">
        <f t="shared" si="37"/>
        <v>9.7615758080608656E-2</v>
      </c>
      <c r="AE58">
        <f t="shared" si="38"/>
        <v>0.23069257162453929</v>
      </c>
      <c r="AF58">
        <f t="shared" si="39"/>
        <v>0.379357659545209</v>
      </c>
      <c r="AG58">
        <f t="shared" si="27"/>
        <v>0.14866508792066971</v>
      </c>
      <c r="AH58">
        <f t="shared" si="40"/>
        <v>0.42529736713937916</v>
      </c>
      <c r="AI58">
        <f t="shared" si="41"/>
        <v>0.3565764559448904</v>
      </c>
      <c r="AJ58">
        <f t="shared" si="42"/>
        <v>0.21186199382748813</v>
      </c>
      <c r="AK58">
        <f t="shared" si="43"/>
        <v>0.14471446211740227</v>
      </c>
      <c r="AL58">
        <f t="shared" si="44"/>
        <v>6.8720911194488754E-2</v>
      </c>
      <c r="AM58">
        <f t="shared" si="28"/>
        <v>4.7772759135624661</v>
      </c>
      <c r="AN58">
        <f t="shared" si="54"/>
        <v>108.87435588404644</v>
      </c>
      <c r="AO58" s="14">
        <f t="shared" si="12"/>
        <v>0.20932431328930493</v>
      </c>
      <c r="AP58" s="14">
        <f t="shared" si="30"/>
        <v>9.3550284253381286E-2</v>
      </c>
      <c r="AQ58">
        <f t="shared" si="45"/>
        <v>0.18985576575436136</v>
      </c>
      <c r="AR58">
        <f t="shared" si="46"/>
        <v>0.34853849541890808</v>
      </c>
      <c r="AS58">
        <f t="shared" si="47"/>
        <v>7.6758871720471078E-2</v>
      </c>
      <c r="AT58">
        <f t="shared" si="48"/>
        <v>0.15868272966454672</v>
      </c>
      <c r="AU58">
        <v>5</v>
      </c>
      <c r="AV58">
        <f t="shared" si="31"/>
        <v>152.4</v>
      </c>
      <c r="AW58">
        <v>5</v>
      </c>
      <c r="AX58">
        <f t="shared" si="32"/>
        <v>152.4</v>
      </c>
      <c r="AY58">
        <v>86</v>
      </c>
      <c r="AZ58">
        <f t="shared" si="49"/>
        <v>21.333311740803694</v>
      </c>
      <c r="BA58">
        <f t="shared" si="50"/>
        <v>21.333311740803694</v>
      </c>
      <c r="BB58">
        <f t="shared" si="51"/>
        <v>23.054600339106404</v>
      </c>
      <c r="BC58">
        <f t="shared" si="52"/>
        <v>23.054600339106404</v>
      </c>
      <c r="BD58">
        <f t="shared" si="53"/>
        <v>13.102637669661004</v>
      </c>
    </row>
    <row r="59" spans="1:69" x14ac:dyDescent="0.25">
      <c r="A59" s="7" t="s">
        <v>23</v>
      </c>
      <c r="B59" s="7">
        <v>11</v>
      </c>
      <c r="C59" s="7">
        <v>4</v>
      </c>
      <c r="D59" s="7">
        <v>8.0636744071551405</v>
      </c>
      <c r="E59" s="7">
        <v>51.792894067449197</v>
      </c>
      <c r="F59" s="7">
        <v>40.143431525395599</v>
      </c>
      <c r="G59" s="50">
        <v>4.197E-2</v>
      </c>
      <c r="H59" s="50">
        <v>0.28699999999999998</v>
      </c>
      <c r="I59" s="7">
        <v>3.1539999999999999E-2</v>
      </c>
      <c r="J59" s="7">
        <v>0.32416</v>
      </c>
      <c r="K59" s="5">
        <f t="shared" si="22"/>
        <v>-3.7160000000000026E-2</v>
      </c>
      <c r="L59" s="5">
        <f t="shared" si="23"/>
        <v>1.0430000000000002E-2</v>
      </c>
      <c r="M59" s="7">
        <v>1.5376286243068222</v>
      </c>
      <c r="N59" s="7">
        <v>1.6101554300370722</v>
      </c>
      <c r="O59" s="50">
        <v>1.5728040637036453</v>
      </c>
      <c r="P59" s="5">
        <f t="shared" si="34"/>
        <v>-4.6091802917290363E-2</v>
      </c>
      <c r="Q59" s="5">
        <f t="shared" si="35"/>
        <v>2.3737317511748235E-2</v>
      </c>
      <c r="R59" s="5">
        <f t="shared" si="36"/>
        <v>-2.2354485405542128E-2</v>
      </c>
      <c r="S59" s="7">
        <f t="shared" si="56"/>
        <v>1.5735293726825132</v>
      </c>
      <c r="U59" s="50">
        <v>0.19697423606950254</v>
      </c>
      <c r="V59" s="7">
        <v>0.27257525083612039</v>
      </c>
      <c r="W59" s="7">
        <v>0.33400000000000002</v>
      </c>
      <c r="X59" s="7">
        <v>0.872</v>
      </c>
      <c r="Y59" s="7">
        <v>1.4200000000000001E-2</v>
      </c>
      <c r="Z59" s="7">
        <v>5.4800000000000001E-2</v>
      </c>
      <c r="AA59" s="7">
        <v>7.6039131137653939</v>
      </c>
      <c r="AB59" s="7">
        <f t="shared" si="25"/>
        <v>21.023882827180575</v>
      </c>
      <c r="AC59" s="7">
        <f t="shared" si="26"/>
        <v>13.419969713415181</v>
      </c>
      <c r="AD59">
        <f t="shared" si="37"/>
        <v>7.5601014766617847E-2</v>
      </c>
      <c r="AE59">
        <f t="shared" si="38"/>
        <v>0.30994474611706163</v>
      </c>
      <c r="AF59">
        <f t="shared" si="39"/>
        <v>0.42890516345693919</v>
      </c>
      <c r="AG59">
        <f t="shared" si="27"/>
        <v>0.11896041733987756</v>
      </c>
      <c r="AH59">
        <f t="shared" si="40"/>
        <v>0.40621533106320251</v>
      </c>
      <c r="AI59">
        <f t="shared" si="41"/>
        <v>0.36949217182666183</v>
      </c>
      <c r="AJ59">
        <f t="shared" si="42"/>
        <v>0.24376877807882119</v>
      </c>
      <c r="AK59">
        <f t="shared" si="43"/>
        <v>0.12572339374784064</v>
      </c>
      <c r="AL59">
        <f t="shared" si="44"/>
        <v>3.6723159236540681E-2</v>
      </c>
      <c r="AM59">
        <f t="shared" si="28"/>
        <v>6.3217284677858299</v>
      </c>
      <c r="AN59">
        <f t="shared" si="54"/>
        <v>150.37236426752909</v>
      </c>
      <c r="AO59" s="14">
        <f t="shared" si="12"/>
        <v>0.15818458592389489</v>
      </c>
      <c r="AP59" s="14">
        <f t="shared" si="30"/>
        <v>9.2103982710483909E-2</v>
      </c>
      <c r="AQ59">
        <f t="shared" si="45"/>
        <v>0.20187057894936516</v>
      </c>
      <c r="AR59">
        <f t="shared" si="46"/>
        <v>0.35732205203495254</v>
      </c>
      <c r="AS59">
        <f t="shared" si="47"/>
        <v>4.889327902824997E-2</v>
      </c>
      <c r="AT59">
        <f t="shared" si="48"/>
        <v>0.15545147308558738</v>
      </c>
      <c r="AU59">
        <v>5</v>
      </c>
      <c r="AV59">
        <f t="shared" si="31"/>
        <v>152.4</v>
      </c>
      <c r="AW59">
        <v>5</v>
      </c>
      <c r="AX59">
        <f t="shared" si="32"/>
        <v>152.4</v>
      </c>
      <c r="AY59">
        <v>86</v>
      </c>
      <c r="AZ59">
        <f t="shared" si="49"/>
        <v>21.333311740803694</v>
      </c>
      <c r="BA59">
        <f t="shared" si="50"/>
        <v>21.333311740803694</v>
      </c>
      <c r="BB59">
        <f t="shared" si="51"/>
        <v>23.054600339106404</v>
      </c>
      <c r="BC59">
        <f t="shared" si="52"/>
        <v>23.054600339106404</v>
      </c>
      <c r="BD59">
        <f t="shared" si="53"/>
        <v>13.102637669661004</v>
      </c>
    </row>
    <row r="60" spans="1:69" x14ac:dyDescent="0.25">
      <c r="A60" s="7" t="s">
        <v>23</v>
      </c>
      <c r="B60" s="7">
        <v>11</v>
      </c>
      <c r="C60" s="7">
        <v>5</v>
      </c>
      <c r="D60" s="7">
        <v>10.249794539162</v>
      </c>
      <c r="E60" s="7">
        <v>53.0432761098984</v>
      </c>
      <c r="F60" s="7">
        <v>36.706929350939603</v>
      </c>
      <c r="G60" s="50">
        <v>3.6889999999999999E-2</v>
      </c>
      <c r="H60" s="50">
        <v>0.26035999999999998</v>
      </c>
      <c r="I60" s="7">
        <v>3.058E-2</v>
      </c>
      <c r="J60" s="7">
        <v>0.23981</v>
      </c>
      <c r="K60" s="5">
        <f t="shared" si="22"/>
        <v>2.0549999999999985E-2</v>
      </c>
      <c r="L60" s="5">
        <f t="shared" si="23"/>
        <v>6.3099999999999996E-3</v>
      </c>
      <c r="M60" s="7">
        <v>1.6883770962189937</v>
      </c>
      <c r="N60" s="7">
        <v>1.6532199057871084</v>
      </c>
      <c r="O60" s="50"/>
      <c r="P60" s="5">
        <f t="shared" si="34"/>
        <v>2.1042148655734911E-2</v>
      </c>
      <c r="Q60" s="5" t="str">
        <f t="shared" si="35"/>
        <v/>
      </c>
      <c r="R60" s="5" t="str">
        <f t="shared" si="36"/>
        <v/>
      </c>
      <c r="S60" s="7">
        <f t="shared" si="56"/>
        <v>1.6707985010030511</v>
      </c>
      <c r="U60" s="50">
        <v>0.20628387873920881</v>
      </c>
      <c r="W60" s="7">
        <v>0.29099999999999998</v>
      </c>
      <c r="Y60" s="7">
        <v>6.0600000000000003E-3</v>
      </c>
      <c r="AA60" s="7">
        <v>6.7124351300782621</v>
      </c>
      <c r="AB60" s="7" t="str">
        <f t="shared" si="25"/>
        <v/>
      </c>
      <c r="AC60" s="7" t="str">
        <f t="shared" si="26"/>
        <v/>
      </c>
      <c r="AD60" t="str">
        <f t="shared" si="37"/>
        <v/>
      </c>
      <c r="AE60">
        <f t="shared" si="38"/>
        <v>0.34465879537856525</v>
      </c>
      <c r="AF60" t="str">
        <f t="shared" si="39"/>
        <v/>
      </c>
      <c r="AG60" t="str">
        <f t="shared" si="27"/>
        <v/>
      </c>
      <c r="AH60">
        <f t="shared" si="40"/>
        <v>0.36950999962149012</v>
      </c>
      <c r="AI60">
        <f t="shared" si="41"/>
        <v>0.34295655693839766</v>
      </c>
      <c r="AJ60">
        <f t="shared" si="42"/>
        <v>0.22583690408483936</v>
      </c>
      <c r="AK60">
        <f t="shared" si="43"/>
        <v>0.1171196528535583</v>
      </c>
      <c r="AL60">
        <f t="shared" si="44"/>
        <v>2.6553442683092454E-2</v>
      </c>
      <c r="AM60">
        <f t="shared" si="28"/>
        <v>6.2726939144784257</v>
      </c>
      <c r="AN60">
        <f t="shared" si="54"/>
        <v>178.07583487409855</v>
      </c>
      <c r="AO60" s="14">
        <f t="shared" si="12"/>
        <v>0.15942113765376514</v>
      </c>
      <c r="AP60" s="14">
        <f t="shared" si="30"/>
        <v>8.6010566095707924E-2</v>
      </c>
      <c r="AQ60">
        <f t="shared" si="45"/>
        <v>0.22498172383832493</v>
      </c>
      <c r="AR60">
        <f t="shared" si="46"/>
        <v>0.33950999962149009</v>
      </c>
      <c r="AS60">
        <f t="shared" si="47"/>
        <v>3.0000000000000027E-2</v>
      </c>
      <c r="AT60">
        <f t="shared" si="48"/>
        <v>0.11452827578316516</v>
      </c>
      <c r="AU60">
        <v>5</v>
      </c>
      <c r="AV60">
        <f t="shared" si="31"/>
        <v>152.4</v>
      </c>
      <c r="AW60">
        <v>5</v>
      </c>
      <c r="AX60">
        <f t="shared" si="32"/>
        <v>152.4</v>
      </c>
      <c r="AY60">
        <v>86</v>
      </c>
      <c r="AZ60">
        <f t="shared" si="49"/>
        <v>21.333311740803694</v>
      </c>
      <c r="BA60">
        <f t="shared" si="50"/>
        <v>21.333311740803694</v>
      </c>
      <c r="BB60">
        <f t="shared" si="51"/>
        <v>23.054600339106404</v>
      </c>
      <c r="BC60">
        <f t="shared" si="52"/>
        <v>23.054600339106404</v>
      </c>
      <c r="BD60">
        <f t="shared" si="53"/>
        <v>13.102637669661004</v>
      </c>
    </row>
    <row r="61" spans="1:69" x14ac:dyDescent="0.25">
      <c r="A61" s="7" t="s">
        <v>23</v>
      </c>
      <c r="B61" s="7">
        <v>12</v>
      </c>
      <c r="C61" s="7">
        <v>1</v>
      </c>
      <c r="D61" s="7">
        <v>11.037377573869799</v>
      </c>
      <c r="E61" s="7">
        <v>66.6079323835677</v>
      </c>
      <c r="F61" s="7">
        <v>22.354690042562499</v>
      </c>
      <c r="G61" s="50">
        <v>0.11564000000000001</v>
      </c>
      <c r="H61" s="50">
        <v>1.4797</v>
      </c>
      <c r="I61" s="7">
        <v>0.11847666666666667</v>
      </c>
      <c r="J61" s="7">
        <v>1.5859333333333332</v>
      </c>
      <c r="K61" s="5">
        <f t="shared" si="22"/>
        <v>-0.10623333333333318</v>
      </c>
      <c r="L61" s="5">
        <f t="shared" si="23"/>
        <v>-2.8366666666666679E-3</v>
      </c>
      <c r="M61" s="7">
        <v>1.445159418681643</v>
      </c>
      <c r="N61" s="7">
        <v>1.3265175027695333</v>
      </c>
      <c r="O61" s="50">
        <v>1.2817006397131312</v>
      </c>
      <c r="P61" s="5">
        <f t="shared" si="34"/>
        <v>8.7809670420658195E-2</v>
      </c>
      <c r="Q61" s="5">
        <f t="shared" si="35"/>
        <v>3.3170013683745316E-2</v>
      </c>
      <c r="R61" s="5">
        <f t="shared" si="36"/>
        <v>0.12097968410440352</v>
      </c>
      <c r="S61" s="7">
        <f t="shared" si="56"/>
        <v>1.3511258537214357</v>
      </c>
      <c r="T61" s="50">
        <v>1.3288885126843084</v>
      </c>
      <c r="U61" s="50">
        <v>9.034892885290545E-2</v>
      </c>
      <c r="V61" s="7">
        <v>0.24265208475734798</v>
      </c>
      <c r="W61" s="7">
        <v>0.251</v>
      </c>
      <c r="X61" s="7">
        <v>1.96</v>
      </c>
      <c r="Y61" s="7">
        <v>3.0000000000000001E-3</v>
      </c>
      <c r="Z61" s="7">
        <v>0.11700000000000001</v>
      </c>
      <c r="AA61" s="7">
        <v>4.1626316106100001</v>
      </c>
      <c r="AB61" s="7">
        <f t="shared" si="25"/>
        <v>39.504851070883944</v>
      </c>
      <c r="AC61" s="7">
        <f t="shared" si="26"/>
        <v>35.342219460273945</v>
      </c>
      <c r="AD61">
        <f t="shared" si="37"/>
        <v>0.15230315590444254</v>
      </c>
      <c r="AE61">
        <f t="shared" si="38"/>
        <v>0.12207277362919913</v>
      </c>
      <c r="AF61">
        <f t="shared" si="39"/>
        <v>0.32785350517505796</v>
      </c>
      <c r="AG61">
        <f t="shared" si="27"/>
        <v>0.20578073154585882</v>
      </c>
      <c r="AH61">
        <f t="shared" si="40"/>
        <v>0.49014118727492995</v>
      </c>
      <c r="AI61">
        <f t="shared" si="41"/>
        <v>0.31879821364678118</v>
      </c>
      <c r="AJ61">
        <f t="shared" si="42"/>
        <v>0.15402834999435969</v>
      </c>
      <c r="AK61">
        <f t="shared" si="43"/>
        <v>0.16476986365242149</v>
      </c>
      <c r="AL61">
        <f t="shared" si="44"/>
        <v>0.17134297362814876</v>
      </c>
      <c r="AM61">
        <f t="shared" si="28"/>
        <v>3.2993760086326716</v>
      </c>
      <c r="AN61">
        <f t="shared" si="54"/>
        <v>55.896103861641926</v>
      </c>
      <c r="AO61" s="14">
        <f t="shared" si="12"/>
        <v>0.30308761334978013</v>
      </c>
      <c r="AP61" s="14">
        <f t="shared" si="30"/>
        <v>7.8436712303349795E-2</v>
      </c>
      <c r="AQ61">
        <f t="shared" si="45"/>
        <v>0.14902750284421312</v>
      </c>
      <c r="AR61">
        <f t="shared" si="46"/>
        <v>0.31869056079141339</v>
      </c>
      <c r="AS61">
        <f t="shared" si="47"/>
        <v>0.17145062648351655</v>
      </c>
      <c r="AT61">
        <f t="shared" si="48"/>
        <v>0.16966305794720027</v>
      </c>
      <c r="AU61">
        <v>5</v>
      </c>
      <c r="AV61">
        <f t="shared" si="31"/>
        <v>152.4</v>
      </c>
      <c r="AW61">
        <v>5</v>
      </c>
      <c r="AX61">
        <f t="shared" si="32"/>
        <v>152.4</v>
      </c>
      <c r="AY61">
        <v>76</v>
      </c>
      <c r="AZ61">
        <f t="shared" si="49"/>
        <v>21.693590313532969</v>
      </c>
      <c r="BA61">
        <f t="shared" si="50"/>
        <v>21.693590313532969</v>
      </c>
      <c r="BB61">
        <f t="shared" si="51"/>
        <v>22.037238108143949</v>
      </c>
      <c r="BC61">
        <f t="shared" si="52"/>
        <v>22.037238108143949</v>
      </c>
      <c r="BD61">
        <f t="shared" si="53"/>
        <v>11.768047358803793</v>
      </c>
    </row>
    <row r="62" spans="1:69" x14ac:dyDescent="0.25">
      <c r="A62" s="7" t="s">
        <v>23</v>
      </c>
      <c r="B62" s="7">
        <v>12</v>
      </c>
      <c r="C62" s="7">
        <v>2</v>
      </c>
      <c r="D62" s="7">
        <v>8.8987042564571208</v>
      </c>
      <c r="E62" s="7">
        <v>66.391759692196004</v>
      </c>
      <c r="F62" s="7">
        <v>24.709536051346898</v>
      </c>
      <c r="G62" s="50">
        <v>9.7320000000000004E-2</v>
      </c>
      <c r="H62" s="50">
        <v>1.0694999999999999</v>
      </c>
      <c r="I62" s="7">
        <v>8.2570000000000005E-2</v>
      </c>
      <c r="J62" s="7">
        <v>1.3627</v>
      </c>
      <c r="K62" s="5">
        <f t="shared" si="22"/>
        <v>-0.29320000000000013</v>
      </c>
      <c r="L62" s="5">
        <f t="shared" si="23"/>
        <v>1.4749999999999999E-2</v>
      </c>
      <c r="M62" s="7">
        <v>1.357785807244376</v>
      </c>
      <c r="N62" s="7">
        <v>1.3651723119771104</v>
      </c>
      <c r="O62" s="50">
        <v>1.3124856922449528</v>
      </c>
      <c r="P62" s="5">
        <f t="shared" si="34"/>
        <v>-5.4912210982193382E-3</v>
      </c>
      <c r="Q62" s="5">
        <f t="shared" si="35"/>
        <v>3.9167899884358814E-2</v>
      </c>
      <c r="R62" s="5">
        <f t="shared" si="36"/>
        <v>3.3676678786139475E-2</v>
      </c>
      <c r="S62" s="7">
        <f t="shared" si="56"/>
        <v>1.3451479371554795</v>
      </c>
      <c r="T62" s="50">
        <v>1.1775255303479537</v>
      </c>
      <c r="U62" s="50">
        <v>0.12509032517061408</v>
      </c>
      <c r="V62" s="7">
        <v>0.28644501278772383</v>
      </c>
      <c r="W62" s="7">
        <v>0.16700000000000001</v>
      </c>
      <c r="X62" s="7">
        <v>1.6</v>
      </c>
      <c r="Y62" s="7">
        <v>1.2699999999999999E-2</v>
      </c>
      <c r="Z62" s="7">
        <v>5.62E-2</v>
      </c>
      <c r="AA62" s="7">
        <v>3.1273660269350212</v>
      </c>
      <c r="AB62" s="7">
        <f t="shared" si="25"/>
        <v>32.467035304037417</v>
      </c>
      <c r="AC62" s="7">
        <f t="shared" si="26"/>
        <v>29.339669277102395</v>
      </c>
      <c r="AD62">
        <f t="shared" si="37"/>
        <v>0.16135468761710975</v>
      </c>
      <c r="AE62">
        <f t="shared" si="38"/>
        <v>0.16826499286135968</v>
      </c>
      <c r="AF62">
        <f t="shared" si="39"/>
        <v>0.38531091805988166</v>
      </c>
      <c r="AG62">
        <f t="shared" si="27"/>
        <v>0.21704592519852198</v>
      </c>
      <c r="AH62">
        <f t="shared" si="40"/>
        <v>0.49239700484698878</v>
      </c>
      <c r="AI62">
        <f t="shared" si="41"/>
        <v>0.33196309519817074</v>
      </c>
      <c r="AJ62">
        <f t="shared" si="42"/>
        <v>0.16495844514405897</v>
      </c>
      <c r="AK62">
        <f t="shared" si="43"/>
        <v>0.16700465005411178</v>
      </c>
      <c r="AL62">
        <f t="shared" si="44"/>
        <v>0.16043390964881804</v>
      </c>
      <c r="AM62">
        <f t="shared" si="28"/>
        <v>3.4270976977123446</v>
      </c>
      <c r="AN62">
        <f t="shared" si="54"/>
        <v>59.908190628574644</v>
      </c>
      <c r="AO62" s="14">
        <f t="shared" si="12"/>
        <v>0.29179209004386414</v>
      </c>
      <c r="AP62" s="14">
        <f t="shared" si="30"/>
        <v>8.3316157716382525E-2</v>
      </c>
      <c r="AQ62">
        <f t="shared" si="45"/>
        <v>0.14760714986814194</v>
      </c>
      <c r="AR62">
        <f t="shared" si="46"/>
        <v>0.31765219668390682</v>
      </c>
      <c r="AS62">
        <f t="shared" si="47"/>
        <v>0.17474480816308197</v>
      </c>
      <c r="AT62">
        <f t="shared" si="48"/>
        <v>0.17004504681576488</v>
      </c>
      <c r="AU62">
        <v>5</v>
      </c>
      <c r="AV62">
        <f t="shared" si="31"/>
        <v>152.4</v>
      </c>
      <c r="AW62">
        <v>5</v>
      </c>
      <c r="AX62">
        <f t="shared" si="32"/>
        <v>152.4</v>
      </c>
      <c r="AY62">
        <v>76</v>
      </c>
      <c r="AZ62">
        <f t="shared" si="49"/>
        <v>21.693590313532969</v>
      </c>
      <c r="BA62">
        <f t="shared" si="50"/>
        <v>21.693590313532969</v>
      </c>
      <c r="BB62">
        <f t="shared" si="51"/>
        <v>22.037238108143949</v>
      </c>
      <c r="BC62">
        <f t="shared" si="52"/>
        <v>22.037238108143949</v>
      </c>
      <c r="BD62">
        <f t="shared" si="53"/>
        <v>11.768047358803793</v>
      </c>
    </row>
    <row r="63" spans="1:69" x14ac:dyDescent="0.25">
      <c r="A63" s="7" t="s">
        <v>23</v>
      </c>
      <c r="B63" s="7">
        <v>12</v>
      </c>
      <c r="C63" s="7">
        <v>3</v>
      </c>
      <c r="D63" s="7">
        <v>7.7411830533954298</v>
      </c>
      <c r="E63" s="7">
        <v>48.807946796642298</v>
      </c>
      <c r="F63" s="7">
        <v>43.450870149962299</v>
      </c>
      <c r="G63" s="50">
        <v>6.1199999999999997E-2</v>
      </c>
      <c r="H63" s="50">
        <v>0.53725999999999996</v>
      </c>
      <c r="I63" s="7">
        <v>6.4829999999999999E-2</v>
      </c>
      <c r="J63" s="7">
        <v>0.76812000000000002</v>
      </c>
      <c r="K63" s="5">
        <f t="shared" si="22"/>
        <v>-0.23086000000000007</v>
      </c>
      <c r="L63" s="5">
        <f t="shared" si="23"/>
        <v>-3.6300000000000013E-3</v>
      </c>
      <c r="M63" s="7">
        <v>1.5132163807387446</v>
      </c>
      <c r="N63" s="7">
        <v>1.5481215515351761</v>
      </c>
      <c r="O63" s="50">
        <v>1.4127585717464071</v>
      </c>
      <c r="P63" s="5">
        <f t="shared" si="34"/>
        <v>-2.3404839903475281E-2</v>
      </c>
      <c r="Q63" s="5">
        <f t="shared" si="35"/>
        <v>9.0764456913569949E-2</v>
      </c>
      <c r="R63" s="5">
        <f t="shared" si="36"/>
        <v>6.7359617010094672E-2</v>
      </c>
      <c r="S63" s="7">
        <f t="shared" si="56"/>
        <v>1.4913655013401093</v>
      </c>
      <c r="T63" s="50">
        <v>1.4228051919833602</v>
      </c>
      <c r="U63" s="50">
        <v>0.18086060062752138</v>
      </c>
      <c r="V63" s="7">
        <v>0.25524246395806027</v>
      </c>
      <c r="W63" s="7">
        <v>0.11799999999999999</v>
      </c>
      <c r="X63" s="7">
        <v>1.1499999999999999</v>
      </c>
      <c r="Y63" s="7">
        <v>1.9199999999999998E-2</v>
      </c>
      <c r="Z63" s="7">
        <v>7.9000000000000001E-2</v>
      </c>
      <c r="AA63" s="7">
        <v>2.841931304286001</v>
      </c>
      <c r="AB63" s="7">
        <f t="shared" si="25"/>
        <v>26.063466272461923</v>
      </c>
      <c r="AC63" s="7">
        <f t="shared" si="26"/>
        <v>23.221534968175924</v>
      </c>
      <c r="AD63">
        <f t="shared" si="37"/>
        <v>7.4381863330538894E-2</v>
      </c>
      <c r="AE63">
        <f t="shared" si="38"/>
        <v>0.26972926032753669</v>
      </c>
      <c r="AF63">
        <f t="shared" si="39"/>
        <v>0.38065980522409731</v>
      </c>
      <c r="AG63">
        <f t="shared" si="27"/>
        <v>0.11093054489656062</v>
      </c>
      <c r="AH63">
        <f t="shared" si="40"/>
        <v>0.43722056553203426</v>
      </c>
      <c r="AI63">
        <f t="shared" si="41"/>
        <v>0.39010610619895963</v>
      </c>
      <c r="AJ63">
        <f t="shared" si="42"/>
        <v>0.25735243468955366</v>
      </c>
      <c r="AK63">
        <f t="shared" si="43"/>
        <v>0.13275367150940598</v>
      </c>
      <c r="AL63">
        <f t="shared" si="44"/>
        <v>4.7114459333074621E-2</v>
      </c>
      <c r="AM63">
        <f t="shared" si="28"/>
        <v>6.2922035393370557</v>
      </c>
      <c r="AN63">
        <f t="shared" si="54"/>
        <v>128.71368701479082</v>
      </c>
      <c r="AO63" s="14">
        <f t="shared" si="12"/>
        <v>0.15892683600399862</v>
      </c>
      <c r="AP63" s="14">
        <f t="shared" si="30"/>
        <v>9.8202921563070519E-2</v>
      </c>
      <c r="AQ63">
        <f t="shared" si="45"/>
        <v>0.18234844311840998</v>
      </c>
      <c r="AR63">
        <f t="shared" si="46"/>
        <v>0.343050187582777</v>
      </c>
      <c r="AS63">
        <f t="shared" si="47"/>
        <v>9.4170377949257256E-2</v>
      </c>
      <c r="AT63">
        <f t="shared" si="48"/>
        <v>0.16070174446436702</v>
      </c>
      <c r="AU63">
        <v>5</v>
      </c>
      <c r="AV63">
        <f t="shared" si="31"/>
        <v>152.4</v>
      </c>
      <c r="AW63">
        <v>5</v>
      </c>
      <c r="AX63">
        <f t="shared" si="32"/>
        <v>152.4</v>
      </c>
      <c r="AY63">
        <v>76</v>
      </c>
      <c r="AZ63">
        <f t="shared" si="49"/>
        <v>21.693590313532969</v>
      </c>
      <c r="BA63">
        <f t="shared" si="50"/>
        <v>21.693590313532969</v>
      </c>
      <c r="BB63">
        <f t="shared" si="51"/>
        <v>22.037238108143949</v>
      </c>
      <c r="BC63">
        <f t="shared" si="52"/>
        <v>22.037238108143949</v>
      </c>
      <c r="BD63">
        <f t="shared" si="53"/>
        <v>11.768047358803793</v>
      </c>
    </row>
    <row r="64" spans="1:69" x14ac:dyDescent="0.25">
      <c r="A64" s="7" t="s">
        <v>23</v>
      </c>
      <c r="B64" s="7">
        <v>12</v>
      </c>
      <c r="C64" s="7">
        <v>4</v>
      </c>
      <c r="D64" s="7">
        <v>9.3935786826165604</v>
      </c>
      <c r="E64" s="7">
        <v>55.811879207616599</v>
      </c>
      <c r="F64" s="7">
        <v>34.794542109766802</v>
      </c>
      <c r="G64" s="50">
        <v>3.8699999999999998E-2</v>
      </c>
      <c r="H64" s="50">
        <v>0.26205000000000001</v>
      </c>
      <c r="I64" s="7">
        <v>2.7740000000000001E-2</v>
      </c>
      <c r="J64" s="7">
        <v>0.32119999999999999</v>
      </c>
      <c r="K64" s="5">
        <f t="shared" si="22"/>
        <v>-5.914999999999998E-2</v>
      </c>
      <c r="L64" s="5">
        <f t="shared" si="23"/>
        <v>1.0959999999999998E-2</v>
      </c>
      <c r="M64" s="7">
        <v>1.5975397748885036</v>
      </c>
      <c r="N64" s="7">
        <v>1.6576151343102778</v>
      </c>
      <c r="O64" s="50">
        <v>1.7213733979607677</v>
      </c>
      <c r="P64" s="5">
        <f t="shared" si="34"/>
        <v>-3.621522216723614E-2</v>
      </c>
      <c r="Q64" s="5">
        <f t="shared" si="35"/>
        <v>-3.8435386909442384E-2</v>
      </c>
      <c r="R64" s="5">
        <f t="shared" si="36"/>
        <v>-7.4650609076678531E-2</v>
      </c>
      <c r="S64" s="7">
        <f t="shared" si="56"/>
        <v>1.6588427690531831</v>
      </c>
      <c r="U64" s="50">
        <v>0.17941728754012964</v>
      </c>
      <c r="V64" s="7">
        <v>0.25388457269700332</v>
      </c>
      <c r="W64" s="7">
        <v>0.21</v>
      </c>
      <c r="X64" s="7">
        <v>0.76900000000000002</v>
      </c>
      <c r="Y64" s="7">
        <v>0</v>
      </c>
      <c r="Z64" s="7">
        <v>1.9300000000000001E-2</v>
      </c>
      <c r="AA64" s="7">
        <v>4.6518560007839795</v>
      </c>
      <c r="AB64" s="7">
        <f t="shared" si="25"/>
        <v>18.574746051976899</v>
      </c>
      <c r="AC64" s="7">
        <f t="shared" si="26"/>
        <v>13.922890051192919</v>
      </c>
      <c r="AD64">
        <f t="shared" si="37"/>
        <v>7.4467285156873675E-2</v>
      </c>
      <c r="AE64">
        <f t="shared" si="38"/>
        <v>0.29762507007907985</v>
      </c>
      <c r="AF64">
        <f t="shared" si="39"/>
        <v>0.42115458759258112</v>
      </c>
      <c r="AG64">
        <f t="shared" si="27"/>
        <v>0.12352951751350127</v>
      </c>
      <c r="AH64">
        <f t="shared" si="40"/>
        <v>0.37402159658370449</v>
      </c>
      <c r="AI64">
        <f t="shared" si="41"/>
        <v>0.34111964342027001</v>
      </c>
      <c r="AJ64">
        <f t="shared" si="42"/>
        <v>0.21639500137956302</v>
      </c>
      <c r="AK64">
        <f t="shared" si="43"/>
        <v>0.12472464204070699</v>
      </c>
      <c r="AL64">
        <f t="shared" si="44"/>
        <v>3.2901953163434472E-2</v>
      </c>
      <c r="AM64">
        <f t="shared" si="28"/>
        <v>5.6837902677073489</v>
      </c>
      <c r="AN64">
        <f t="shared" si="54"/>
        <v>165.57085592743724</v>
      </c>
      <c r="AO64" s="14">
        <f t="shared" si="12"/>
        <v>0.17593893386276666</v>
      </c>
      <c r="AP64" s="14">
        <f t="shared" si="30"/>
        <v>8.6091722586571814E-2</v>
      </c>
      <c r="AQ64">
        <f t="shared" si="45"/>
        <v>0.22214104192703632</v>
      </c>
      <c r="AR64">
        <f t="shared" si="46"/>
        <v>0.34402159658370446</v>
      </c>
      <c r="AS64">
        <f t="shared" si="47"/>
        <v>3.0000000000000027E-2</v>
      </c>
      <c r="AT64">
        <f t="shared" si="48"/>
        <v>0.12188055465666814</v>
      </c>
      <c r="AU64">
        <v>5</v>
      </c>
      <c r="AV64">
        <f t="shared" si="31"/>
        <v>152.4</v>
      </c>
      <c r="AW64">
        <v>5</v>
      </c>
      <c r="AX64">
        <f t="shared" si="32"/>
        <v>152.4</v>
      </c>
      <c r="AY64">
        <v>76</v>
      </c>
      <c r="AZ64">
        <f t="shared" si="49"/>
        <v>21.693590313532969</v>
      </c>
      <c r="BA64">
        <f t="shared" si="50"/>
        <v>21.693590313532969</v>
      </c>
      <c r="BB64">
        <f t="shared" si="51"/>
        <v>22.037238108143949</v>
      </c>
      <c r="BC64">
        <f t="shared" si="52"/>
        <v>22.037238108143949</v>
      </c>
      <c r="BD64">
        <f t="shared" si="53"/>
        <v>11.768047358803793</v>
      </c>
    </row>
    <row r="65" spans="1:63" x14ac:dyDescent="0.25">
      <c r="A65" s="7" t="s">
        <v>23</v>
      </c>
      <c r="B65" s="7">
        <v>12</v>
      </c>
      <c r="C65" s="7">
        <v>5</v>
      </c>
      <c r="D65" s="7">
        <v>11.812121232093601</v>
      </c>
      <c r="E65" s="7">
        <v>54.934734108636803</v>
      </c>
      <c r="F65" s="7">
        <v>33.253144659269601</v>
      </c>
      <c r="G65" s="50">
        <v>3.8100000000000002E-2</v>
      </c>
      <c r="H65" s="50">
        <v>0.24238999999999999</v>
      </c>
      <c r="I65" s="7">
        <v>2.8420000000000001E-2</v>
      </c>
      <c r="J65" s="7">
        <v>0.25029000000000001</v>
      </c>
      <c r="K65" s="5">
        <f t="shared" si="22"/>
        <v>-7.9000000000000181E-3</v>
      </c>
      <c r="L65" s="5">
        <f t="shared" si="23"/>
        <v>9.6800000000000011E-3</v>
      </c>
      <c r="M65" s="7">
        <v>1.6951101205394183</v>
      </c>
      <c r="N65" s="7">
        <v>1.6629680797642237</v>
      </c>
      <c r="O65" s="50">
        <v>1.7216983386682638</v>
      </c>
      <c r="P65" s="5">
        <f t="shared" si="34"/>
        <v>1.8982355146098542E-2</v>
      </c>
      <c r="Q65" s="5">
        <f t="shared" si="35"/>
        <v>-3.4684749488563066E-2</v>
      </c>
      <c r="R65" s="5">
        <f t="shared" si="36"/>
        <v>-1.570239434246452E-2</v>
      </c>
      <c r="S65" s="7">
        <f t="shared" si="56"/>
        <v>1.6932588463239686</v>
      </c>
      <c r="U65" s="50">
        <v>0.20415165551552591</v>
      </c>
      <c r="V65" s="50"/>
      <c r="W65" s="50">
        <v>0.18</v>
      </c>
      <c r="X65" s="50"/>
      <c r="Y65" s="50">
        <v>0</v>
      </c>
      <c r="Z65" s="50"/>
      <c r="AA65" s="50">
        <v>4.084071913528601</v>
      </c>
      <c r="AB65" s="7" t="str">
        <f t="shared" si="25"/>
        <v/>
      </c>
      <c r="AC65" s="7" t="str">
        <f t="shared" si="26"/>
        <v/>
      </c>
      <c r="AD65" t="str">
        <f t="shared" si="37"/>
        <v/>
      </c>
      <c r="AE65">
        <f t="shared" si="38"/>
        <v>0.34568159669334769</v>
      </c>
      <c r="AF65" t="str">
        <f t="shared" si="39"/>
        <v/>
      </c>
      <c r="AG65" t="str">
        <f t="shared" si="27"/>
        <v/>
      </c>
      <c r="AH65">
        <f t="shared" si="40"/>
        <v>0.36103439761359668</v>
      </c>
      <c r="AI65">
        <f t="shared" si="41"/>
        <v>0.32912869400489142</v>
      </c>
      <c r="AJ65">
        <f t="shared" si="42"/>
        <v>0.20664955559444537</v>
      </c>
      <c r="AK65">
        <f t="shared" si="43"/>
        <v>0.12247913841044605</v>
      </c>
      <c r="AL65">
        <f t="shared" si="44"/>
        <v>3.190570360870526E-2</v>
      </c>
      <c r="AM65">
        <f t="shared" si="28"/>
        <v>5.4910228085089248</v>
      </c>
      <c r="AN65">
        <f t="shared" si="54"/>
        <v>168.26786995899855</v>
      </c>
      <c r="AO65" s="14">
        <f t="shared" si="12"/>
        <v>0.18211543365844218</v>
      </c>
      <c r="AP65" s="14">
        <f t="shared" si="30"/>
        <v>8.4643071378066564E-2</v>
      </c>
      <c r="AQ65">
        <f t="shared" si="45"/>
        <v>0.23031830188657498</v>
      </c>
      <c r="AR65">
        <f t="shared" si="46"/>
        <v>0.33103439761359665</v>
      </c>
      <c r="AS65">
        <f t="shared" si="47"/>
        <v>3.0000000000000027E-2</v>
      </c>
      <c r="AT65">
        <f t="shared" si="48"/>
        <v>0.10071609572702167</v>
      </c>
      <c r="AU65">
        <v>5</v>
      </c>
      <c r="AV65">
        <f t="shared" si="31"/>
        <v>152.4</v>
      </c>
      <c r="AW65">
        <v>5</v>
      </c>
      <c r="AX65">
        <f t="shared" si="32"/>
        <v>152.4</v>
      </c>
      <c r="AY65">
        <v>76</v>
      </c>
      <c r="AZ65">
        <f t="shared" si="49"/>
        <v>21.693590313532969</v>
      </c>
      <c r="BA65">
        <f t="shared" si="50"/>
        <v>21.693590313532969</v>
      </c>
      <c r="BB65">
        <f t="shared" si="51"/>
        <v>22.037238108143949</v>
      </c>
      <c r="BC65">
        <f t="shared" si="52"/>
        <v>22.037238108143949</v>
      </c>
      <c r="BD65">
        <f t="shared" si="53"/>
        <v>11.768047358803793</v>
      </c>
    </row>
    <row r="66" spans="1:63" x14ac:dyDescent="0.25">
      <c r="AB66" s="7"/>
      <c r="AC66" s="7"/>
      <c r="BJ66" s="18"/>
      <c r="BK66" s="3"/>
    </row>
    <row r="67" spans="1:63" x14ac:dyDescent="0.25">
      <c r="I67" s="5"/>
      <c r="J67" s="5"/>
      <c r="O67" s="7" t="s">
        <v>34</v>
      </c>
      <c r="P67" s="5">
        <f>AVERAGE(P6:P65)</f>
        <v>-7.6628525104470071E-3</v>
      </c>
      <c r="Q67" s="5">
        <f>AVERAGE(Q6:Q65)</f>
        <v>-3.8492720347457518E-3</v>
      </c>
      <c r="R67" s="5">
        <f>AVERAGE(R6:R65)</f>
        <v>-1.0964126626614537E-2</v>
      </c>
      <c r="AB67" s="7"/>
      <c r="AC67" s="7"/>
      <c r="BJ67" s="18"/>
      <c r="BK67" s="3"/>
    </row>
    <row r="68" spans="1:63" x14ac:dyDescent="0.25">
      <c r="I68" s="5"/>
      <c r="J68" s="5"/>
      <c r="O68" s="7" t="s">
        <v>35</v>
      </c>
      <c r="P68" s="5">
        <f>_xlfn.STDEV.S(P6:P65)</f>
        <v>8.9650614010931703E-2</v>
      </c>
      <c r="Q68" s="5">
        <f>_xlfn.STDEV.S(Q6:Q65)</f>
        <v>0.10053276050509773</v>
      </c>
      <c r="R68" s="5">
        <f>_xlfn.STDEV.S(R6:R65)</f>
        <v>7.5074958579852982E-2</v>
      </c>
      <c r="AB68" s="7"/>
      <c r="AC68" s="7"/>
      <c r="BJ68" s="18"/>
      <c r="BK68" s="3"/>
    </row>
    <row r="69" spans="1:63" x14ac:dyDescent="0.25">
      <c r="I69" s="5"/>
      <c r="J69" s="5"/>
      <c r="P69">
        <f>P67-2*P68</f>
        <v>-0.18696408053231042</v>
      </c>
      <c r="Q69">
        <f>Q67-2*Q68</f>
        <v>-0.2049147930449412</v>
      </c>
      <c r="R69">
        <f>R67-2*R68</f>
        <v>-0.16111404378632049</v>
      </c>
      <c r="AB69" s="7"/>
      <c r="AC69" s="7"/>
      <c r="BJ69" s="18"/>
      <c r="BK69" s="3"/>
    </row>
    <row r="70" spans="1:63" x14ac:dyDescent="0.25">
      <c r="I70" s="5"/>
      <c r="J70" s="5"/>
      <c r="P70">
        <f>P67+2*P68</f>
        <v>0.17163837551141639</v>
      </c>
      <c r="Q70">
        <f>Q67+2*Q68</f>
        <v>0.1972162489754497</v>
      </c>
      <c r="R70">
        <f>R67+2*R68</f>
        <v>0.13918579053309144</v>
      </c>
      <c r="AB70" s="7"/>
      <c r="AC70" s="7"/>
      <c r="BJ70" s="18"/>
      <c r="BK70" s="3"/>
    </row>
    <row r="71" spans="1:63" x14ac:dyDescent="0.25">
      <c r="I71" s="5"/>
      <c r="J71" s="5"/>
      <c r="U71" s="50"/>
      <c r="V71" s="50">
        <v>0.3957481602616516</v>
      </c>
      <c r="W71" s="50"/>
      <c r="X71" s="50"/>
      <c r="Y71" s="50"/>
      <c r="Z71" s="50"/>
      <c r="AA71" s="50"/>
      <c r="AB71" s="5"/>
      <c r="AD71" s="9"/>
      <c r="AE71" s="9"/>
      <c r="AF71" s="9"/>
      <c r="BJ71" s="18"/>
      <c r="BK71" s="3"/>
    </row>
    <row r="72" spans="1:63" x14ac:dyDescent="0.25">
      <c r="I72" s="5"/>
      <c r="J72" s="5"/>
      <c r="U72" s="50"/>
      <c r="V72" s="50"/>
      <c r="W72" s="50"/>
      <c r="X72" s="50"/>
      <c r="Y72" s="50"/>
      <c r="Z72" s="50"/>
      <c r="AA72" s="50"/>
      <c r="AB72" s="5"/>
      <c r="AD72" s="9"/>
      <c r="AE72" s="9"/>
      <c r="AF72" s="9"/>
    </row>
    <row r="73" spans="1:63" x14ac:dyDescent="0.25">
      <c r="I73" s="5"/>
      <c r="J73" s="5"/>
      <c r="U73" s="50"/>
      <c r="V73" s="50"/>
      <c r="W73" s="50"/>
      <c r="X73" s="50"/>
      <c r="Y73" s="50"/>
      <c r="Z73" s="50"/>
      <c r="AA73" s="50"/>
      <c r="AB73" s="5"/>
      <c r="AD73" s="9"/>
      <c r="AE73" s="9"/>
      <c r="AF73" s="9"/>
    </row>
    <row r="74" spans="1:63" x14ac:dyDescent="0.25">
      <c r="I74" s="5"/>
      <c r="J74" s="5"/>
      <c r="U74" s="50"/>
      <c r="V74" s="50"/>
      <c r="W74" s="50"/>
      <c r="X74" s="50"/>
      <c r="Y74" s="50"/>
      <c r="Z74" s="50"/>
      <c r="AA74" s="50"/>
      <c r="AB74" s="5"/>
      <c r="AD74" s="9"/>
      <c r="AE74" s="9"/>
      <c r="AF74" s="9"/>
    </row>
    <row r="75" spans="1:63" x14ac:dyDescent="0.25">
      <c r="I75" s="5"/>
      <c r="J75" s="5"/>
      <c r="U75" s="50"/>
      <c r="V75" s="50"/>
      <c r="W75" s="50"/>
      <c r="X75" s="50"/>
      <c r="Y75" s="50"/>
      <c r="Z75" s="50"/>
      <c r="AA75" s="50"/>
      <c r="AB75" s="5"/>
      <c r="AD75" s="9"/>
      <c r="AE75" s="9"/>
      <c r="AF75" s="9"/>
    </row>
    <row r="76" spans="1:63" x14ac:dyDescent="0.25">
      <c r="I76" s="5"/>
      <c r="J76" s="5"/>
      <c r="U76" s="50"/>
      <c r="V76" s="50"/>
      <c r="W76" s="50"/>
      <c r="X76" s="50"/>
      <c r="Y76" s="50"/>
      <c r="Z76" s="50"/>
      <c r="AA76" s="50"/>
      <c r="AB76" s="5"/>
      <c r="AD76" s="9"/>
      <c r="AE76" s="9"/>
      <c r="AF76" s="9"/>
    </row>
    <row r="77" spans="1:63" x14ac:dyDescent="0.25">
      <c r="I77" s="5"/>
      <c r="J77" s="5"/>
      <c r="U77" s="50"/>
      <c r="V77" s="50"/>
      <c r="W77" s="50"/>
      <c r="X77" s="50"/>
      <c r="Y77" s="50"/>
      <c r="Z77" s="50"/>
      <c r="AA77" s="50"/>
      <c r="AB77" s="5"/>
      <c r="AD77" s="9"/>
      <c r="AE77" s="9"/>
      <c r="AF77" s="9"/>
    </row>
    <row r="78" spans="1:63" x14ac:dyDescent="0.25">
      <c r="I78" s="5"/>
      <c r="J78" s="5"/>
      <c r="U78" s="50"/>
      <c r="V78" s="50"/>
      <c r="W78" s="50"/>
      <c r="X78" s="50"/>
      <c r="Y78" s="50"/>
      <c r="Z78" s="50"/>
      <c r="AA78" s="50"/>
      <c r="AB78" s="5"/>
      <c r="AD78" s="9"/>
      <c r="AE78" s="9"/>
      <c r="AF78" s="9"/>
    </row>
    <row r="79" spans="1:63" x14ac:dyDescent="0.25">
      <c r="I79" s="5"/>
      <c r="J79" s="5"/>
      <c r="U79" s="50"/>
      <c r="V79" s="50"/>
      <c r="W79" s="50"/>
      <c r="X79" s="50"/>
      <c r="Y79" s="50"/>
      <c r="Z79" s="50"/>
      <c r="AA79" s="50"/>
      <c r="AB79" s="5"/>
      <c r="AD79" s="9"/>
      <c r="AE79" s="9"/>
      <c r="AF79" s="9"/>
    </row>
    <row r="80" spans="1:63" x14ac:dyDescent="0.25">
      <c r="I80" s="5"/>
      <c r="J80" s="5"/>
      <c r="U80" s="50"/>
      <c r="V80" s="50"/>
      <c r="W80" s="50"/>
      <c r="X80" s="50"/>
      <c r="Y80" s="50"/>
      <c r="Z80" s="50"/>
      <c r="AA80" s="50"/>
      <c r="AB80" s="5"/>
      <c r="AD80" s="9"/>
      <c r="AE80" s="9"/>
      <c r="AF80" s="9"/>
    </row>
    <row r="81" spans="9:32" x14ac:dyDescent="0.25">
      <c r="I81" s="5"/>
      <c r="J81" s="5"/>
      <c r="U81" s="50"/>
      <c r="V81" s="50"/>
      <c r="W81" s="50"/>
      <c r="X81" s="50"/>
      <c r="Y81" s="50"/>
      <c r="Z81" s="50"/>
      <c r="AA81" s="50"/>
      <c r="AB81" s="5"/>
      <c r="AD81" s="9"/>
      <c r="AE81" s="9"/>
      <c r="AF81" s="9"/>
    </row>
    <row r="82" spans="9:32" x14ac:dyDescent="0.25">
      <c r="I82" s="5"/>
      <c r="J82" s="5"/>
      <c r="U82" s="50"/>
      <c r="V82" s="50"/>
      <c r="W82" s="50"/>
      <c r="X82" s="50"/>
      <c r="Y82" s="50"/>
      <c r="Z82" s="50"/>
      <c r="AA82" s="50"/>
      <c r="AB82" s="5"/>
      <c r="AD82" s="9"/>
      <c r="AE82" s="9"/>
      <c r="AF82" s="9"/>
    </row>
    <row r="83" spans="9:32" x14ac:dyDescent="0.25">
      <c r="I83" s="5"/>
      <c r="J83" s="5"/>
      <c r="U83" s="50"/>
      <c r="V83" s="50"/>
      <c r="W83" s="50"/>
      <c r="X83" s="50"/>
      <c r="Y83" s="50"/>
      <c r="Z83" s="50"/>
      <c r="AA83" s="50"/>
      <c r="AB83" s="5"/>
      <c r="AD83" s="9"/>
      <c r="AE83" s="9"/>
      <c r="AF83" s="9"/>
    </row>
    <row r="84" spans="9:32" x14ac:dyDescent="0.25">
      <c r="I84" s="5"/>
      <c r="J84" s="5"/>
      <c r="U84" s="50"/>
      <c r="V84" s="50"/>
      <c r="W84" s="50"/>
      <c r="X84" s="50"/>
      <c r="Y84" s="50"/>
      <c r="Z84" s="50"/>
      <c r="AA84" s="50"/>
      <c r="AB84" s="5"/>
      <c r="AD84" s="9"/>
      <c r="AE84" s="9"/>
      <c r="AF84" s="9"/>
    </row>
    <row r="85" spans="9:32" x14ac:dyDescent="0.25">
      <c r="I85" s="5"/>
      <c r="J85" s="5"/>
      <c r="U85" s="50"/>
      <c r="V85" s="50"/>
      <c r="W85" s="50"/>
      <c r="X85" s="50"/>
      <c r="Y85" s="50"/>
      <c r="Z85" s="50"/>
      <c r="AA85" s="50"/>
      <c r="AB85" s="5"/>
      <c r="AD85" s="9"/>
      <c r="AE85" s="9"/>
      <c r="AF85" s="9"/>
    </row>
    <row r="86" spans="9:32" x14ac:dyDescent="0.25">
      <c r="I86" s="5"/>
      <c r="J86" s="5"/>
      <c r="U86" s="50"/>
      <c r="V86" s="50"/>
      <c r="W86" s="50"/>
      <c r="X86" s="50"/>
      <c r="Y86" s="50"/>
      <c r="Z86" s="50"/>
      <c r="AA86" s="50"/>
      <c r="AB86" s="5"/>
      <c r="AD86" s="9"/>
      <c r="AE86" s="9"/>
      <c r="AF86" s="9"/>
    </row>
    <row r="87" spans="9:32" x14ac:dyDescent="0.25">
      <c r="I87" s="5"/>
      <c r="J87" s="5"/>
      <c r="U87" s="50"/>
      <c r="V87" s="50"/>
      <c r="W87" s="50"/>
      <c r="X87" s="50"/>
      <c r="Y87" s="50"/>
      <c r="Z87" s="50"/>
      <c r="AA87" s="50"/>
      <c r="AB87" s="5"/>
      <c r="AD87" s="9"/>
      <c r="AE87" s="9"/>
      <c r="AF87" s="9"/>
    </row>
    <row r="88" spans="9:32" x14ac:dyDescent="0.25">
      <c r="I88" s="5"/>
      <c r="J88" s="5"/>
      <c r="U88" s="50"/>
      <c r="V88" s="50"/>
      <c r="W88" s="50"/>
      <c r="X88" s="50"/>
      <c r="Y88" s="50"/>
      <c r="Z88" s="50"/>
      <c r="AA88" s="50"/>
      <c r="AB88" s="5"/>
      <c r="AD88" s="9"/>
      <c r="AE88" s="9"/>
      <c r="AF88" s="9"/>
    </row>
    <row r="89" spans="9:32" x14ac:dyDescent="0.25">
      <c r="I89" s="5"/>
      <c r="J89" s="5"/>
      <c r="U89" s="50"/>
      <c r="V89" s="50"/>
      <c r="W89" s="50"/>
      <c r="X89" s="50"/>
      <c r="Y89" s="50"/>
      <c r="Z89" s="50"/>
      <c r="AA89" s="50"/>
      <c r="AB89" s="5"/>
      <c r="AD89" s="9"/>
      <c r="AE89" s="9"/>
      <c r="AF89" s="9"/>
    </row>
    <row r="90" spans="9:32" x14ac:dyDescent="0.25">
      <c r="I90" s="5"/>
      <c r="J90" s="5"/>
      <c r="U90" s="50"/>
      <c r="V90" s="50"/>
      <c r="W90" s="50"/>
      <c r="X90" s="50"/>
      <c r="Y90" s="50"/>
      <c r="Z90" s="50"/>
      <c r="AA90" s="50"/>
      <c r="AB90" s="5"/>
      <c r="AD90" s="9"/>
      <c r="AE90" s="9"/>
      <c r="AF90" s="9"/>
    </row>
    <row r="91" spans="9:32" x14ac:dyDescent="0.25">
      <c r="I91" s="5"/>
      <c r="J91" s="5"/>
      <c r="U91" s="50"/>
      <c r="V91" s="50"/>
      <c r="W91" s="50"/>
      <c r="X91" s="50"/>
      <c r="Y91" s="50"/>
      <c r="Z91" s="50"/>
      <c r="AA91" s="50"/>
      <c r="AB91" s="5"/>
      <c r="AD91" s="9"/>
      <c r="AE91" s="9"/>
      <c r="AF91" s="9"/>
    </row>
    <row r="92" spans="9:32" x14ac:dyDescent="0.25">
      <c r="I92" s="5"/>
      <c r="J92" s="5"/>
      <c r="U92" s="50"/>
      <c r="V92" s="50"/>
      <c r="W92" s="50"/>
      <c r="X92" s="50"/>
      <c r="Y92" s="50"/>
      <c r="Z92" s="50"/>
      <c r="AA92" s="50"/>
      <c r="AB92" s="5"/>
      <c r="AD92" s="9"/>
      <c r="AE92" s="9"/>
      <c r="AF92" s="9"/>
    </row>
    <row r="93" spans="9:32" x14ac:dyDescent="0.25">
      <c r="I93" s="5"/>
      <c r="J93" s="5"/>
      <c r="U93" s="50"/>
      <c r="V93" s="50"/>
      <c r="W93" s="50"/>
      <c r="X93" s="50"/>
      <c r="Y93" s="50"/>
      <c r="Z93" s="50"/>
      <c r="AA93" s="50"/>
      <c r="AB93" s="5"/>
      <c r="AD93" s="9"/>
      <c r="AE93" s="9"/>
      <c r="AF93" s="9"/>
    </row>
    <row r="94" spans="9:32" x14ac:dyDescent="0.25">
      <c r="I94" s="5"/>
      <c r="J94" s="5"/>
      <c r="U94" s="50"/>
      <c r="V94" s="50"/>
      <c r="W94" s="50"/>
      <c r="X94" s="50"/>
      <c r="Y94" s="50"/>
      <c r="Z94" s="50"/>
      <c r="AA94" s="50"/>
      <c r="AB94" s="5"/>
      <c r="AD94" s="9"/>
      <c r="AE94" s="9"/>
      <c r="AF94" s="9"/>
    </row>
    <row r="95" spans="9:32" x14ac:dyDescent="0.25">
      <c r="I95" s="5"/>
      <c r="J95" s="5"/>
      <c r="U95" s="50"/>
      <c r="V95" s="50"/>
      <c r="W95" s="50"/>
      <c r="X95" s="50"/>
      <c r="Y95" s="50"/>
      <c r="Z95" s="50"/>
      <c r="AA95" s="50"/>
      <c r="AB95" s="5"/>
      <c r="AD95" s="9"/>
      <c r="AE95" s="9"/>
      <c r="AF95" s="9"/>
    </row>
    <row r="96" spans="9:32" x14ac:dyDescent="0.25">
      <c r="I96" s="5"/>
      <c r="J96" s="5"/>
      <c r="U96" s="50"/>
      <c r="V96" s="50"/>
      <c r="W96" s="50"/>
      <c r="X96" s="50"/>
      <c r="Y96" s="50"/>
      <c r="Z96" s="50"/>
      <c r="AA96" s="50"/>
      <c r="AB96" s="5"/>
      <c r="AD96" s="9"/>
      <c r="AE96" s="9"/>
      <c r="AF96" s="9"/>
    </row>
    <row r="97" spans="9:32" x14ac:dyDescent="0.25">
      <c r="I97" s="5"/>
      <c r="J97" s="5"/>
      <c r="U97" s="50"/>
      <c r="V97" s="50"/>
      <c r="W97" s="50"/>
      <c r="X97" s="50"/>
      <c r="Y97" s="50"/>
      <c r="Z97" s="50"/>
      <c r="AA97" s="50"/>
      <c r="AB97" s="5"/>
      <c r="AD97" s="9"/>
      <c r="AE97" s="9"/>
      <c r="AF97" s="9"/>
    </row>
    <row r="98" spans="9:32" x14ac:dyDescent="0.25">
      <c r="I98" s="5"/>
      <c r="J98" s="5"/>
      <c r="U98" s="50"/>
      <c r="V98" s="50"/>
      <c r="W98" s="50"/>
      <c r="X98" s="50"/>
      <c r="Y98" s="50"/>
      <c r="Z98" s="50"/>
      <c r="AA98" s="50"/>
      <c r="AB98" s="5"/>
      <c r="AD98" s="9"/>
      <c r="AE98" s="9"/>
      <c r="AF98" s="9"/>
    </row>
    <row r="99" spans="9:32" x14ac:dyDescent="0.25">
      <c r="I99" s="5"/>
      <c r="J99" s="5"/>
      <c r="U99" s="50"/>
      <c r="V99" s="50"/>
      <c r="W99" s="50"/>
      <c r="X99" s="50"/>
      <c r="Y99" s="50"/>
      <c r="Z99" s="50"/>
      <c r="AA99" s="50"/>
      <c r="AB99" s="5"/>
      <c r="AD99" s="9"/>
      <c r="AE99" s="9"/>
      <c r="AF99" s="9"/>
    </row>
    <row r="100" spans="9:32" x14ac:dyDescent="0.25">
      <c r="I100" s="5"/>
      <c r="J100" s="5"/>
      <c r="U100" s="50"/>
      <c r="V100" s="50"/>
      <c r="W100" s="50"/>
      <c r="X100" s="50"/>
      <c r="Y100" s="50"/>
      <c r="Z100" s="50"/>
      <c r="AA100" s="50"/>
      <c r="AB100" s="5"/>
      <c r="AD100" s="9"/>
      <c r="AE100" s="9"/>
      <c r="AF100" s="9"/>
    </row>
    <row r="101" spans="9:32" x14ac:dyDescent="0.25">
      <c r="I101" s="5"/>
      <c r="J101" s="5"/>
      <c r="U101" s="50"/>
      <c r="V101" s="50"/>
      <c r="W101" s="50"/>
      <c r="X101" s="50"/>
      <c r="Y101" s="50"/>
      <c r="Z101" s="50"/>
      <c r="AA101" s="50"/>
      <c r="AB101" s="5"/>
      <c r="AD101" s="9"/>
      <c r="AE101" s="9"/>
      <c r="AF101" s="9"/>
    </row>
    <row r="102" spans="9:32" x14ac:dyDescent="0.25">
      <c r="I102" s="5"/>
      <c r="J102" s="5"/>
      <c r="U102" s="50"/>
      <c r="V102" s="50"/>
      <c r="W102" s="50"/>
      <c r="X102" s="50"/>
      <c r="Y102" s="50"/>
      <c r="Z102" s="50"/>
      <c r="AA102" s="50"/>
      <c r="AB102" s="5"/>
      <c r="AD102" s="9"/>
      <c r="AE102" s="9"/>
      <c r="AF102" s="9"/>
    </row>
    <row r="103" spans="9:32" x14ac:dyDescent="0.25">
      <c r="I103" s="5"/>
      <c r="J103" s="5"/>
      <c r="U103" s="50"/>
      <c r="V103" s="50"/>
      <c r="W103" s="50"/>
      <c r="X103" s="50"/>
      <c r="Y103" s="50"/>
      <c r="Z103" s="50"/>
      <c r="AA103" s="50"/>
      <c r="AB103" s="5"/>
      <c r="AD103" s="9"/>
      <c r="AE103" s="9"/>
      <c r="AF103" s="9"/>
    </row>
    <row r="104" spans="9:32" x14ac:dyDescent="0.25">
      <c r="I104" s="5"/>
      <c r="J104" s="5"/>
      <c r="U104" s="50"/>
      <c r="V104" s="50"/>
      <c r="W104" s="50"/>
      <c r="X104" s="50"/>
      <c r="Y104" s="50"/>
      <c r="Z104" s="50"/>
      <c r="AA104" s="50"/>
      <c r="AB104" s="5"/>
      <c r="AD104" s="9"/>
      <c r="AE104" s="9"/>
      <c r="AF104" s="9"/>
    </row>
    <row r="105" spans="9:32" x14ac:dyDescent="0.25">
      <c r="I105" s="5"/>
      <c r="J105" s="5"/>
      <c r="U105" s="50"/>
      <c r="V105" s="50"/>
      <c r="W105" s="50"/>
      <c r="X105" s="50"/>
      <c r="Y105" s="50"/>
      <c r="Z105" s="50"/>
      <c r="AA105" s="50"/>
      <c r="AB105" s="5"/>
      <c r="AD105" s="9"/>
      <c r="AE105" s="9"/>
      <c r="AF105" s="9"/>
    </row>
    <row r="106" spans="9:32" x14ac:dyDescent="0.25">
      <c r="I106" s="5"/>
      <c r="J106" s="5"/>
      <c r="U106" s="50"/>
      <c r="V106" s="50"/>
      <c r="W106" s="50"/>
      <c r="X106" s="50"/>
      <c r="Y106" s="50"/>
      <c r="Z106" s="50"/>
      <c r="AA106" s="50"/>
      <c r="AB106" s="5"/>
      <c r="AD106" s="9"/>
      <c r="AE106" s="9"/>
      <c r="AF106" s="9"/>
    </row>
    <row r="107" spans="9:32" x14ac:dyDescent="0.25">
      <c r="I107" s="5"/>
      <c r="J107" s="5"/>
      <c r="U107" s="50"/>
      <c r="V107" s="50"/>
      <c r="W107" s="50"/>
      <c r="X107" s="50"/>
      <c r="Y107" s="50"/>
      <c r="Z107" s="50"/>
      <c r="AA107" s="50"/>
      <c r="AB107" s="5"/>
      <c r="AD107" s="9"/>
      <c r="AE107" s="9"/>
      <c r="AF107" s="9"/>
    </row>
    <row r="108" spans="9:32" x14ac:dyDescent="0.25">
      <c r="I108" s="5"/>
      <c r="J108" s="5"/>
      <c r="U108" s="50"/>
      <c r="V108" s="50"/>
      <c r="W108" s="50"/>
      <c r="X108" s="50"/>
      <c r="Y108" s="50"/>
      <c r="Z108" s="50"/>
      <c r="AA108" s="50"/>
      <c r="AB108" s="5"/>
      <c r="AD108" s="9"/>
      <c r="AE108" s="9"/>
      <c r="AF108" s="9"/>
    </row>
    <row r="109" spans="9:32" x14ac:dyDescent="0.25">
      <c r="I109" s="5"/>
      <c r="J109" s="5"/>
      <c r="U109" s="50"/>
      <c r="V109" s="50"/>
      <c r="W109" s="50"/>
      <c r="X109" s="50"/>
      <c r="Y109" s="50"/>
      <c r="Z109" s="50"/>
      <c r="AA109" s="50"/>
      <c r="AB109" s="5"/>
      <c r="AD109" s="9"/>
      <c r="AE109" s="9"/>
      <c r="AF109" s="9"/>
    </row>
    <row r="110" spans="9:32" x14ac:dyDescent="0.25">
      <c r="I110" s="5"/>
      <c r="J110" s="5"/>
      <c r="U110" s="50"/>
      <c r="V110" s="50"/>
      <c r="W110" s="50"/>
      <c r="X110" s="50"/>
      <c r="Y110" s="50"/>
      <c r="Z110" s="50"/>
      <c r="AA110" s="50"/>
      <c r="AB110" s="5"/>
      <c r="AD110" s="9"/>
      <c r="AE110" s="9"/>
      <c r="AF110" s="9"/>
    </row>
    <row r="111" spans="9:32" x14ac:dyDescent="0.25">
      <c r="I111" s="5"/>
      <c r="J111" s="5"/>
      <c r="U111" s="50"/>
      <c r="V111" s="50"/>
      <c r="W111" s="50"/>
      <c r="X111" s="50"/>
      <c r="Y111" s="50"/>
      <c r="Z111" s="50"/>
      <c r="AA111" s="50"/>
      <c r="AB111" s="5"/>
      <c r="AD111" s="9"/>
      <c r="AE111" s="9"/>
      <c r="AF111" s="9"/>
    </row>
    <row r="112" spans="9:32" x14ac:dyDescent="0.25">
      <c r="I112" s="5"/>
      <c r="J112" s="5"/>
      <c r="U112" s="50"/>
      <c r="V112" s="50"/>
      <c r="W112" s="50"/>
      <c r="X112" s="50"/>
      <c r="Y112" s="50"/>
      <c r="Z112" s="50"/>
      <c r="AA112" s="50"/>
      <c r="AB112" s="5"/>
      <c r="AD112" s="9"/>
      <c r="AE112" s="9"/>
      <c r="AF112" s="9"/>
    </row>
    <row r="113" spans="9:32" x14ac:dyDescent="0.25">
      <c r="I113" s="5"/>
      <c r="J113" s="5"/>
      <c r="U113" s="50"/>
      <c r="V113" s="50"/>
      <c r="W113" s="50"/>
      <c r="X113" s="50"/>
      <c r="Y113" s="50"/>
      <c r="Z113" s="50"/>
      <c r="AA113" s="50"/>
      <c r="AB113" s="5"/>
      <c r="AD113" s="9"/>
      <c r="AE113" s="9"/>
      <c r="AF113" s="9"/>
    </row>
    <row r="114" spans="9:32" x14ac:dyDescent="0.25">
      <c r="I114" s="5"/>
      <c r="J114" s="5"/>
      <c r="U114" s="50"/>
      <c r="V114" s="50"/>
      <c r="W114" s="50"/>
      <c r="X114" s="50"/>
      <c r="Y114" s="50"/>
      <c r="Z114" s="50"/>
      <c r="AA114" s="50"/>
      <c r="AB114" s="5"/>
      <c r="AD114" s="9"/>
      <c r="AE114" s="9"/>
      <c r="AF114" s="9"/>
    </row>
    <row r="115" spans="9:32" x14ac:dyDescent="0.25">
      <c r="I115" s="5"/>
      <c r="J115" s="5"/>
      <c r="U115" s="50"/>
      <c r="V115" s="50"/>
      <c r="W115" s="50"/>
      <c r="X115" s="50"/>
      <c r="Y115" s="50"/>
      <c r="Z115" s="50"/>
      <c r="AA115" s="50"/>
      <c r="AB115" s="5"/>
      <c r="AD115" s="9"/>
      <c r="AE115" s="9"/>
      <c r="AF115" s="9"/>
    </row>
    <row r="116" spans="9:32" x14ac:dyDescent="0.25">
      <c r="I116" s="5"/>
      <c r="J116" s="5"/>
      <c r="U116" s="50"/>
      <c r="V116" s="50"/>
      <c r="W116" s="50"/>
      <c r="X116" s="50"/>
      <c r="Y116" s="50"/>
      <c r="Z116" s="50"/>
      <c r="AA116" s="50"/>
      <c r="AB116" s="5"/>
      <c r="AD116" s="9"/>
      <c r="AE116" s="9"/>
      <c r="AF116" s="9"/>
    </row>
    <row r="117" spans="9:32" x14ac:dyDescent="0.25">
      <c r="I117" s="5"/>
      <c r="J117" s="5"/>
      <c r="U117" s="50"/>
      <c r="V117" s="50"/>
      <c r="W117" s="50"/>
      <c r="X117" s="50"/>
      <c r="Y117" s="50"/>
      <c r="Z117" s="50"/>
      <c r="AA117" s="50"/>
      <c r="AB117" s="5"/>
      <c r="AD117" s="9"/>
      <c r="AE117" s="9"/>
      <c r="AF117" s="9"/>
    </row>
    <row r="118" spans="9:32" x14ac:dyDescent="0.25">
      <c r="I118" s="5"/>
      <c r="J118" s="5"/>
      <c r="U118" s="50"/>
      <c r="V118" s="50"/>
      <c r="W118" s="50"/>
      <c r="X118" s="50"/>
      <c r="Y118" s="50"/>
      <c r="Z118" s="50"/>
      <c r="AA118" s="50"/>
      <c r="AB118" s="5"/>
      <c r="AD118" s="9"/>
      <c r="AE118" s="9"/>
      <c r="AF118" s="9"/>
    </row>
    <row r="119" spans="9:32" x14ac:dyDescent="0.25">
      <c r="I119" s="5"/>
      <c r="J119" s="5"/>
      <c r="U119" s="50"/>
      <c r="V119" s="50"/>
      <c r="W119" s="50"/>
      <c r="X119" s="50"/>
      <c r="Y119" s="50"/>
      <c r="Z119" s="50"/>
      <c r="AA119" s="50"/>
      <c r="AB119" s="5"/>
      <c r="AD119" s="9"/>
      <c r="AE119" s="9"/>
      <c r="AF119" s="9"/>
    </row>
    <row r="120" spans="9:32" x14ac:dyDescent="0.25">
      <c r="I120" s="5"/>
      <c r="J120" s="5"/>
      <c r="U120" s="50"/>
      <c r="V120" s="50"/>
      <c r="W120" s="50"/>
      <c r="X120" s="50"/>
      <c r="Y120" s="50"/>
      <c r="Z120" s="50"/>
      <c r="AA120" s="50"/>
      <c r="AB120" s="5"/>
      <c r="AD120" s="9"/>
      <c r="AE120" s="9"/>
      <c r="AF120" s="9"/>
    </row>
    <row r="121" spans="9:32" x14ac:dyDescent="0.25">
      <c r="I121" s="5"/>
      <c r="J121" s="5"/>
      <c r="U121" s="50"/>
      <c r="V121" s="50"/>
      <c r="W121" s="50"/>
      <c r="X121" s="50"/>
      <c r="Y121" s="50"/>
      <c r="Z121" s="50"/>
      <c r="AA121" s="50"/>
      <c r="AB121" s="5"/>
      <c r="AD121" s="9"/>
      <c r="AE121" s="9"/>
      <c r="AF121" s="9"/>
    </row>
    <row r="122" spans="9:32" x14ac:dyDescent="0.25">
      <c r="I122" s="5"/>
      <c r="J122" s="5"/>
      <c r="U122" s="50"/>
      <c r="V122" s="50"/>
      <c r="W122" s="50"/>
      <c r="X122" s="50"/>
      <c r="Y122" s="50"/>
      <c r="Z122" s="50"/>
      <c r="AA122" s="50"/>
      <c r="AB122" s="5"/>
      <c r="AD122" s="9"/>
      <c r="AE122" s="9"/>
      <c r="AF122" s="9"/>
    </row>
    <row r="123" spans="9:32" x14ac:dyDescent="0.25">
      <c r="I123" s="5"/>
      <c r="J123" s="5"/>
      <c r="U123" s="50"/>
      <c r="V123" s="50"/>
      <c r="W123" s="50"/>
      <c r="X123" s="50"/>
      <c r="Y123" s="50"/>
      <c r="Z123" s="50"/>
      <c r="AA123" s="50"/>
      <c r="AB123" s="5"/>
      <c r="AD123" s="9"/>
      <c r="AE123" s="9"/>
      <c r="AF123" s="9"/>
    </row>
    <row r="124" spans="9:32" x14ac:dyDescent="0.25">
      <c r="I124" s="5"/>
      <c r="J124" s="5"/>
      <c r="U124" s="50"/>
      <c r="V124" s="50"/>
      <c r="W124" s="50"/>
      <c r="X124" s="50"/>
      <c r="Y124" s="50"/>
      <c r="Z124" s="50"/>
      <c r="AA124" s="50"/>
      <c r="AB124" s="5"/>
      <c r="AD124" s="9"/>
      <c r="AE124" s="9"/>
      <c r="AF124" s="9"/>
    </row>
    <row r="125" spans="9:32" x14ac:dyDescent="0.25">
      <c r="I125" s="5"/>
      <c r="J125" s="5"/>
      <c r="U125" s="50"/>
      <c r="V125" s="50"/>
      <c r="W125" s="50"/>
      <c r="X125" s="50"/>
      <c r="Y125" s="50"/>
      <c r="Z125" s="50"/>
      <c r="AA125" s="50"/>
      <c r="AB125" s="5"/>
      <c r="AD125" s="9"/>
      <c r="AE125" s="9"/>
      <c r="AF125" s="9"/>
    </row>
    <row r="126" spans="9:32" x14ac:dyDescent="0.25">
      <c r="I126" s="5"/>
      <c r="J126" s="5"/>
      <c r="U126" s="50"/>
      <c r="V126" s="50"/>
      <c r="W126" s="50"/>
      <c r="X126" s="50"/>
      <c r="Y126" s="50"/>
      <c r="Z126" s="50"/>
      <c r="AA126" s="50"/>
      <c r="AB126" s="5"/>
      <c r="AD126" s="9"/>
      <c r="AE126" s="9"/>
      <c r="AF126" s="9"/>
    </row>
    <row r="127" spans="9:32" x14ac:dyDescent="0.25">
      <c r="U127" s="50"/>
      <c r="V127" s="50"/>
      <c r="W127" s="50"/>
      <c r="X127" s="50"/>
      <c r="Y127" s="50"/>
      <c r="Z127" s="50"/>
      <c r="AA127" s="50"/>
      <c r="AB127" s="5"/>
      <c r="AD127" s="9"/>
      <c r="AE127" s="9"/>
      <c r="AF127" s="9"/>
    </row>
    <row r="128" spans="9:32" x14ac:dyDescent="0.25">
      <c r="U128" s="50"/>
      <c r="V128" s="50"/>
      <c r="W128" s="50"/>
      <c r="X128" s="50"/>
      <c r="Y128" s="50"/>
      <c r="Z128" s="50"/>
      <c r="AA128" s="50"/>
      <c r="AB128" s="5"/>
      <c r="AD128" s="9"/>
      <c r="AE128" s="9"/>
      <c r="AF128" s="9"/>
    </row>
    <row r="129" spans="21:32" x14ac:dyDescent="0.25">
      <c r="U129" s="50"/>
      <c r="V129" s="50"/>
      <c r="W129" s="50"/>
      <c r="X129" s="50"/>
      <c r="Y129" s="50"/>
      <c r="Z129" s="50"/>
      <c r="AA129" s="50"/>
      <c r="AB129" s="5"/>
      <c r="AD129" s="9"/>
      <c r="AE129" s="9"/>
      <c r="AF129" s="9"/>
    </row>
    <row r="130" spans="21:32" x14ac:dyDescent="0.25">
      <c r="U130" s="50"/>
      <c r="V130" s="50"/>
      <c r="W130" s="50"/>
      <c r="X130" s="50"/>
      <c r="Y130" s="50"/>
      <c r="Z130" s="50"/>
      <c r="AA130" s="50"/>
      <c r="AB130" s="5"/>
      <c r="AD130" s="9"/>
      <c r="AE130" s="9"/>
      <c r="AF130" s="9"/>
    </row>
  </sheetData>
  <sortState ref="A2:I276">
    <sortCondition ref="A2:A276"/>
    <sortCondition ref="B2:B276"/>
    <sortCondition ref="C2:C276"/>
  </sortState>
  <mergeCells count="4">
    <mergeCell ref="G4:H4"/>
    <mergeCell ref="I4:J4"/>
    <mergeCell ref="U4:AG4"/>
    <mergeCell ref="AI4:AP4"/>
  </mergeCells>
  <conditionalFormatting sqref="P6:P65">
    <cfRule type="cellIs" dxfId="8" priority="9" operator="equal">
      <formula>$P$28</formula>
    </cfRule>
    <cfRule type="cellIs" dxfId="7" priority="10" operator="lessThan">
      <formula>$P$69</formula>
    </cfRule>
    <cfRule type="cellIs" dxfId="6" priority="11" operator="greaterThan">
      <formula>$P$70</formula>
    </cfRule>
  </conditionalFormatting>
  <conditionalFormatting sqref="R6:R65">
    <cfRule type="cellIs" dxfId="5" priority="6" operator="equal">
      <formula>$R$60</formula>
    </cfRule>
    <cfRule type="cellIs" dxfId="4" priority="7" operator="lessThan">
      <formula>$R$69</formula>
    </cfRule>
    <cfRule type="cellIs" dxfId="3" priority="8" operator="greaterThan">
      <formula>$R$70</formula>
    </cfRule>
  </conditionalFormatting>
  <conditionalFormatting sqref="Q6:Q65">
    <cfRule type="cellIs" dxfId="2" priority="3" operator="equal">
      <formula>$Q$60</formula>
    </cfRule>
    <cfRule type="cellIs" dxfId="1" priority="4" operator="lessThan">
      <formula>$Q$69</formula>
    </cfRule>
    <cfRule type="cellIs" dxfId="0" priority="5" operator="greaterThan">
      <formula>$Q$70</formula>
    </cfRule>
  </conditionalFormatting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Palouse PTF</vt:lpstr>
      <vt:lpstr>Yield</vt:lpstr>
      <vt:lpstr>em_2013</vt:lpstr>
      <vt:lpstr>Jones_snow</vt:lpstr>
      <vt:lpstr>Jones_DG&amp;Well</vt:lpstr>
      <vt:lpstr>Giddings_correction</vt:lpstr>
      <vt:lpstr>Soil_Moisture</vt:lpstr>
      <vt:lpstr>2013 crop data</vt:lpstr>
      <vt:lpstr>SOIL_PROPERTIES</vt:lpstr>
      <vt:lpstr>soil.depth</vt:lpstr>
      <vt:lpstr>clay</vt:lpstr>
      <vt:lpstr>porosity</vt:lpstr>
      <vt:lpstr>sand</vt:lpstr>
      <vt:lpstr>silt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your3353</dc:creator>
  <cp:lastModifiedBy>Yourek, Matthew</cp:lastModifiedBy>
  <dcterms:created xsi:type="dcterms:W3CDTF">2014-06-23T22:04:34Z</dcterms:created>
  <dcterms:modified xsi:type="dcterms:W3CDTF">2017-08-12T19:25:15Z</dcterms:modified>
</cp:coreProperties>
</file>