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0905" yWindow="165" windowWidth="2730" windowHeight="11535" tabRatio="933" activeTab="4"/>
  </bookViews>
  <sheets>
    <sheet name="Odberg-snow" sheetId="19" r:id="rId1"/>
    <sheet name="em_2013" sheetId="18" r:id="rId2"/>
    <sheet name="Odberg_DG&amp;Well" sheetId="17" r:id="rId3"/>
    <sheet name="2013_crop_data" sheetId="16" r:id="rId4"/>
    <sheet name="SOIL_PROPERTIES" sheetId="15" r:id="rId5"/>
    <sheet name="Palouse_PTF" sheetId="11" r:id="rId6"/>
    <sheet name="Yields" sheetId="8" r:id="rId7"/>
    <sheet name="Soil_Moisture" sheetId="12" r:id="rId8"/>
    <sheet name="soil.depth" sheetId="14" r:id="rId9"/>
  </sheets>
  <externalReferences>
    <externalReference r:id="rId10"/>
  </externalReferences>
  <definedNames>
    <definedName name="clay" localSheetId="1">#REF!</definedName>
    <definedName name="clay" localSheetId="4">SOIL_PROPERTIES!$J$5:$J$64</definedName>
    <definedName name="clay">#REF!</definedName>
    <definedName name="porosity" localSheetId="1">#REF!</definedName>
    <definedName name="porosity" localSheetId="5">'[1]SOIL PROPERTIES'!$AI$5:$AI$64</definedName>
    <definedName name="porosity" localSheetId="4">SOIL_PROPERTIES!$BA$5:$BA$64</definedName>
    <definedName name="porosity">#REF!</definedName>
    <definedName name="sand" localSheetId="1">#REF!</definedName>
    <definedName name="sand" localSheetId="4">SOIL_PROPERTIES!$H$5:$H$64</definedName>
    <definedName name="sand">#REF!</definedName>
    <definedName name="silt" localSheetId="1">#REF!</definedName>
    <definedName name="silt" localSheetId="4">SOIL_PROPERTIES!$I$5:$I$64</definedName>
    <definedName name="silt">#REF!</definedName>
  </definedNames>
  <calcPr calcId="145621"/>
  <pivotCaches>
    <pivotCache cacheId="19" r:id="rId11"/>
    <pivotCache cacheId="20" r:id="rId12"/>
    <pivotCache cacheId="2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C63" i="15" l="1"/>
  <c r="DC9" i="15"/>
  <c r="DC6" i="15"/>
  <c r="DC7" i="15"/>
  <c r="DC8" i="15"/>
  <c r="DC10" i="15"/>
  <c r="DC11" i="15"/>
  <c r="DC12" i="15"/>
  <c r="DC13" i="15"/>
  <c r="DC14" i="15"/>
  <c r="DC15" i="15"/>
  <c r="DC16" i="15"/>
  <c r="DC17" i="15"/>
  <c r="DC18" i="15"/>
  <c r="DC19" i="15"/>
  <c r="DC20" i="15"/>
  <c r="DC21" i="15"/>
  <c r="DC22" i="15"/>
  <c r="DC23" i="15"/>
  <c r="DC24" i="15"/>
  <c r="DC25" i="15"/>
  <c r="DC26" i="15"/>
  <c r="DC27" i="15"/>
  <c r="DC28" i="15"/>
  <c r="DC30" i="15"/>
  <c r="DC31" i="15"/>
  <c r="DC32" i="15"/>
  <c r="DC33" i="15"/>
  <c r="DC34" i="15"/>
  <c r="DC35" i="15"/>
  <c r="DC36" i="15"/>
  <c r="DC37" i="15"/>
  <c r="DC38" i="15"/>
  <c r="DC39" i="15"/>
  <c r="DC40" i="15"/>
  <c r="DC41" i="15"/>
  <c r="DC42" i="15"/>
  <c r="DC43" i="15"/>
  <c r="DC44" i="15"/>
  <c r="DC45" i="15"/>
  <c r="DC46" i="15"/>
  <c r="DC47" i="15"/>
  <c r="DC48" i="15"/>
  <c r="DC49" i="15"/>
  <c r="DC50" i="15"/>
  <c r="DC51" i="15"/>
  <c r="DC52" i="15"/>
  <c r="DC53" i="15"/>
  <c r="DC54" i="15"/>
  <c r="DC55" i="15"/>
  <c r="DC56" i="15"/>
  <c r="DC57" i="15"/>
  <c r="DC58" i="15"/>
  <c r="DC59" i="15"/>
  <c r="DC60" i="15"/>
  <c r="DC61" i="15"/>
  <c r="DC62" i="15"/>
  <c r="DC64" i="15"/>
  <c r="DC5" i="15"/>
  <c r="AG6" i="15" l="1"/>
  <c r="AG7" i="15"/>
  <c r="AG8" i="15"/>
  <c r="AG9" i="15"/>
  <c r="AG10" i="15"/>
  <c r="AG11" i="15"/>
  <c r="AG12" i="15"/>
  <c r="AG13" i="15"/>
  <c r="AG14" i="15"/>
  <c r="AG15" i="15"/>
  <c r="AG16" i="15"/>
  <c r="AG17" i="15"/>
  <c r="AG18" i="15"/>
  <c r="AG19" i="15"/>
  <c r="AG20" i="15"/>
  <c r="AG21" i="15"/>
  <c r="AG22" i="15"/>
  <c r="AG23" i="15"/>
  <c r="AG24" i="15"/>
  <c r="AG25" i="15"/>
  <c r="AG26" i="15"/>
  <c r="AG27" i="15"/>
  <c r="AG28" i="15"/>
  <c r="AG29" i="15"/>
  <c r="AG30" i="15"/>
  <c r="AG31" i="15"/>
  <c r="AG32" i="15"/>
  <c r="AG33" i="15"/>
  <c r="AG34" i="15"/>
  <c r="AG35" i="15"/>
  <c r="AG36" i="15"/>
  <c r="AG37" i="15"/>
  <c r="AG38" i="15"/>
  <c r="AG39" i="15"/>
  <c r="AG40" i="15"/>
  <c r="AG41" i="15"/>
  <c r="AG42" i="15"/>
  <c r="AG43" i="15"/>
  <c r="AG44" i="15"/>
  <c r="AG45" i="15"/>
  <c r="AG46" i="15"/>
  <c r="AG47" i="15"/>
  <c r="AG48" i="15"/>
  <c r="AG49" i="15"/>
  <c r="AG50" i="15"/>
  <c r="AG51" i="15"/>
  <c r="AG52" i="15"/>
  <c r="AG53" i="15"/>
  <c r="AG54" i="15"/>
  <c r="AG55" i="15"/>
  <c r="AG56" i="15"/>
  <c r="AG57" i="15"/>
  <c r="AG58" i="15"/>
  <c r="AG59" i="15"/>
  <c r="AG60" i="15"/>
  <c r="AG61" i="15"/>
  <c r="AG62" i="15"/>
  <c r="AG63" i="15"/>
  <c r="AG64" i="15"/>
  <c r="AG5" i="15"/>
  <c r="AF6" i="15"/>
  <c r="AF7" i="15"/>
  <c r="AF12" i="15"/>
  <c r="AF14" i="15"/>
  <c r="AF20" i="15"/>
  <c r="AF22" i="15"/>
  <c r="AF25" i="15"/>
  <c r="AF26" i="15"/>
  <c r="AF28" i="15"/>
  <c r="AF29" i="15"/>
  <c r="AF33" i="15"/>
  <c r="AF34" i="15"/>
  <c r="AF42" i="15"/>
  <c r="AF43" i="15"/>
  <c r="AF44" i="15"/>
  <c r="AF45" i="15"/>
  <c r="AF48" i="15"/>
  <c r="AF49" i="15"/>
  <c r="AF53" i="15"/>
  <c r="AF54" i="15"/>
  <c r="AF56" i="15"/>
  <c r="AF59" i="15"/>
  <c r="AF60" i="15"/>
  <c r="AE27" i="15"/>
  <c r="AE28" i="15"/>
  <c r="AE29" i="15"/>
  <c r="AE59" i="15"/>
  <c r="AA2" i="15"/>
  <c r="AZ126" i="15" l="1"/>
  <c r="AY126" i="15"/>
  <c r="AX126" i="15"/>
  <c r="AW126" i="15"/>
  <c r="AV126" i="15"/>
  <c r="AU126" i="15"/>
  <c r="AZ125" i="15"/>
  <c r="AY125" i="15"/>
  <c r="AX125" i="15"/>
  <c r="AW125" i="15"/>
  <c r="AV125" i="15"/>
  <c r="AU125" i="15"/>
  <c r="AZ124" i="15"/>
  <c r="AY124" i="15"/>
  <c r="AX124" i="15"/>
  <c r="AW124" i="15"/>
  <c r="AV124" i="15"/>
  <c r="AU124" i="15"/>
  <c r="AZ123" i="15"/>
  <c r="AY123" i="15"/>
  <c r="AX123" i="15"/>
  <c r="AW123" i="15"/>
  <c r="AV123" i="15"/>
  <c r="AU123" i="15"/>
  <c r="AZ122" i="15"/>
  <c r="AY122" i="15"/>
  <c r="AX122" i="15"/>
  <c r="AW122" i="15"/>
  <c r="AV122" i="15"/>
  <c r="AU122" i="15"/>
  <c r="AI7" i="12" l="1"/>
  <c r="AJ7" i="12"/>
  <c r="AK7" i="12"/>
  <c r="AL7" i="12"/>
  <c r="AM7" i="12"/>
  <c r="AN7" i="12"/>
  <c r="AO7" i="12"/>
  <c r="AP7" i="12"/>
  <c r="AQ7" i="12"/>
  <c r="AR7" i="12"/>
  <c r="AS7" i="12"/>
  <c r="AT7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L6" i="12"/>
  <c r="AM6" i="12"/>
  <c r="AN6" i="12"/>
  <c r="AO6" i="12"/>
  <c r="AP6" i="12"/>
  <c r="AQ6" i="12"/>
  <c r="AR6" i="12"/>
  <c r="AS6" i="12"/>
  <c r="AT6" i="12"/>
  <c r="AJ6" i="12"/>
  <c r="AK6" i="12"/>
  <c r="AI6" i="12"/>
  <c r="M85" i="17"/>
  <c r="P83" i="17"/>
  <c r="O83" i="17"/>
  <c r="N83" i="17"/>
  <c r="L83" i="17"/>
  <c r="J83" i="17"/>
  <c r="I83" i="17"/>
  <c r="H83" i="17"/>
  <c r="G83" i="17"/>
  <c r="F83" i="17"/>
  <c r="E83" i="17"/>
  <c r="D83" i="17"/>
  <c r="P82" i="17"/>
  <c r="O82" i="17"/>
  <c r="N82" i="17"/>
  <c r="AD38" i="17" s="1"/>
  <c r="AR38" i="17" s="1"/>
  <c r="L82" i="17"/>
  <c r="AB32" i="17" s="1"/>
  <c r="AP32" i="17" s="1"/>
  <c r="J82" i="17"/>
  <c r="Z32" i="17" s="1"/>
  <c r="AN32" i="17" s="1"/>
  <c r="I82" i="17"/>
  <c r="H82" i="17"/>
  <c r="X32" i="17" s="1"/>
  <c r="AL32" i="17" s="1"/>
  <c r="G82" i="17"/>
  <c r="F82" i="17"/>
  <c r="V32" i="17" s="1"/>
  <c r="AJ32" i="17" s="1"/>
  <c r="E82" i="17"/>
  <c r="D82" i="17"/>
  <c r="T32" i="17" s="1"/>
  <c r="AH32" i="17" s="1"/>
  <c r="P81" i="17"/>
  <c r="O81" i="17"/>
  <c r="N81" i="17"/>
  <c r="M81" i="17"/>
  <c r="L81" i="17"/>
  <c r="J81" i="17"/>
  <c r="I81" i="17"/>
  <c r="H81" i="17"/>
  <c r="G81" i="17"/>
  <c r="F81" i="17"/>
  <c r="E81" i="17"/>
  <c r="D81" i="17"/>
  <c r="C81" i="17"/>
  <c r="P80" i="17"/>
  <c r="N80" i="17"/>
  <c r="M80" i="17"/>
  <c r="L80" i="17"/>
  <c r="J80" i="17"/>
  <c r="I80" i="17"/>
  <c r="H80" i="17"/>
  <c r="G80" i="17"/>
  <c r="F80" i="17"/>
  <c r="E80" i="17"/>
  <c r="D80" i="17"/>
  <c r="P79" i="17"/>
  <c r="N79" i="17"/>
  <c r="M79" i="17"/>
  <c r="L79" i="17"/>
  <c r="J79" i="17"/>
  <c r="I79" i="17"/>
  <c r="H79" i="17"/>
  <c r="G79" i="17"/>
  <c r="F79" i="17"/>
  <c r="E79" i="17"/>
  <c r="D79" i="17"/>
  <c r="C79" i="17"/>
  <c r="P78" i="17"/>
  <c r="N78" i="17"/>
  <c r="L78" i="17"/>
  <c r="J78" i="17"/>
  <c r="I78" i="17"/>
  <c r="H78" i="17"/>
  <c r="G78" i="17"/>
  <c r="F78" i="17"/>
  <c r="E78" i="17"/>
  <c r="D78" i="17"/>
  <c r="C78" i="17"/>
  <c r="P77" i="17"/>
  <c r="N77" i="17"/>
  <c r="L77" i="17"/>
  <c r="J77" i="17"/>
  <c r="I77" i="17"/>
  <c r="H77" i="17"/>
  <c r="G77" i="17"/>
  <c r="F77" i="17"/>
  <c r="E77" i="17"/>
  <c r="D77" i="17"/>
  <c r="C77" i="17"/>
  <c r="P76" i="17"/>
  <c r="N76" i="17"/>
  <c r="AD12" i="17" s="1"/>
  <c r="AR12" i="17" s="1"/>
  <c r="M76" i="17"/>
  <c r="L76" i="17"/>
  <c r="J76" i="17"/>
  <c r="I76" i="17"/>
  <c r="H76" i="17"/>
  <c r="G76" i="17"/>
  <c r="F76" i="17"/>
  <c r="E76" i="17"/>
  <c r="D76" i="17"/>
  <c r="C76" i="17"/>
  <c r="P75" i="17"/>
  <c r="N75" i="17"/>
  <c r="AD9" i="17" s="1"/>
  <c r="AR9" i="17" s="1"/>
  <c r="M75" i="17"/>
  <c r="L75" i="17"/>
  <c r="J75" i="17"/>
  <c r="I75" i="17"/>
  <c r="H75" i="17"/>
  <c r="G75" i="17"/>
  <c r="F75" i="17"/>
  <c r="E75" i="17"/>
  <c r="D75" i="17"/>
  <c r="C75" i="17"/>
  <c r="P74" i="17"/>
  <c r="N74" i="17"/>
  <c r="AD5" i="17" s="1"/>
  <c r="AR5" i="17" s="1"/>
  <c r="M74" i="17"/>
  <c r="L74" i="17"/>
  <c r="J74" i="17"/>
  <c r="I74" i="17"/>
  <c r="H74" i="17"/>
  <c r="G74" i="17"/>
  <c r="F74" i="17"/>
  <c r="E74" i="17"/>
  <c r="D74" i="17"/>
  <c r="C74" i="17"/>
  <c r="C85" i="17" s="1"/>
  <c r="M69" i="17"/>
  <c r="K69" i="17"/>
  <c r="K83" i="17" s="1"/>
  <c r="M68" i="17"/>
  <c r="M82" i="17" s="1"/>
  <c r="K68" i="17"/>
  <c r="K82" i="17" s="1"/>
  <c r="AA39" i="17" s="1"/>
  <c r="AO39" i="17" s="1"/>
  <c r="K67" i="17"/>
  <c r="K81" i="17" s="1"/>
  <c r="K66" i="17"/>
  <c r="K80" i="17" s="1"/>
  <c r="K65" i="17"/>
  <c r="K79" i="17" s="1"/>
  <c r="K64" i="17"/>
  <c r="K78" i="17" s="1"/>
  <c r="K63" i="17"/>
  <c r="K77" i="17" s="1"/>
  <c r="K62" i="17"/>
  <c r="K76" i="17" s="1"/>
  <c r="K61" i="17"/>
  <c r="K75" i="17" s="1"/>
  <c r="K60" i="17"/>
  <c r="K74" i="17" s="1"/>
  <c r="M57" i="17"/>
  <c r="K57" i="17"/>
  <c r="C57" i="17"/>
  <c r="C83" i="17" s="1"/>
  <c r="M56" i="17"/>
  <c r="K56" i="17"/>
  <c r="C56" i="17"/>
  <c r="C82" i="17" s="1"/>
  <c r="O54" i="17"/>
  <c r="O80" i="17" s="1"/>
  <c r="C54" i="17"/>
  <c r="C80" i="17" s="1"/>
  <c r="O53" i="17"/>
  <c r="O79" i="17" s="1"/>
  <c r="O52" i="17"/>
  <c r="O78" i="17" s="1"/>
  <c r="M52" i="17"/>
  <c r="M78" i="17" s="1"/>
  <c r="O51" i="17"/>
  <c r="O77" i="17" s="1"/>
  <c r="M51" i="17"/>
  <c r="M77" i="17" s="1"/>
  <c r="O50" i="17"/>
  <c r="O76" i="17" s="1"/>
  <c r="O49" i="17"/>
  <c r="O75" i="17" s="1"/>
  <c r="O48" i="17"/>
  <c r="O74" i="17" s="1"/>
  <c r="AR39" i="17"/>
  <c r="AP39" i="17"/>
  <c r="AH39" i="17"/>
  <c r="AD39" i="17"/>
  <c r="AC39" i="17"/>
  <c r="AQ39" i="17" s="1"/>
  <c r="AB39" i="17"/>
  <c r="Z39" i="17"/>
  <c r="AN39" i="17" s="1"/>
  <c r="Y39" i="17"/>
  <c r="AM39" i="17" s="1"/>
  <c r="X39" i="17"/>
  <c r="AL39" i="17" s="1"/>
  <c r="W39" i="17"/>
  <c r="AK39" i="17" s="1"/>
  <c r="V39" i="17"/>
  <c r="AJ39" i="17" s="1"/>
  <c r="U39" i="17"/>
  <c r="AI39" i="17" s="1"/>
  <c r="T39" i="17"/>
  <c r="C39" i="17"/>
  <c r="S39" i="17" s="1"/>
  <c r="AQ38" i="17"/>
  <c r="AI38" i="17"/>
  <c r="AC38" i="17"/>
  <c r="AB38" i="17"/>
  <c r="AP38" i="17" s="1"/>
  <c r="AA38" i="17"/>
  <c r="AO38" i="17" s="1"/>
  <c r="Z38" i="17"/>
  <c r="AN38" i="17" s="1"/>
  <c r="Y38" i="17"/>
  <c r="AM38" i="17" s="1"/>
  <c r="X38" i="17"/>
  <c r="AL38" i="17" s="1"/>
  <c r="W38" i="17"/>
  <c r="AK38" i="17" s="1"/>
  <c r="V38" i="17"/>
  <c r="AJ38" i="17" s="1"/>
  <c r="U38" i="17"/>
  <c r="T38" i="17"/>
  <c r="AH38" i="17" s="1"/>
  <c r="S38" i="17"/>
  <c r="AK37" i="17"/>
  <c r="AC37" i="17"/>
  <c r="AQ37" i="17" s="1"/>
  <c r="AB37" i="17"/>
  <c r="AP37" i="17" s="1"/>
  <c r="Z37" i="17"/>
  <c r="AN37" i="17" s="1"/>
  <c r="Y37" i="17"/>
  <c r="AM37" i="17" s="1"/>
  <c r="X37" i="17"/>
  <c r="AL37" i="17" s="1"/>
  <c r="W37" i="17"/>
  <c r="V37" i="17"/>
  <c r="AJ37" i="17" s="1"/>
  <c r="U37" i="17"/>
  <c r="AI37" i="17" s="1"/>
  <c r="T37" i="17"/>
  <c r="AH37" i="17" s="1"/>
  <c r="S37" i="17"/>
  <c r="AC36" i="17"/>
  <c r="AQ36" i="17" s="1"/>
  <c r="AB36" i="17"/>
  <c r="AP36" i="17" s="1"/>
  <c r="AA36" i="17"/>
  <c r="AO36" i="17" s="1"/>
  <c r="Z36" i="17"/>
  <c r="AN36" i="17" s="1"/>
  <c r="Y36" i="17"/>
  <c r="AM36" i="17" s="1"/>
  <c r="X36" i="17"/>
  <c r="AL36" i="17" s="1"/>
  <c r="W36" i="17"/>
  <c r="AK36" i="17" s="1"/>
  <c r="V36" i="17"/>
  <c r="AJ36" i="17" s="1"/>
  <c r="U36" i="17"/>
  <c r="AI36" i="17" s="1"/>
  <c r="T36" i="17"/>
  <c r="AH36" i="17" s="1"/>
  <c r="S36" i="17"/>
  <c r="AG36" i="17" s="1"/>
  <c r="AQ35" i="17"/>
  <c r="AO35" i="17"/>
  <c r="AK35" i="17"/>
  <c r="AI35" i="17"/>
  <c r="AC35" i="17"/>
  <c r="AB35" i="17"/>
  <c r="AP35" i="17" s="1"/>
  <c r="AA35" i="17"/>
  <c r="Z35" i="17"/>
  <c r="AN35" i="17" s="1"/>
  <c r="Y35" i="17"/>
  <c r="AM35" i="17" s="1"/>
  <c r="X35" i="17"/>
  <c r="AL35" i="17" s="1"/>
  <c r="W35" i="17"/>
  <c r="V35" i="17"/>
  <c r="AJ35" i="17" s="1"/>
  <c r="U35" i="17"/>
  <c r="T35" i="17"/>
  <c r="AH35" i="17" s="1"/>
  <c r="S35" i="17"/>
  <c r="AQ34" i="17"/>
  <c r="AI34" i="17"/>
  <c r="AC34" i="17"/>
  <c r="AB34" i="17"/>
  <c r="AP34" i="17" s="1"/>
  <c r="AA34" i="17"/>
  <c r="AO34" i="17" s="1"/>
  <c r="Z34" i="17"/>
  <c r="AN34" i="17" s="1"/>
  <c r="Y34" i="17"/>
  <c r="AM34" i="17" s="1"/>
  <c r="X34" i="17"/>
  <c r="AL34" i="17" s="1"/>
  <c r="W34" i="17"/>
  <c r="AK34" i="17" s="1"/>
  <c r="V34" i="17"/>
  <c r="AJ34" i="17" s="1"/>
  <c r="U34" i="17"/>
  <c r="T34" i="17"/>
  <c r="AH34" i="17" s="1"/>
  <c r="S34" i="17"/>
  <c r="AK33" i="17"/>
  <c r="AD33" i="17"/>
  <c r="AR33" i="17" s="1"/>
  <c r="AC33" i="17"/>
  <c r="AQ33" i="17" s="1"/>
  <c r="AB33" i="17"/>
  <c r="AP33" i="17" s="1"/>
  <c r="AA33" i="17"/>
  <c r="AO33" i="17" s="1"/>
  <c r="Z33" i="17"/>
  <c r="AN33" i="17" s="1"/>
  <c r="Y33" i="17"/>
  <c r="AM33" i="17" s="1"/>
  <c r="X33" i="17"/>
  <c r="AL33" i="17" s="1"/>
  <c r="W33" i="17"/>
  <c r="V33" i="17"/>
  <c r="AJ33" i="17" s="1"/>
  <c r="U33" i="17"/>
  <c r="AI33" i="17" s="1"/>
  <c r="T33" i="17"/>
  <c r="AH33" i="17" s="1"/>
  <c r="S33" i="17"/>
  <c r="AQ32" i="17"/>
  <c r="AO32" i="17"/>
  <c r="AI32" i="17"/>
  <c r="AC32" i="17"/>
  <c r="AA32" i="17"/>
  <c r="Y32" i="17"/>
  <c r="AM32" i="17" s="1"/>
  <c r="W32" i="17"/>
  <c r="AK32" i="17" s="1"/>
  <c r="U32" i="17"/>
  <c r="AQ31" i="17"/>
  <c r="AO31" i="17"/>
  <c r="AK31" i="17"/>
  <c r="AI31" i="17"/>
  <c r="AC31" i="17"/>
  <c r="AB31" i="17"/>
  <c r="AP31" i="17" s="1"/>
  <c r="AA31" i="17"/>
  <c r="Z31" i="17"/>
  <c r="AN31" i="17" s="1"/>
  <c r="Y31" i="17"/>
  <c r="AM31" i="17" s="1"/>
  <c r="X31" i="17"/>
  <c r="AL31" i="17" s="1"/>
  <c r="W31" i="17"/>
  <c r="V31" i="17"/>
  <c r="AJ31" i="17" s="1"/>
  <c r="U31" i="17"/>
  <c r="T31" i="17"/>
  <c r="AH31" i="17" s="1"/>
  <c r="M31" i="17"/>
  <c r="AP30" i="17"/>
  <c r="AL30" i="17"/>
  <c r="AH30" i="17"/>
  <c r="AD30" i="17"/>
  <c r="AR30" i="17" s="1"/>
  <c r="AC30" i="17"/>
  <c r="AQ30" i="17" s="1"/>
  <c r="AB30" i="17"/>
  <c r="AA30" i="17"/>
  <c r="AO30" i="17" s="1"/>
  <c r="Z30" i="17"/>
  <c r="AN30" i="17" s="1"/>
  <c r="Y30" i="17"/>
  <c r="AM30" i="17" s="1"/>
  <c r="X30" i="17"/>
  <c r="W30" i="17"/>
  <c r="AK30" i="17" s="1"/>
  <c r="V30" i="17"/>
  <c r="AJ30" i="17" s="1"/>
  <c r="U30" i="17"/>
  <c r="AI30" i="17" s="1"/>
  <c r="T30" i="17"/>
  <c r="S30" i="17"/>
  <c r="AG30" i="17" s="1"/>
  <c r="AR29" i="17"/>
  <c r="AP29" i="17"/>
  <c r="AL29" i="17"/>
  <c r="AJ29" i="17"/>
  <c r="AH29" i="17"/>
  <c r="AD29" i="17"/>
  <c r="AC29" i="17"/>
  <c r="AQ29" i="17" s="1"/>
  <c r="AB29" i="17"/>
  <c r="AA29" i="17"/>
  <c r="AO29" i="17" s="1"/>
  <c r="Z29" i="17"/>
  <c r="AN29" i="17" s="1"/>
  <c r="Y29" i="17"/>
  <c r="AM29" i="17" s="1"/>
  <c r="X29" i="17"/>
  <c r="W29" i="17"/>
  <c r="AK29" i="17" s="1"/>
  <c r="V29" i="17"/>
  <c r="U29" i="17"/>
  <c r="AI29" i="17" s="1"/>
  <c r="T29" i="17"/>
  <c r="S29" i="17"/>
  <c r="AG29" i="17" s="1"/>
  <c r="AP28" i="17"/>
  <c r="AL28" i="17"/>
  <c r="AH28" i="17"/>
  <c r="AD28" i="17"/>
  <c r="AR28" i="17" s="1"/>
  <c r="AC28" i="17"/>
  <c r="AQ28" i="17" s="1"/>
  <c r="AB28" i="17"/>
  <c r="AA28" i="17"/>
  <c r="AO28" i="17" s="1"/>
  <c r="Z28" i="17"/>
  <c r="AN28" i="17" s="1"/>
  <c r="Y28" i="17"/>
  <c r="AM28" i="17" s="1"/>
  <c r="X28" i="17"/>
  <c r="W28" i="17"/>
  <c r="AK28" i="17" s="1"/>
  <c r="V28" i="17"/>
  <c r="AJ28" i="17" s="1"/>
  <c r="U28" i="17"/>
  <c r="AI28" i="17" s="1"/>
  <c r="T28" i="17"/>
  <c r="S28" i="17"/>
  <c r="AG28" i="17" s="1"/>
  <c r="AR27" i="17"/>
  <c r="AP27" i="17"/>
  <c r="AL27" i="17"/>
  <c r="AJ27" i="17"/>
  <c r="AH27" i="17"/>
  <c r="AD27" i="17"/>
  <c r="AC27" i="17"/>
  <c r="AQ27" i="17" s="1"/>
  <c r="AB27" i="17"/>
  <c r="AA27" i="17"/>
  <c r="AO27" i="17" s="1"/>
  <c r="Z27" i="17"/>
  <c r="AN27" i="17" s="1"/>
  <c r="Y27" i="17"/>
  <c r="AM27" i="17" s="1"/>
  <c r="X27" i="17"/>
  <c r="W27" i="17"/>
  <c r="AK27" i="17" s="1"/>
  <c r="V27" i="17"/>
  <c r="U27" i="17"/>
  <c r="AI27" i="17" s="1"/>
  <c r="T27" i="17"/>
  <c r="S27" i="17"/>
  <c r="AG27" i="17" s="1"/>
  <c r="AP26" i="17"/>
  <c r="AL26" i="17"/>
  <c r="AH26" i="17"/>
  <c r="AD26" i="17"/>
  <c r="AR26" i="17" s="1"/>
  <c r="AC26" i="17"/>
  <c r="AQ26" i="17" s="1"/>
  <c r="AB26" i="17"/>
  <c r="AA26" i="17"/>
  <c r="AO26" i="17" s="1"/>
  <c r="Z26" i="17"/>
  <c r="AN26" i="17" s="1"/>
  <c r="Y26" i="17"/>
  <c r="AM26" i="17" s="1"/>
  <c r="X26" i="17"/>
  <c r="W26" i="17"/>
  <c r="AK26" i="17" s="1"/>
  <c r="V26" i="17"/>
  <c r="AJ26" i="17" s="1"/>
  <c r="U26" i="17"/>
  <c r="AI26" i="17" s="1"/>
  <c r="T26" i="17"/>
  <c r="S26" i="17"/>
  <c r="AG26" i="17" s="1"/>
  <c r="AR25" i="17"/>
  <c r="AP25" i="17"/>
  <c r="AL25" i="17"/>
  <c r="AJ25" i="17"/>
  <c r="AH25" i="17"/>
  <c r="AD25" i="17"/>
  <c r="AC25" i="17"/>
  <c r="AQ25" i="17" s="1"/>
  <c r="AB25" i="17"/>
  <c r="AA25" i="17"/>
  <c r="AO25" i="17" s="1"/>
  <c r="Z25" i="17"/>
  <c r="AN25" i="17" s="1"/>
  <c r="Y25" i="17"/>
  <c r="AM25" i="17" s="1"/>
  <c r="X25" i="17"/>
  <c r="W25" i="17"/>
  <c r="AK25" i="17" s="1"/>
  <c r="V25" i="17"/>
  <c r="U25" i="17"/>
  <c r="AI25" i="17" s="1"/>
  <c r="T25" i="17"/>
  <c r="S25" i="17"/>
  <c r="AG25" i="17" s="1"/>
  <c r="AP24" i="17"/>
  <c r="AL24" i="17"/>
  <c r="AH24" i="17"/>
  <c r="AD24" i="17"/>
  <c r="AR24" i="17" s="1"/>
  <c r="AC24" i="17"/>
  <c r="AQ24" i="17" s="1"/>
  <c r="AB24" i="17"/>
  <c r="AA24" i="17"/>
  <c r="AO24" i="17" s="1"/>
  <c r="Z24" i="17"/>
  <c r="AN24" i="17" s="1"/>
  <c r="Y24" i="17"/>
  <c r="AM24" i="17" s="1"/>
  <c r="X24" i="17"/>
  <c r="W24" i="17"/>
  <c r="AK24" i="17" s="1"/>
  <c r="V24" i="17"/>
  <c r="AJ24" i="17" s="1"/>
  <c r="U24" i="17"/>
  <c r="AI24" i="17" s="1"/>
  <c r="T24" i="17"/>
  <c r="S24" i="17"/>
  <c r="AG24" i="17" s="1"/>
  <c r="AR23" i="17"/>
  <c r="AP23" i="17"/>
  <c r="AL23" i="17"/>
  <c r="AJ23" i="17"/>
  <c r="AH23" i="17"/>
  <c r="AD23" i="17"/>
  <c r="AC23" i="17"/>
  <c r="AQ23" i="17" s="1"/>
  <c r="AB23" i="17"/>
  <c r="AA23" i="17"/>
  <c r="AO23" i="17" s="1"/>
  <c r="Z23" i="17"/>
  <c r="AN23" i="17" s="1"/>
  <c r="Y23" i="17"/>
  <c r="AM23" i="17" s="1"/>
  <c r="X23" i="17"/>
  <c r="W23" i="17"/>
  <c r="AK23" i="17" s="1"/>
  <c r="V23" i="17"/>
  <c r="U23" i="17"/>
  <c r="AI23" i="17" s="1"/>
  <c r="T23" i="17"/>
  <c r="S23" i="17"/>
  <c r="AG23" i="17" s="1"/>
  <c r="AP22" i="17"/>
  <c r="AO22" i="17"/>
  <c r="AK22" i="17"/>
  <c r="AH22" i="17"/>
  <c r="AD22" i="17"/>
  <c r="AR22" i="17" s="1"/>
  <c r="AC22" i="17"/>
  <c r="AQ22" i="17" s="1"/>
  <c r="AB22" i="17"/>
  <c r="AA22" i="17"/>
  <c r="Z22" i="17"/>
  <c r="AN22" i="17" s="1"/>
  <c r="Y22" i="17"/>
  <c r="AM22" i="17" s="1"/>
  <c r="X22" i="17"/>
  <c r="AL22" i="17" s="1"/>
  <c r="W22" i="17"/>
  <c r="V22" i="17"/>
  <c r="AJ22" i="17" s="1"/>
  <c r="U22" i="17"/>
  <c r="AI22" i="17" s="1"/>
  <c r="T22" i="17"/>
  <c r="S22" i="17"/>
  <c r="AG22" i="17" s="1"/>
  <c r="AR21" i="17"/>
  <c r="AP21" i="17"/>
  <c r="AO21" i="17"/>
  <c r="AL21" i="17"/>
  <c r="AJ21" i="17"/>
  <c r="AD21" i="17"/>
  <c r="AC21" i="17"/>
  <c r="AQ21" i="17" s="1"/>
  <c r="AB21" i="17"/>
  <c r="AA21" i="17"/>
  <c r="Z21" i="17"/>
  <c r="AN21" i="17" s="1"/>
  <c r="Y21" i="17"/>
  <c r="AM21" i="17" s="1"/>
  <c r="X21" i="17"/>
  <c r="W21" i="17"/>
  <c r="AK21" i="17" s="1"/>
  <c r="V21" i="17"/>
  <c r="U21" i="17"/>
  <c r="AI21" i="17" s="1"/>
  <c r="T21" i="17"/>
  <c r="AH21" i="17" s="1"/>
  <c r="S21" i="17"/>
  <c r="AG21" i="17" s="1"/>
  <c r="AP20" i="17"/>
  <c r="AN20" i="17"/>
  <c r="AK20" i="17"/>
  <c r="AD20" i="17"/>
  <c r="AR20" i="17" s="1"/>
  <c r="AC20" i="17"/>
  <c r="AQ20" i="17" s="1"/>
  <c r="AB20" i="17"/>
  <c r="AA20" i="17"/>
  <c r="AO20" i="17" s="1"/>
  <c r="Z20" i="17"/>
  <c r="Y20" i="17"/>
  <c r="AM20" i="17" s="1"/>
  <c r="X20" i="17"/>
  <c r="AL20" i="17" s="1"/>
  <c r="W20" i="17"/>
  <c r="V20" i="17"/>
  <c r="AJ20" i="17" s="1"/>
  <c r="U20" i="17"/>
  <c r="AI20" i="17" s="1"/>
  <c r="T20" i="17"/>
  <c r="AH20" i="17" s="1"/>
  <c r="S20" i="17"/>
  <c r="AG20" i="17" s="1"/>
  <c r="AR19" i="17"/>
  <c r="AO19" i="17"/>
  <c r="AG19" i="17"/>
  <c r="AD19" i="17"/>
  <c r="AB19" i="17"/>
  <c r="AP19" i="17" s="1"/>
  <c r="AA19" i="17"/>
  <c r="Z19" i="17"/>
  <c r="AN19" i="17" s="1"/>
  <c r="Y19" i="17"/>
  <c r="AM19" i="17" s="1"/>
  <c r="X19" i="17"/>
  <c r="AL19" i="17" s="1"/>
  <c r="W19" i="17"/>
  <c r="AK19" i="17" s="1"/>
  <c r="V19" i="17"/>
  <c r="AJ19" i="17" s="1"/>
  <c r="U19" i="17"/>
  <c r="AI19" i="17" s="1"/>
  <c r="T19" i="17"/>
  <c r="AH19" i="17" s="1"/>
  <c r="S19" i="17"/>
  <c r="M19" i="17"/>
  <c r="AC19" i="17" s="1"/>
  <c r="AQ19" i="17" s="1"/>
  <c r="C19" i="17"/>
  <c r="AM18" i="17"/>
  <c r="AJ18" i="17"/>
  <c r="AD18" i="17"/>
  <c r="AR18" i="17" s="1"/>
  <c r="AB18" i="17"/>
  <c r="AP18" i="17" s="1"/>
  <c r="AA18" i="17"/>
  <c r="AO18" i="17" s="1"/>
  <c r="Z18" i="17"/>
  <c r="AN18" i="17" s="1"/>
  <c r="Y18" i="17"/>
  <c r="X18" i="17"/>
  <c r="AL18" i="17" s="1"/>
  <c r="W18" i="17"/>
  <c r="AK18" i="17" s="1"/>
  <c r="V18" i="17"/>
  <c r="U18" i="17"/>
  <c r="AI18" i="17" s="1"/>
  <c r="T18" i="17"/>
  <c r="AH18" i="17" s="1"/>
  <c r="S18" i="17"/>
  <c r="AG18" i="17" s="1"/>
  <c r="M18" i="17"/>
  <c r="AC18" i="17" s="1"/>
  <c r="AQ18" i="17" s="1"/>
  <c r="C18" i="17"/>
  <c r="AR17" i="17"/>
  <c r="AN17" i="17"/>
  <c r="AM17" i="17"/>
  <c r="AI17" i="17"/>
  <c r="AH17" i="17"/>
  <c r="AD17" i="17"/>
  <c r="AB17" i="17"/>
  <c r="AP17" i="17" s="1"/>
  <c r="AA17" i="17"/>
  <c r="AO17" i="17" s="1"/>
  <c r="Z17" i="17"/>
  <c r="Y17" i="17"/>
  <c r="X17" i="17"/>
  <c r="AL17" i="17" s="1"/>
  <c r="W17" i="17"/>
  <c r="AK17" i="17" s="1"/>
  <c r="V17" i="17"/>
  <c r="AJ17" i="17" s="1"/>
  <c r="U17" i="17"/>
  <c r="T17" i="17"/>
  <c r="M17" i="17"/>
  <c r="AC17" i="17" s="1"/>
  <c r="AQ17" i="17" s="1"/>
  <c r="C17" i="17"/>
  <c r="S17" i="17" s="1"/>
  <c r="AG17" i="17" s="1"/>
  <c r="AO16" i="17"/>
  <c r="AN16" i="17"/>
  <c r="AK16" i="17"/>
  <c r="AJ16" i="17"/>
  <c r="AD16" i="17"/>
  <c r="AR16" i="17" s="1"/>
  <c r="AB16" i="17"/>
  <c r="AP16" i="17" s="1"/>
  <c r="AA16" i="17"/>
  <c r="Z16" i="17"/>
  <c r="Y16" i="17"/>
  <c r="AM16" i="17" s="1"/>
  <c r="X16" i="17"/>
  <c r="AL16" i="17" s="1"/>
  <c r="W16" i="17"/>
  <c r="V16" i="17"/>
  <c r="U16" i="17"/>
  <c r="AI16" i="17" s="1"/>
  <c r="T16" i="17"/>
  <c r="AH16" i="17" s="1"/>
  <c r="S16" i="17"/>
  <c r="AG16" i="17" s="1"/>
  <c r="M16" i="17"/>
  <c r="AC16" i="17" s="1"/>
  <c r="AQ16" i="17" s="1"/>
  <c r="C16" i="17"/>
  <c r="AN15" i="17"/>
  <c r="AM15" i="17"/>
  <c r="AI15" i="17"/>
  <c r="AH15" i="17"/>
  <c r="AB15" i="17"/>
  <c r="AP15" i="17" s="1"/>
  <c r="AA15" i="17"/>
  <c r="AO15" i="17" s="1"/>
  <c r="Z15" i="17"/>
  <c r="Y15" i="17"/>
  <c r="X15" i="17"/>
  <c r="AL15" i="17" s="1"/>
  <c r="W15" i="17"/>
  <c r="AK15" i="17" s="1"/>
  <c r="V15" i="17"/>
  <c r="AJ15" i="17" s="1"/>
  <c r="U15" i="17"/>
  <c r="T15" i="17"/>
  <c r="S15" i="17"/>
  <c r="AG15" i="17" s="1"/>
  <c r="M15" i="17"/>
  <c r="AC15" i="17" s="1"/>
  <c r="AQ15" i="17" s="1"/>
  <c r="AO14" i="17"/>
  <c r="AK14" i="17"/>
  <c r="AJ14" i="17"/>
  <c r="AD14" i="17"/>
  <c r="AR14" i="17" s="1"/>
  <c r="AC14" i="17"/>
  <c r="AQ14" i="17" s="1"/>
  <c r="AB14" i="17"/>
  <c r="AP14" i="17" s="1"/>
  <c r="AA14" i="17"/>
  <c r="Z14" i="17"/>
  <c r="AN14" i="17" s="1"/>
  <c r="Y14" i="17"/>
  <c r="AM14" i="17" s="1"/>
  <c r="X14" i="17"/>
  <c r="AL14" i="17" s="1"/>
  <c r="W14" i="17"/>
  <c r="V14" i="17"/>
  <c r="U14" i="17"/>
  <c r="AI14" i="17" s="1"/>
  <c r="T14" i="17"/>
  <c r="AH14" i="17" s="1"/>
  <c r="C14" i="17"/>
  <c r="S14" i="17" s="1"/>
  <c r="AG14" i="17" s="1"/>
  <c r="AN13" i="17"/>
  <c r="AL13" i="17"/>
  <c r="AC13" i="17"/>
  <c r="AQ13" i="17" s="1"/>
  <c r="AB13" i="17"/>
  <c r="AP13" i="17" s="1"/>
  <c r="AA13" i="17"/>
  <c r="AO13" i="17" s="1"/>
  <c r="Z13" i="17"/>
  <c r="Y13" i="17"/>
  <c r="AM13" i="17" s="1"/>
  <c r="X13" i="17"/>
  <c r="W13" i="17"/>
  <c r="AK13" i="17" s="1"/>
  <c r="V13" i="17"/>
  <c r="AJ13" i="17" s="1"/>
  <c r="U13" i="17"/>
  <c r="AI13" i="17" s="1"/>
  <c r="T13" i="17"/>
  <c r="AH13" i="17" s="1"/>
  <c r="S13" i="17"/>
  <c r="AG13" i="17" s="1"/>
  <c r="AN12" i="17"/>
  <c r="AJ12" i="17"/>
  <c r="AH12" i="17"/>
  <c r="AB12" i="17"/>
  <c r="AP12" i="17" s="1"/>
  <c r="AA12" i="17"/>
  <c r="AO12" i="17" s="1"/>
  <c r="Z12" i="17"/>
  <c r="Y12" i="17"/>
  <c r="AM12" i="17" s="1"/>
  <c r="X12" i="17"/>
  <c r="AL12" i="17" s="1"/>
  <c r="W12" i="17"/>
  <c r="AK12" i="17" s="1"/>
  <c r="V12" i="17"/>
  <c r="U12" i="17"/>
  <c r="AI12" i="17" s="1"/>
  <c r="T12" i="17"/>
  <c r="S12" i="17"/>
  <c r="AG12" i="17" s="1"/>
  <c r="M12" i="17"/>
  <c r="AC12" i="17" s="1"/>
  <c r="AQ12" i="17" s="1"/>
  <c r="C12" i="17"/>
  <c r="AQ11" i="17"/>
  <c r="AP11" i="17"/>
  <c r="AM11" i="17"/>
  <c r="AL11" i="17"/>
  <c r="AH11" i="17"/>
  <c r="AD11" i="17"/>
  <c r="AR11" i="17" s="1"/>
  <c r="AC11" i="17"/>
  <c r="AB11" i="17"/>
  <c r="AA11" i="17"/>
  <c r="AO11" i="17" s="1"/>
  <c r="Z11" i="17"/>
  <c r="AN11" i="17" s="1"/>
  <c r="Y11" i="17"/>
  <c r="X11" i="17"/>
  <c r="W11" i="17"/>
  <c r="AK11" i="17" s="1"/>
  <c r="V11" i="17"/>
  <c r="AJ11" i="17" s="1"/>
  <c r="U11" i="17"/>
  <c r="AI11" i="17" s="1"/>
  <c r="T11" i="17"/>
  <c r="S11" i="17"/>
  <c r="AG11" i="17" s="1"/>
  <c r="AQ10" i="17"/>
  <c r="AN10" i="17"/>
  <c r="AM10" i="17"/>
  <c r="AI10" i="17"/>
  <c r="AH10" i="17"/>
  <c r="AC10" i="17"/>
  <c r="AB10" i="17"/>
  <c r="AP10" i="17" s="1"/>
  <c r="AA10" i="17"/>
  <c r="AO10" i="17" s="1"/>
  <c r="Z10" i="17"/>
  <c r="Y10" i="17"/>
  <c r="X10" i="17"/>
  <c r="AL10" i="17" s="1"/>
  <c r="W10" i="17"/>
  <c r="AK10" i="17" s="1"/>
  <c r="V10" i="17"/>
  <c r="AJ10" i="17" s="1"/>
  <c r="U10" i="17"/>
  <c r="T10" i="17"/>
  <c r="S10" i="17"/>
  <c r="AG10" i="17" s="1"/>
  <c r="AN9" i="17"/>
  <c r="AJ9" i="17"/>
  <c r="AI9" i="17"/>
  <c r="AC9" i="17"/>
  <c r="AQ9" i="17" s="1"/>
  <c r="AB9" i="17"/>
  <c r="AP9" i="17" s="1"/>
  <c r="AA9" i="17"/>
  <c r="AO9" i="17" s="1"/>
  <c r="Z9" i="17"/>
  <c r="Y9" i="17"/>
  <c r="AM9" i="17" s="1"/>
  <c r="X9" i="17"/>
  <c r="AL9" i="17" s="1"/>
  <c r="W9" i="17"/>
  <c r="AK9" i="17" s="1"/>
  <c r="V9" i="17"/>
  <c r="U9" i="17"/>
  <c r="T9" i="17"/>
  <c r="AH9" i="17" s="1"/>
  <c r="S9" i="17"/>
  <c r="AG9" i="17" s="1"/>
  <c r="AP8" i="17"/>
  <c r="AL8" i="17"/>
  <c r="AJ8" i="17"/>
  <c r="AC8" i="17"/>
  <c r="AQ8" i="17" s="1"/>
  <c r="AB8" i="17"/>
  <c r="AA8" i="17"/>
  <c r="AO8" i="17" s="1"/>
  <c r="Z8" i="17"/>
  <c r="AN8" i="17" s="1"/>
  <c r="Y8" i="17"/>
  <c r="AM8" i="17" s="1"/>
  <c r="X8" i="17"/>
  <c r="W8" i="17"/>
  <c r="AK8" i="17" s="1"/>
  <c r="V8" i="17"/>
  <c r="U8" i="17"/>
  <c r="AI8" i="17" s="1"/>
  <c r="T8" i="17"/>
  <c r="AH8" i="17" s="1"/>
  <c r="S8" i="17"/>
  <c r="AG8" i="17" s="1"/>
  <c r="AQ7" i="17"/>
  <c r="AP7" i="17"/>
  <c r="AM7" i="17"/>
  <c r="AL7" i="17"/>
  <c r="AH7" i="17"/>
  <c r="AD7" i="17"/>
  <c r="AR7" i="17" s="1"/>
  <c r="AC7" i="17"/>
  <c r="AB7" i="17"/>
  <c r="AA7" i="17"/>
  <c r="AO7" i="17" s="1"/>
  <c r="Z7" i="17"/>
  <c r="AN7" i="17" s="1"/>
  <c r="Y7" i="17"/>
  <c r="X7" i="17"/>
  <c r="W7" i="17"/>
  <c r="AK7" i="17" s="1"/>
  <c r="V7" i="17"/>
  <c r="AJ7" i="17" s="1"/>
  <c r="U7" i="17"/>
  <c r="AI7" i="17" s="1"/>
  <c r="T7" i="17"/>
  <c r="S7" i="17"/>
  <c r="AG7" i="17" s="1"/>
  <c r="AQ6" i="17"/>
  <c r="AN6" i="17"/>
  <c r="AM6" i="17"/>
  <c r="AI6" i="17"/>
  <c r="AH6" i="17"/>
  <c r="AC6" i="17"/>
  <c r="AB6" i="17"/>
  <c r="AP6" i="17" s="1"/>
  <c r="AA6" i="17"/>
  <c r="AO6" i="17" s="1"/>
  <c r="Z6" i="17"/>
  <c r="Y6" i="17"/>
  <c r="X6" i="17"/>
  <c r="AL6" i="17" s="1"/>
  <c r="W6" i="17"/>
  <c r="AK6" i="17" s="1"/>
  <c r="V6" i="17"/>
  <c r="AJ6" i="17" s="1"/>
  <c r="U6" i="17"/>
  <c r="T6" i="17"/>
  <c r="S6" i="17"/>
  <c r="AG6" i="17" s="1"/>
  <c r="AN5" i="17"/>
  <c r="AJ5" i="17"/>
  <c r="AI5" i="17"/>
  <c r="AC5" i="17"/>
  <c r="AQ5" i="17" s="1"/>
  <c r="AB5" i="17"/>
  <c r="AP5" i="17" s="1"/>
  <c r="AA5" i="17"/>
  <c r="AO5" i="17" s="1"/>
  <c r="Z5" i="17"/>
  <c r="Y5" i="17"/>
  <c r="AM5" i="17" s="1"/>
  <c r="X5" i="17"/>
  <c r="AL5" i="17" s="1"/>
  <c r="W5" i="17"/>
  <c r="AK5" i="17" s="1"/>
  <c r="V5" i="17"/>
  <c r="U5" i="17"/>
  <c r="T5" i="17"/>
  <c r="AH5" i="17" s="1"/>
  <c r="S5" i="17"/>
  <c r="AG5" i="17" s="1"/>
  <c r="AP4" i="17"/>
  <c r="AL4" i="17"/>
  <c r="AJ4" i="17"/>
  <c r="AC4" i="17"/>
  <c r="AQ4" i="17" s="1"/>
  <c r="AB4" i="17"/>
  <c r="AA4" i="17"/>
  <c r="AO4" i="17" s="1"/>
  <c r="Z4" i="17"/>
  <c r="AN4" i="17" s="1"/>
  <c r="Y4" i="17"/>
  <c r="AM4" i="17" s="1"/>
  <c r="X4" i="17"/>
  <c r="W4" i="17"/>
  <c r="AK4" i="17" s="1"/>
  <c r="V4" i="17"/>
  <c r="U4" i="17"/>
  <c r="AI4" i="17" s="1"/>
  <c r="T4" i="17"/>
  <c r="AH4" i="17" s="1"/>
  <c r="S4" i="17"/>
  <c r="AG4" i="17" s="1"/>
  <c r="AQ3" i="17"/>
  <c r="AM3" i="17"/>
  <c r="AL3" i="17"/>
  <c r="AC3" i="17"/>
  <c r="AB3" i="17"/>
  <c r="AP3" i="17" s="1"/>
  <c r="AA3" i="17"/>
  <c r="AO3" i="17" s="1"/>
  <c r="Z3" i="17"/>
  <c r="AN3" i="17" s="1"/>
  <c r="Y3" i="17"/>
  <c r="X3" i="17"/>
  <c r="W3" i="17"/>
  <c r="AK3" i="17" s="1"/>
  <c r="V3" i="17"/>
  <c r="AJ3" i="17" s="1"/>
  <c r="U3" i="17"/>
  <c r="AI3" i="17" s="1"/>
  <c r="T3" i="17"/>
  <c r="AH3" i="17" s="1"/>
  <c r="S3" i="17"/>
  <c r="AG3" i="17" s="1"/>
  <c r="AG37" i="17" l="1"/>
  <c r="S32" i="17"/>
  <c r="AG32" i="17" s="1"/>
  <c r="S31" i="17"/>
  <c r="AG31" i="17" s="1"/>
  <c r="AD3" i="17"/>
  <c r="AR3" i="17" s="1"/>
  <c r="AD6" i="17"/>
  <c r="AR6" i="17" s="1"/>
  <c r="AD10" i="17"/>
  <c r="AR10" i="17" s="1"/>
  <c r="AD13" i="17"/>
  <c r="AR13" i="17" s="1"/>
  <c r="AD15" i="17"/>
  <c r="AR15" i="17" s="1"/>
  <c r="AG34" i="17"/>
  <c r="AG35" i="17"/>
  <c r="AG38" i="17"/>
  <c r="AD4" i="17"/>
  <c r="AR4" i="17" s="1"/>
  <c r="AD8" i="17"/>
  <c r="AR8" i="17" s="1"/>
  <c r="AG33" i="17"/>
  <c r="AA37" i="17"/>
  <c r="AO37" i="17" s="1"/>
  <c r="AG39" i="17"/>
  <c r="M83" i="17"/>
  <c r="AD31" i="17"/>
  <c r="AR31" i="17" s="1"/>
  <c r="AD32" i="17"/>
  <c r="AR32" i="17" s="1"/>
  <c r="AD34" i="17"/>
  <c r="AR34" i="17" s="1"/>
  <c r="AD35" i="17"/>
  <c r="AR35" i="17" s="1"/>
  <c r="AD36" i="17"/>
  <c r="AR36" i="17" s="1"/>
  <c r="AD37" i="17"/>
  <c r="AR37" i="17" s="1"/>
  <c r="F87" i="12" l="1"/>
  <c r="G87" i="12"/>
  <c r="H87" i="12"/>
  <c r="I87" i="12"/>
  <c r="J87" i="12"/>
  <c r="K87" i="12"/>
  <c r="L87" i="12"/>
  <c r="M87" i="12"/>
  <c r="N87" i="12"/>
  <c r="O87" i="12"/>
  <c r="P87" i="12"/>
  <c r="E87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P71" i="12"/>
  <c r="N71" i="12"/>
  <c r="M71" i="12"/>
  <c r="L71" i="12"/>
  <c r="K71" i="12"/>
  <c r="J71" i="12"/>
  <c r="H71" i="12"/>
  <c r="G71" i="12"/>
  <c r="F71" i="12"/>
  <c r="E71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AJ71" i="12" l="1"/>
  <c r="AK71" i="12"/>
  <c r="AL71" i="12"/>
  <c r="AM71" i="12"/>
  <c r="AN71" i="12"/>
  <c r="AO71" i="12"/>
  <c r="AP71" i="12"/>
  <c r="AQ71" i="12"/>
  <c r="AR71" i="12"/>
  <c r="AS71" i="12"/>
  <c r="AT71" i="12"/>
  <c r="AJ72" i="12"/>
  <c r="AK72" i="12"/>
  <c r="AL72" i="12"/>
  <c r="AM72" i="12"/>
  <c r="AN72" i="12"/>
  <c r="AO72" i="12"/>
  <c r="AP72" i="12"/>
  <c r="AQ72" i="12"/>
  <c r="AR72" i="12"/>
  <c r="AS72" i="12"/>
  <c r="AT72" i="12"/>
  <c r="AJ73" i="12"/>
  <c r="AK73" i="12"/>
  <c r="AL73" i="12"/>
  <c r="AM73" i="12"/>
  <c r="AN73" i="12"/>
  <c r="AO73" i="12"/>
  <c r="AP73" i="12"/>
  <c r="AQ73" i="12"/>
  <c r="AR73" i="12"/>
  <c r="AS73" i="12"/>
  <c r="AT73" i="12"/>
  <c r="AI72" i="12"/>
  <c r="AI73" i="12"/>
  <c r="AI71" i="12"/>
  <c r="AM68" i="12"/>
  <c r="AR69" i="12"/>
  <c r="AJ67" i="12"/>
  <c r="AL67" i="12"/>
  <c r="AN67" i="12"/>
  <c r="AP67" i="12"/>
  <c r="AR67" i="12"/>
  <c r="AT67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U73" i="12"/>
  <c r="V73" i="12"/>
  <c r="W73" i="12"/>
  <c r="X73" i="12"/>
  <c r="Y73" i="12"/>
  <c r="Z73" i="12"/>
  <c r="AA73" i="12"/>
  <c r="AB73" i="12"/>
  <c r="AC73" i="12"/>
  <c r="AD73" i="12"/>
  <c r="AE73" i="12"/>
  <c r="T73" i="12"/>
  <c r="AD57" i="12"/>
  <c r="AQ68" i="12" l="1"/>
  <c r="AN69" i="12"/>
  <c r="AJ69" i="12"/>
  <c r="AI68" i="12"/>
  <c r="AI67" i="12"/>
  <c r="AQ67" i="12"/>
  <c r="AM67" i="12"/>
  <c r="AO69" i="12"/>
  <c r="AO68" i="12"/>
  <c r="AS67" i="12"/>
  <c r="AO67" i="12"/>
  <c r="AK67" i="12"/>
  <c r="AR68" i="12"/>
  <c r="AN68" i="12"/>
  <c r="AJ68" i="12"/>
  <c r="AS69" i="12"/>
  <c r="AK69" i="12"/>
  <c r="AS68" i="12"/>
  <c r="AK68" i="12"/>
  <c r="AQ69" i="12"/>
  <c r="AM69" i="12"/>
  <c r="AI69" i="12"/>
  <c r="AT69" i="12"/>
  <c r="AP69" i="12"/>
  <c r="AL69" i="12"/>
  <c r="AT68" i="12"/>
  <c r="AP68" i="12"/>
  <c r="AL68" i="12"/>
  <c r="T7" i="12" l="1"/>
  <c r="U7" i="12"/>
  <c r="V7" i="12"/>
  <c r="W7" i="12"/>
  <c r="X7" i="12"/>
  <c r="Y7" i="12"/>
  <c r="Z7" i="12"/>
  <c r="AA7" i="12"/>
  <c r="AB7" i="12"/>
  <c r="AC7" i="12"/>
  <c r="AD7" i="12"/>
  <c r="AE7" i="12"/>
  <c r="T8" i="12"/>
  <c r="U8" i="12"/>
  <c r="V8" i="12"/>
  <c r="W8" i="12"/>
  <c r="X8" i="12"/>
  <c r="Y8" i="12"/>
  <c r="Z8" i="12"/>
  <c r="AA8" i="12"/>
  <c r="AB8" i="12"/>
  <c r="AC8" i="12"/>
  <c r="AD8" i="12"/>
  <c r="AE8" i="12"/>
  <c r="T9" i="12"/>
  <c r="U9" i="12"/>
  <c r="V9" i="12"/>
  <c r="W9" i="12"/>
  <c r="X9" i="12"/>
  <c r="Y9" i="12"/>
  <c r="Z9" i="12"/>
  <c r="AA9" i="12"/>
  <c r="AB9" i="12"/>
  <c r="AC9" i="12"/>
  <c r="AD9" i="12"/>
  <c r="AE9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T57" i="12"/>
  <c r="U57" i="12"/>
  <c r="V57" i="12"/>
  <c r="W57" i="12"/>
  <c r="X57" i="12"/>
  <c r="Y57" i="12"/>
  <c r="Z57" i="12"/>
  <c r="AA57" i="12"/>
  <c r="AB57" i="12"/>
  <c r="AC57" i="12"/>
  <c r="AE57" i="12"/>
  <c r="T58" i="12"/>
  <c r="U58" i="12"/>
  <c r="V58" i="12"/>
  <c r="W58" i="12"/>
  <c r="Y58" i="12"/>
  <c r="Z58" i="12"/>
  <c r="AA58" i="12"/>
  <c r="AB58" i="12"/>
  <c r="AC58" i="12"/>
  <c r="AE58" i="12"/>
  <c r="T59" i="12"/>
  <c r="U59" i="12"/>
  <c r="V59" i="12"/>
  <c r="W59" i="12"/>
  <c r="Y59" i="12"/>
  <c r="Z59" i="12"/>
  <c r="AA59" i="12"/>
  <c r="AB59" i="12"/>
  <c r="AC59" i="12"/>
  <c r="AE59" i="12"/>
  <c r="T60" i="12"/>
  <c r="U60" i="12"/>
  <c r="V60" i="12"/>
  <c r="W60" i="12"/>
  <c r="Y60" i="12"/>
  <c r="Z60" i="12"/>
  <c r="AA60" i="12"/>
  <c r="AB60" i="12"/>
  <c r="AC60" i="12"/>
  <c r="AE60" i="12"/>
  <c r="T61" i="12"/>
  <c r="U61" i="12"/>
  <c r="V61" i="12"/>
  <c r="W61" i="12"/>
  <c r="Y61" i="12"/>
  <c r="Z61" i="12"/>
  <c r="AA61" i="12"/>
  <c r="AB61" i="12"/>
  <c r="AC61" i="12"/>
  <c r="AE61" i="12"/>
  <c r="T62" i="12"/>
  <c r="U62" i="12"/>
  <c r="V62" i="12"/>
  <c r="W62" i="12"/>
  <c r="Y62" i="12"/>
  <c r="Z62" i="12"/>
  <c r="AA62" i="12"/>
  <c r="AB62" i="12"/>
  <c r="AC62" i="12"/>
  <c r="AE62" i="12"/>
  <c r="T63" i="12"/>
  <c r="U63" i="12"/>
  <c r="V63" i="12"/>
  <c r="W63" i="12"/>
  <c r="Y63" i="12"/>
  <c r="Z63" i="12"/>
  <c r="AA63" i="12"/>
  <c r="AB63" i="12"/>
  <c r="AC63" i="12"/>
  <c r="AE63" i="12"/>
  <c r="T64" i="12"/>
  <c r="U64" i="12"/>
  <c r="V64" i="12"/>
  <c r="W64" i="12"/>
  <c r="Y64" i="12"/>
  <c r="Z64" i="12"/>
  <c r="AA64" i="12"/>
  <c r="AB64" i="12"/>
  <c r="AC64" i="12"/>
  <c r="AE64" i="12"/>
  <c r="T65" i="12"/>
  <c r="U65" i="12"/>
  <c r="V65" i="12"/>
  <c r="W65" i="12"/>
  <c r="Y65" i="12"/>
  <c r="Z65" i="12"/>
  <c r="AA65" i="12"/>
  <c r="AB65" i="12"/>
  <c r="AC65" i="12"/>
  <c r="AE65" i="12"/>
  <c r="T66" i="12"/>
  <c r="U66" i="12"/>
  <c r="V66" i="12"/>
  <c r="W66" i="12"/>
  <c r="Y66" i="12"/>
  <c r="Z66" i="12"/>
  <c r="AA66" i="12"/>
  <c r="AB66" i="12"/>
  <c r="AC66" i="12"/>
  <c r="AE66" i="12"/>
  <c r="U6" i="12"/>
  <c r="U67" i="12" s="1"/>
  <c r="V6" i="12"/>
  <c r="V67" i="12" s="1"/>
  <c r="W6" i="12"/>
  <c r="W67" i="12" s="1"/>
  <c r="X6" i="12"/>
  <c r="X67" i="12" s="1"/>
  <c r="Y6" i="12"/>
  <c r="Y67" i="12" s="1"/>
  <c r="Z6" i="12"/>
  <c r="Z67" i="12" s="1"/>
  <c r="AA6" i="12"/>
  <c r="AA67" i="12" s="1"/>
  <c r="AB6" i="12"/>
  <c r="AB67" i="12" s="1"/>
  <c r="AC6" i="12"/>
  <c r="AC67" i="12" s="1"/>
  <c r="AD6" i="12"/>
  <c r="AD67" i="12" s="1"/>
  <c r="AE6" i="12"/>
  <c r="AE67" i="12" s="1"/>
  <c r="T6" i="12"/>
  <c r="T67" i="12" s="1"/>
  <c r="I81" i="12"/>
  <c r="X58" i="12" s="1"/>
  <c r="O81" i="12"/>
  <c r="AD58" i="12" s="1"/>
  <c r="AC71" i="12" l="1"/>
  <c r="Y71" i="12"/>
  <c r="U71" i="12"/>
  <c r="AC70" i="12"/>
  <c r="Y70" i="12"/>
  <c r="U70" i="12"/>
  <c r="AC69" i="12"/>
  <c r="Y69" i="12"/>
  <c r="U69" i="12"/>
  <c r="AC68" i="12"/>
  <c r="Y68" i="12"/>
  <c r="U68" i="12"/>
  <c r="AB71" i="12"/>
  <c r="T71" i="12"/>
  <c r="AB70" i="12"/>
  <c r="X70" i="12"/>
  <c r="T70" i="12"/>
  <c r="AB69" i="12"/>
  <c r="X69" i="12"/>
  <c r="T69" i="12"/>
  <c r="AB68" i="12"/>
  <c r="X68" i="12"/>
  <c r="T68" i="12"/>
  <c r="AE71" i="12"/>
  <c r="AA71" i="12"/>
  <c r="W71" i="12"/>
  <c r="AE70" i="12"/>
  <c r="AA70" i="12"/>
  <c r="W70" i="12"/>
  <c r="AE69" i="12"/>
  <c r="AA69" i="12"/>
  <c r="W69" i="12"/>
  <c r="AE68" i="12"/>
  <c r="AA68" i="12"/>
  <c r="W68" i="12"/>
  <c r="Z71" i="12"/>
  <c r="V71" i="12"/>
  <c r="AD70" i="12"/>
  <c r="Z70" i="12"/>
  <c r="V70" i="12"/>
  <c r="AD69" i="12"/>
  <c r="Z69" i="12"/>
  <c r="V69" i="12"/>
  <c r="AD68" i="12"/>
  <c r="Z68" i="12"/>
  <c r="V68" i="12"/>
  <c r="AD66" i="12"/>
  <c r="AD65" i="12"/>
  <c r="AD64" i="12"/>
  <c r="AD63" i="12"/>
  <c r="AD62" i="12"/>
  <c r="AD61" i="12"/>
  <c r="AD60" i="12"/>
  <c r="AD59" i="12"/>
  <c r="X66" i="12"/>
  <c r="X65" i="12"/>
  <c r="X64" i="12"/>
  <c r="X63" i="12"/>
  <c r="X62" i="12"/>
  <c r="X61" i="12"/>
  <c r="X60" i="12"/>
  <c r="X59" i="12"/>
  <c r="P13" i="15" l="1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" i="15"/>
  <c r="P7" i="15"/>
  <c r="P8" i="15"/>
  <c r="P9" i="15"/>
  <c r="P10" i="15"/>
  <c r="P11" i="15"/>
  <c r="P12" i="15"/>
  <c r="P5" i="15"/>
  <c r="N19" i="16" l="1"/>
  <c r="R19" i="16"/>
  <c r="V19" i="16"/>
  <c r="M17" i="16"/>
  <c r="N17" i="16"/>
  <c r="O17" i="16"/>
  <c r="P17" i="16"/>
  <c r="Q17" i="16"/>
  <c r="R17" i="16"/>
  <c r="S17" i="16"/>
  <c r="T17" i="16"/>
  <c r="U17" i="16"/>
  <c r="V17" i="16"/>
  <c r="M18" i="16"/>
  <c r="M19" i="16" s="1"/>
  <c r="N18" i="16"/>
  <c r="O18" i="16"/>
  <c r="O19" i="16" s="1"/>
  <c r="P18" i="16"/>
  <c r="P19" i="16" s="1"/>
  <c r="Q18" i="16"/>
  <c r="Q19" i="16" s="1"/>
  <c r="R18" i="16"/>
  <c r="S18" i="16"/>
  <c r="S19" i="16" s="1"/>
  <c r="T18" i="16"/>
  <c r="T19" i="16" s="1"/>
  <c r="U18" i="16"/>
  <c r="U19" i="16" s="1"/>
  <c r="V18" i="16"/>
  <c r="L18" i="16"/>
  <c r="L19" i="16" s="1"/>
  <c r="L17" i="16"/>
  <c r="C6" i="15" l="1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5" i="15"/>
  <c r="CF6" i="15" l="1"/>
  <c r="CG6" i="15"/>
  <c r="CF7" i="15"/>
  <c r="CG7" i="15"/>
  <c r="CF8" i="15"/>
  <c r="CG8" i="15"/>
  <c r="CF9" i="15"/>
  <c r="CG9" i="15"/>
  <c r="CF10" i="15"/>
  <c r="CG10" i="15"/>
  <c r="CF11" i="15"/>
  <c r="CG11" i="15"/>
  <c r="CF12" i="15"/>
  <c r="CG12" i="15"/>
  <c r="CF13" i="15"/>
  <c r="CG13" i="15"/>
  <c r="CF14" i="15"/>
  <c r="CG14" i="15"/>
  <c r="CF15" i="15"/>
  <c r="CG15" i="15"/>
  <c r="CF16" i="15"/>
  <c r="CG16" i="15"/>
  <c r="CF17" i="15"/>
  <c r="CG17" i="15"/>
  <c r="CF18" i="15"/>
  <c r="CG18" i="15"/>
  <c r="CF19" i="15"/>
  <c r="CG19" i="15"/>
  <c r="CF20" i="15"/>
  <c r="CG20" i="15"/>
  <c r="CF21" i="15"/>
  <c r="CG21" i="15"/>
  <c r="CF22" i="15"/>
  <c r="CG22" i="15"/>
  <c r="CF23" i="15"/>
  <c r="CG23" i="15"/>
  <c r="CF24" i="15"/>
  <c r="CG24" i="15"/>
  <c r="CF25" i="15"/>
  <c r="CG25" i="15"/>
  <c r="CF26" i="15"/>
  <c r="CG26" i="15"/>
  <c r="CF27" i="15"/>
  <c r="CG27" i="15"/>
  <c r="CF28" i="15"/>
  <c r="CG28" i="15"/>
  <c r="CF29" i="15"/>
  <c r="CG29" i="15"/>
  <c r="CF30" i="15"/>
  <c r="CG30" i="15"/>
  <c r="CF31" i="15"/>
  <c r="CG31" i="15"/>
  <c r="CF32" i="15"/>
  <c r="CG32" i="15"/>
  <c r="CF33" i="15"/>
  <c r="CG33" i="15"/>
  <c r="CF34" i="15"/>
  <c r="CG34" i="15"/>
  <c r="CF35" i="15"/>
  <c r="CG35" i="15"/>
  <c r="CF36" i="15"/>
  <c r="CG36" i="15"/>
  <c r="CF37" i="15"/>
  <c r="CG37" i="15"/>
  <c r="CF38" i="15"/>
  <c r="CG38" i="15"/>
  <c r="CF39" i="15"/>
  <c r="CG39" i="15"/>
  <c r="CF40" i="15"/>
  <c r="CG40" i="15"/>
  <c r="CF41" i="15"/>
  <c r="CG41" i="15"/>
  <c r="CF42" i="15"/>
  <c r="CG42" i="15"/>
  <c r="CF43" i="15"/>
  <c r="CG43" i="15"/>
  <c r="CF44" i="15"/>
  <c r="CG44" i="15"/>
  <c r="CF45" i="15"/>
  <c r="CG45" i="15"/>
  <c r="CF46" i="15"/>
  <c r="CG46" i="15"/>
  <c r="CF47" i="15"/>
  <c r="CG47" i="15"/>
  <c r="CF48" i="15"/>
  <c r="CG48" i="15"/>
  <c r="CF49" i="15"/>
  <c r="CG49" i="15"/>
  <c r="CF50" i="15"/>
  <c r="CG50" i="15"/>
  <c r="CF51" i="15"/>
  <c r="CG51" i="15"/>
  <c r="CF52" i="15"/>
  <c r="CG52" i="15"/>
  <c r="CF53" i="15"/>
  <c r="CG53" i="15"/>
  <c r="CF54" i="15"/>
  <c r="CG54" i="15"/>
  <c r="CF55" i="15"/>
  <c r="CG55" i="15"/>
  <c r="CF56" i="15"/>
  <c r="CG56" i="15"/>
  <c r="CF57" i="15"/>
  <c r="CG57" i="15"/>
  <c r="CF58" i="15"/>
  <c r="CG58" i="15"/>
  <c r="CF59" i="15"/>
  <c r="CG59" i="15"/>
  <c r="CF60" i="15"/>
  <c r="CG60" i="15"/>
  <c r="CF61" i="15"/>
  <c r="CG61" i="15"/>
  <c r="CF62" i="15"/>
  <c r="CG62" i="15"/>
  <c r="CF63" i="15"/>
  <c r="CG63" i="15"/>
  <c r="CF64" i="15"/>
  <c r="CG64" i="15"/>
  <c r="CG5" i="15"/>
  <c r="CF5" i="15"/>
  <c r="CD6" i="15"/>
  <c r="CD7" i="15"/>
  <c r="CD8" i="15"/>
  <c r="CD9" i="15"/>
  <c r="CD10" i="15"/>
  <c r="CD11" i="15"/>
  <c r="CD12" i="15"/>
  <c r="CD13" i="15"/>
  <c r="CD14" i="15"/>
  <c r="CD15" i="15"/>
  <c r="CD16" i="15"/>
  <c r="CD17" i="15"/>
  <c r="CD18" i="15"/>
  <c r="CD19" i="15"/>
  <c r="CD20" i="15"/>
  <c r="CD21" i="15"/>
  <c r="CD22" i="15"/>
  <c r="CD23" i="15"/>
  <c r="CD24" i="15"/>
  <c r="CD25" i="15"/>
  <c r="CD26" i="15"/>
  <c r="CD27" i="15"/>
  <c r="CD28" i="15"/>
  <c r="CD29" i="15"/>
  <c r="CD30" i="15"/>
  <c r="CD31" i="15"/>
  <c r="CD32" i="15"/>
  <c r="CD33" i="15"/>
  <c r="CD34" i="15"/>
  <c r="CD35" i="15"/>
  <c r="CD36" i="15"/>
  <c r="CD37" i="15"/>
  <c r="CD38" i="15"/>
  <c r="CD39" i="15"/>
  <c r="CD40" i="15"/>
  <c r="CD41" i="15"/>
  <c r="CD42" i="15"/>
  <c r="CD43" i="15"/>
  <c r="CD44" i="15"/>
  <c r="CD45" i="15"/>
  <c r="CD46" i="15"/>
  <c r="CD47" i="15"/>
  <c r="CD48" i="15"/>
  <c r="CD49" i="15"/>
  <c r="CD50" i="15"/>
  <c r="CD51" i="15"/>
  <c r="CD52" i="15"/>
  <c r="CD53" i="15"/>
  <c r="CD54" i="15"/>
  <c r="CD55" i="15"/>
  <c r="CD56" i="15"/>
  <c r="CD57" i="15"/>
  <c r="CD58" i="15"/>
  <c r="CD59" i="15"/>
  <c r="CD60" i="15"/>
  <c r="CD61" i="15"/>
  <c r="CD62" i="15"/>
  <c r="CD63" i="15"/>
  <c r="CD64" i="15"/>
  <c r="CD5" i="15"/>
  <c r="CC8" i="15"/>
  <c r="CC9" i="15"/>
  <c r="CC13" i="15"/>
  <c r="CC14" i="15"/>
  <c r="CC18" i="15"/>
  <c r="CC19" i="15"/>
  <c r="CC23" i="15"/>
  <c r="CC24" i="15"/>
  <c r="CC28" i="15"/>
  <c r="CC29" i="15"/>
  <c r="CC33" i="15"/>
  <c r="CC34" i="15"/>
  <c r="CC38" i="15"/>
  <c r="CE38" i="15" s="1"/>
  <c r="CC39" i="15"/>
  <c r="CC43" i="15"/>
  <c r="CC44" i="15"/>
  <c r="CC48" i="15"/>
  <c r="CC49" i="15"/>
  <c r="CC53" i="15"/>
  <c r="CC54" i="15"/>
  <c r="CC58" i="15"/>
  <c r="CE58" i="15" s="1"/>
  <c r="CC59" i="15"/>
  <c r="CC63" i="15"/>
  <c r="CC64" i="15"/>
  <c r="CA29" i="15"/>
  <c r="CA59" i="15"/>
  <c r="BZ29" i="15"/>
  <c r="BZ59" i="15"/>
  <c r="BX29" i="15"/>
  <c r="BX59" i="15"/>
  <c r="BW29" i="15"/>
  <c r="BW59" i="15"/>
  <c r="BB6" i="15"/>
  <c r="BM6" i="15" s="1"/>
  <c r="BB7" i="15"/>
  <c r="BO7" i="15" s="1"/>
  <c r="BB8" i="15"/>
  <c r="BO8" i="15" s="1"/>
  <c r="BB9" i="15"/>
  <c r="BO9" i="15" s="1"/>
  <c r="BB10" i="15"/>
  <c r="BM10" i="15" s="1"/>
  <c r="BB11" i="15"/>
  <c r="BO11" i="15" s="1"/>
  <c r="BB12" i="15"/>
  <c r="BO12" i="15" s="1"/>
  <c r="BB13" i="15"/>
  <c r="BO13" i="15" s="1"/>
  <c r="BB14" i="15"/>
  <c r="BM14" i="15" s="1"/>
  <c r="BB15" i="15"/>
  <c r="BO15" i="15" s="1"/>
  <c r="BB16" i="15"/>
  <c r="BO16" i="15" s="1"/>
  <c r="BB17" i="15"/>
  <c r="BO17" i="15" s="1"/>
  <c r="BB18" i="15"/>
  <c r="BM18" i="15" s="1"/>
  <c r="BB19" i="15"/>
  <c r="BO19" i="15" s="1"/>
  <c r="BB20" i="15"/>
  <c r="BO20" i="15" s="1"/>
  <c r="BB21" i="15"/>
  <c r="BO21" i="15" s="1"/>
  <c r="BB22" i="15"/>
  <c r="BM22" i="15" s="1"/>
  <c r="BB23" i="15"/>
  <c r="BO23" i="15" s="1"/>
  <c r="BB24" i="15"/>
  <c r="BO24" i="15" s="1"/>
  <c r="BB25" i="15"/>
  <c r="BO25" i="15" s="1"/>
  <c r="BB26" i="15"/>
  <c r="BM26" i="15" s="1"/>
  <c r="BB27" i="15"/>
  <c r="BO27" i="15" s="1"/>
  <c r="BB28" i="15"/>
  <c r="BO28" i="15" s="1"/>
  <c r="BB29" i="15"/>
  <c r="BO29" i="15" s="1"/>
  <c r="BB30" i="15"/>
  <c r="BM30" i="15" s="1"/>
  <c r="BB31" i="15"/>
  <c r="BO31" i="15" s="1"/>
  <c r="BB32" i="15"/>
  <c r="BO32" i="15" s="1"/>
  <c r="BB33" i="15"/>
  <c r="BO33" i="15" s="1"/>
  <c r="BB34" i="15"/>
  <c r="BM34" i="15" s="1"/>
  <c r="BB35" i="15"/>
  <c r="BO35" i="15" s="1"/>
  <c r="BB36" i="15"/>
  <c r="BO36" i="15" s="1"/>
  <c r="BB37" i="15"/>
  <c r="BO37" i="15" s="1"/>
  <c r="BB38" i="15"/>
  <c r="BM38" i="15" s="1"/>
  <c r="BB39" i="15"/>
  <c r="BO39" i="15" s="1"/>
  <c r="BB40" i="15"/>
  <c r="BO40" i="15" s="1"/>
  <c r="BB41" i="15"/>
  <c r="BO41" i="15" s="1"/>
  <c r="BB42" i="15"/>
  <c r="BM42" i="15" s="1"/>
  <c r="BB43" i="15"/>
  <c r="BO43" i="15" s="1"/>
  <c r="BB44" i="15"/>
  <c r="BO44" i="15" s="1"/>
  <c r="BB45" i="15"/>
  <c r="BO45" i="15" s="1"/>
  <c r="BB46" i="15"/>
  <c r="BM46" i="15" s="1"/>
  <c r="BB47" i="15"/>
  <c r="BO47" i="15" s="1"/>
  <c r="BB48" i="15"/>
  <c r="BO48" i="15" s="1"/>
  <c r="BB49" i="15"/>
  <c r="BO49" i="15" s="1"/>
  <c r="BB50" i="15"/>
  <c r="BM50" i="15" s="1"/>
  <c r="BB51" i="15"/>
  <c r="BO51" i="15" s="1"/>
  <c r="BB52" i="15"/>
  <c r="BO52" i="15" s="1"/>
  <c r="BB53" i="15"/>
  <c r="BO53" i="15" s="1"/>
  <c r="BB54" i="15"/>
  <c r="BM54" i="15" s="1"/>
  <c r="BB55" i="15"/>
  <c r="BO55" i="15" s="1"/>
  <c r="BB56" i="15"/>
  <c r="BO56" i="15" s="1"/>
  <c r="BB57" i="15"/>
  <c r="BO57" i="15" s="1"/>
  <c r="BB58" i="15"/>
  <c r="BM58" i="15" s="1"/>
  <c r="BB59" i="15"/>
  <c r="BO59" i="15" s="1"/>
  <c r="BB60" i="15"/>
  <c r="BO60" i="15" s="1"/>
  <c r="BB61" i="15"/>
  <c r="BO61" i="15" s="1"/>
  <c r="BB62" i="15"/>
  <c r="BM62" i="15" s="1"/>
  <c r="BB63" i="15"/>
  <c r="BO63" i="15" s="1"/>
  <c r="BB64" i="15"/>
  <c r="BO64" i="15" s="1"/>
  <c r="BB5" i="15"/>
  <c r="BO5" i="15" s="1"/>
  <c r="CE28" i="15" l="1"/>
  <c r="CH60" i="15"/>
  <c r="CH28" i="15"/>
  <c r="CE54" i="15"/>
  <c r="CE34" i="15"/>
  <c r="CH48" i="15"/>
  <c r="CH44" i="15"/>
  <c r="CH42" i="15"/>
  <c r="CH32" i="15"/>
  <c r="CH30" i="15"/>
  <c r="CH55" i="15"/>
  <c r="CE63" i="15"/>
  <c r="CE43" i="15"/>
  <c r="CE23" i="15"/>
  <c r="CH64" i="15"/>
  <c r="CH62" i="15"/>
  <c r="CH56" i="15"/>
  <c r="CH52" i="15"/>
  <c r="CH50" i="15"/>
  <c r="CH23" i="15"/>
  <c r="CH21" i="15"/>
  <c r="CH19" i="15"/>
  <c r="CH17" i="15"/>
  <c r="CH11" i="15"/>
  <c r="CH9" i="15"/>
  <c r="CE44" i="15"/>
  <c r="CH24" i="15"/>
  <c r="CH16" i="15"/>
  <c r="CH8" i="15"/>
  <c r="CE59" i="15"/>
  <c r="CE39" i="15"/>
  <c r="CE19" i="15"/>
  <c r="CH5" i="15"/>
  <c r="CE14" i="15"/>
  <c r="CE53" i="15"/>
  <c r="CE49" i="15"/>
  <c r="CE33" i="15"/>
  <c r="CE29" i="15"/>
  <c r="CE13" i="15"/>
  <c r="CE9" i="15"/>
  <c r="CH53" i="15"/>
  <c r="CH51" i="15"/>
  <c r="CH49" i="15"/>
  <c r="CH40" i="15"/>
  <c r="CH26" i="15"/>
  <c r="CH20" i="15"/>
  <c r="CH18" i="15"/>
  <c r="CH12" i="15"/>
  <c r="CH10" i="15"/>
  <c r="CE18" i="15"/>
  <c r="CE64" i="15"/>
  <c r="CE48" i="15"/>
  <c r="CE24" i="15"/>
  <c r="CE8" i="15"/>
  <c r="CH58" i="15"/>
  <c r="CH43" i="15"/>
  <c r="CH41" i="15"/>
  <c r="CH35" i="15"/>
  <c r="CH33" i="15"/>
  <c r="CH59" i="15"/>
  <c r="CH57" i="15"/>
  <c r="CH46" i="15"/>
  <c r="CH39" i="15"/>
  <c r="CH37" i="15"/>
  <c r="BM17" i="15"/>
  <c r="BQ37" i="15"/>
  <c r="CH36" i="15"/>
  <c r="CH34" i="15"/>
  <c r="CH27" i="15"/>
  <c r="CH25" i="15"/>
  <c r="CH14" i="15"/>
  <c r="CH7" i="15"/>
  <c r="CH63" i="15"/>
  <c r="CH61" i="15"/>
  <c r="CH54" i="15"/>
  <c r="CH47" i="15"/>
  <c r="CH45" i="15"/>
  <c r="CH38" i="15"/>
  <c r="CH31" i="15"/>
  <c r="CH29" i="15"/>
  <c r="CH22" i="15"/>
  <c r="CH15" i="15"/>
  <c r="CH13" i="15"/>
  <c r="CH6" i="15"/>
  <c r="BQ61" i="15"/>
  <c r="BQ29" i="15"/>
  <c r="BQ53" i="15"/>
  <c r="BQ21" i="15"/>
  <c r="BM49" i="15"/>
  <c r="BQ45" i="15"/>
  <c r="BQ13" i="15"/>
  <c r="BM41" i="15"/>
  <c r="BM9" i="15"/>
  <c r="BQ59" i="15"/>
  <c r="BQ51" i="15"/>
  <c r="BQ43" i="15"/>
  <c r="BQ35" i="15"/>
  <c r="BQ27" i="15"/>
  <c r="BQ19" i="15"/>
  <c r="BQ11" i="15"/>
  <c r="BM33" i="15"/>
  <c r="BQ5" i="15"/>
  <c r="BQ57" i="15"/>
  <c r="BQ49" i="15"/>
  <c r="BQ41" i="15"/>
  <c r="BQ33" i="15"/>
  <c r="BQ25" i="15"/>
  <c r="BQ17" i="15"/>
  <c r="BQ9" i="15"/>
  <c r="BF9" i="15" s="1"/>
  <c r="BM57" i="15"/>
  <c r="BM25" i="15"/>
  <c r="BQ63" i="15"/>
  <c r="BQ55" i="15"/>
  <c r="BQ47" i="15"/>
  <c r="BQ39" i="15"/>
  <c r="BQ31" i="15"/>
  <c r="BQ23" i="15"/>
  <c r="BQ15" i="15"/>
  <c r="BQ7" i="15"/>
  <c r="BM61" i="15"/>
  <c r="BM45" i="15"/>
  <c r="BM29" i="15"/>
  <c r="BM13" i="15"/>
  <c r="BD13" i="15" s="1"/>
  <c r="BQ64" i="15"/>
  <c r="BQ60" i="15"/>
  <c r="BQ56" i="15"/>
  <c r="BQ52" i="15"/>
  <c r="BQ48" i="15"/>
  <c r="BQ44" i="15"/>
  <c r="BQ40" i="15"/>
  <c r="BQ36" i="15"/>
  <c r="BQ32" i="15"/>
  <c r="BQ28" i="15"/>
  <c r="BQ24" i="15"/>
  <c r="BQ20" i="15"/>
  <c r="BQ16" i="15"/>
  <c r="BQ12" i="15"/>
  <c r="BQ8" i="15"/>
  <c r="BM53" i="15"/>
  <c r="BD53" i="15" s="1"/>
  <c r="BM37" i="15"/>
  <c r="BM21" i="15"/>
  <c r="BM5" i="15"/>
  <c r="BF5" i="15" s="1"/>
  <c r="BQ62" i="15"/>
  <c r="BQ58" i="15"/>
  <c r="BQ54" i="15"/>
  <c r="BQ50" i="15"/>
  <c r="BQ46" i="15"/>
  <c r="BQ42" i="15"/>
  <c r="BQ38" i="15"/>
  <c r="BQ34" i="15"/>
  <c r="BQ30" i="15"/>
  <c r="BQ26" i="15"/>
  <c r="BQ22" i="15"/>
  <c r="BQ18" i="15"/>
  <c r="BQ14" i="15"/>
  <c r="BQ10" i="15"/>
  <c r="BQ6" i="15"/>
  <c r="BF13" i="15"/>
  <c r="BO58" i="15"/>
  <c r="BO46" i="15"/>
  <c r="BO34" i="15"/>
  <c r="BO22" i="15"/>
  <c r="BO18" i="15"/>
  <c r="BO6" i="15"/>
  <c r="BM64" i="15"/>
  <c r="BM60" i="15"/>
  <c r="BM56" i="15"/>
  <c r="BM52" i="15"/>
  <c r="BM48" i="15"/>
  <c r="BM44" i="15"/>
  <c r="BM40" i="15"/>
  <c r="BM36" i="15"/>
  <c r="BM32" i="15"/>
  <c r="BM28" i="15"/>
  <c r="BM24" i="15"/>
  <c r="BM20" i="15"/>
  <c r="BM16" i="15"/>
  <c r="BM12" i="15"/>
  <c r="BM8" i="15"/>
  <c r="BO62" i="15"/>
  <c r="BO50" i="15"/>
  <c r="BO38" i="15"/>
  <c r="BO26" i="15"/>
  <c r="BO10" i="15"/>
  <c r="BM63" i="15"/>
  <c r="BM59" i="15"/>
  <c r="BM55" i="15"/>
  <c r="BM51" i="15"/>
  <c r="BM47" i="15"/>
  <c r="BM43" i="15"/>
  <c r="BM39" i="15"/>
  <c r="BM35" i="15"/>
  <c r="BM31" i="15"/>
  <c r="BM27" i="15"/>
  <c r="BM23" i="15"/>
  <c r="BM19" i="15"/>
  <c r="BM15" i="15"/>
  <c r="BM11" i="15"/>
  <c r="BM7" i="15"/>
  <c r="BO54" i="15"/>
  <c r="BO42" i="15"/>
  <c r="BO30" i="15"/>
  <c r="BO14" i="15"/>
  <c r="BD37" i="15" l="1"/>
  <c r="BD27" i="15"/>
  <c r="BD59" i="15"/>
  <c r="BF37" i="15"/>
  <c r="BD25" i="15"/>
  <c r="BF35" i="15"/>
  <c r="BD57" i="15"/>
  <c r="BF30" i="15"/>
  <c r="BD21" i="15"/>
  <c r="BD45" i="15"/>
  <c r="BF10" i="15"/>
  <c r="BD9" i="15"/>
  <c r="BH9" i="15" s="1"/>
  <c r="BF38" i="15"/>
  <c r="BF12" i="15"/>
  <c r="BF28" i="15"/>
  <c r="BF44" i="15"/>
  <c r="BF60" i="15"/>
  <c r="BF22" i="15"/>
  <c r="BD33" i="15"/>
  <c r="BF29" i="15"/>
  <c r="BD17" i="15"/>
  <c r="BD5" i="15"/>
  <c r="BH5" i="15" s="1"/>
  <c r="BD29" i="15"/>
  <c r="BF49" i="15"/>
  <c r="BF54" i="15"/>
  <c r="BF6" i="15"/>
  <c r="BF33" i="15"/>
  <c r="BF23" i="15"/>
  <c r="BF55" i="15"/>
  <c r="BF8" i="15"/>
  <c r="BF24" i="15"/>
  <c r="BF40" i="15"/>
  <c r="BF56" i="15"/>
  <c r="BF45" i="15"/>
  <c r="BF15" i="15"/>
  <c r="BF47" i="15"/>
  <c r="BF50" i="15"/>
  <c r="BF34" i="15"/>
  <c r="BF61" i="15"/>
  <c r="BD49" i="15"/>
  <c r="BH49" i="15" s="1"/>
  <c r="BF41" i="15"/>
  <c r="BF21" i="15"/>
  <c r="BF26" i="15"/>
  <c r="BF18" i="15"/>
  <c r="BF58" i="15"/>
  <c r="BD41" i="15"/>
  <c r="BD61" i="15"/>
  <c r="BH61" i="15" s="1"/>
  <c r="BF17" i="15"/>
  <c r="BH13" i="15"/>
  <c r="BF25" i="15"/>
  <c r="BF57" i="15"/>
  <c r="BH57" i="15" s="1"/>
  <c r="BD11" i="15"/>
  <c r="BD43" i="15"/>
  <c r="BF42" i="15"/>
  <c r="BF31" i="15"/>
  <c r="BF63" i="15"/>
  <c r="BF16" i="15"/>
  <c r="BF32" i="15"/>
  <c r="BF48" i="15"/>
  <c r="BF64" i="15"/>
  <c r="BF19" i="15"/>
  <c r="BF51" i="15"/>
  <c r="BF62" i="15"/>
  <c r="BF20" i="15"/>
  <c r="BF36" i="15"/>
  <c r="BF52" i="15"/>
  <c r="BF46" i="15"/>
  <c r="BF53" i="15"/>
  <c r="BH53" i="15" s="1"/>
  <c r="BF14" i="15"/>
  <c r="BD7" i="15"/>
  <c r="BD39" i="15"/>
  <c r="BH37" i="15"/>
  <c r="BD6" i="15"/>
  <c r="BD54" i="15"/>
  <c r="BD64" i="15"/>
  <c r="BD16" i="15"/>
  <c r="BD32" i="15"/>
  <c r="BD34" i="15"/>
  <c r="BD48" i="15"/>
  <c r="BD10" i="15"/>
  <c r="BD26" i="15"/>
  <c r="BD42" i="15"/>
  <c r="BD58" i="15"/>
  <c r="BD15" i="15"/>
  <c r="BD31" i="15"/>
  <c r="BD47" i="15"/>
  <c r="BD63" i="15"/>
  <c r="BD20" i="15"/>
  <c r="BD36" i="15"/>
  <c r="BD52" i="15"/>
  <c r="BF27" i="15"/>
  <c r="BF59" i="15"/>
  <c r="BF7" i="15"/>
  <c r="BF39" i="15"/>
  <c r="BD14" i="15"/>
  <c r="BD30" i="15"/>
  <c r="BH30" i="15" s="1"/>
  <c r="BD46" i="15"/>
  <c r="BD62" i="15"/>
  <c r="BD19" i="15"/>
  <c r="BD35" i="15"/>
  <c r="BH35" i="15" s="1"/>
  <c r="BD51" i="15"/>
  <c r="BD8" i="15"/>
  <c r="BD24" i="15"/>
  <c r="BD40" i="15"/>
  <c r="BH40" i="15" s="1"/>
  <c r="BD56" i="15"/>
  <c r="BD18" i="15"/>
  <c r="BD50" i="15"/>
  <c r="BD23" i="15"/>
  <c r="BH23" i="15" s="1"/>
  <c r="BD55" i="15"/>
  <c r="BD12" i="15"/>
  <c r="BD28" i="15"/>
  <c r="BD44" i="15"/>
  <c r="BH44" i="15" s="1"/>
  <c r="BD60" i="15"/>
  <c r="BF11" i="15"/>
  <c r="BF43" i="15"/>
  <c r="BD22" i="15"/>
  <c r="BD38" i="15"/>
  <c r="BH38" i="15" s="1"/>
  <c r="BH27" i="15" l="1"/>
  <c r="BH33" i="15"/>
  <c r="BH24" i="15"/>
  <c r="BH59" i="15"/>
  <c r="BH28" i="15"/>
  <c r="BH48" i="15"/>
  <c r="BH17" i="15"/>
  <c r="BH60" i="15"/>
  <c r="BH20" i="15"/>
  <c r="BH25" i="15"/>
  <c r="BH21" i="15"/>
  <c r="BH63" i="15"/>
  <c r="BH64" i="15"/>
  <c r="BH29" i="15"/>
  <c r="BH11" i="15"/>
  <c r="BH18" i="15"/>
  <c r="BH47" i="15"/>
  <c r="BH32" i="15"/>
  <c r="BH45" i="15"/>
  <c r="BH19" i="15"/>
  <c r="BH14" i="15"/>
  <c r="BH8" i="15"/>
  <c r="BH42" i="15"/>
  <c r="BH34" i="15"/>
  <c r="BH12" i="15"/>
  <c r="BH15" i="15"/>
  <c r="BH10" i="15"/>
  <c r="BH62" i="15"/>
  <c r="BH39" i="15"/>
  <c r="BH36" i="15"/>
  <c r="BH31" i="15"/>
  <c r="BH26" i="15"/>
  <c r="BH6" i="15"/>
  <c r="BH22" i="15"/>
  <c r="BH46" i="15"/>
  <c r="BH16" i="15"/>
  <c r="BH41" i="15"/>
  <c r="BH43" i="15"/>
  <c r="BH50" i="15"/>
  <c r="BH58" i="15"/>
  <c r="BH52" i="15"/>
  <c r="BH55" i="15"/>
  <c r="BH56" i="15"/>
  <c r="BH51" i="15"/>
  <c r="BH7" i="15"/>
  <c r="BH54" i="15"/>
  <c r="O62" i="15" l="1"/>
  <c r="CC62" i="15" s="1"/>
  <c r="CE62" i="15" s="1"/>
  <c r="O61" i="15"/>
  <c r="CC61" i="15" s="1"/>
  <c r="CE61" i="15" s="1"/>
  <c r="O60" i="15"/>
  <c r="CC60" i="15" s="1"/>
  <c r="CE60" i="15" s="1"/>
  <c r="O57" i="15"/>
  <c r="CC57" i="15" s="1"/>
  <c r="CE57" i="15" s="1"/>
  <c r="O56" i="15"/>
  <c r="CC56" i="15" s="1"/>
  <c r="CE56" i="15" s="1"/>
  <c r="O55" i="15"/>
  <c r="CC55" i="15" s="1"/>
  <c r="CE55" i="15" s="1"/>
  <c r="O52" i="15"/>
  <c r="CC52" i="15" s="1"/>
  <c r="CE52" i="15" s="1"/>
  <c r="O51" i="15"/>
  <c r="CC51" i="15" s="1"/>
  <c r="CE51" i="15" s="1"/>
  <c r="O50" i="15"/>
  <c r="CC50" i="15" s="1"/>
  <c r="CE50" i="15" s="1"/>
  <c r="O46" i="15"/>
  <c r="CC46" i="15" s="1"/>
  <c r="CE46" i="15" s="1"/>
  <c r="O47" i="15"/>
  <c r="CC47" i="15" s="1"/>
  <c r="CE47" i="15" s="1"/>
  <c r="O45" i="15"/>
  <c r="CC45" i="15" s="1"/>
  <c r="CE45" i="15" s="1"/>
  <c r="O41" i="15"/>
  <c r="CC41" i="15" s="1"/>
  <c r="CE41" i="15" s="1"/>
  <c r="O42" i="15"/>
  <c r="CC42" i="15" s="1"/>
  <c r="CE42" i="15" s="1"/>
  <c r="O40" i="15"/>
  <c r="CC40" i="15" s="1"/>
  <c r="CE40" i="15" s="1"/>
  <c r="O37" i="15"/>
  <c r="CC37" i="15" s="1"/>
  <c r="CE37" i="15" s="1"/>
  <c r="O36" i="15"/>
  <c r="CC36" i="15" s="1"/>
  <c r="CE36" i="15" s="1"/>
  <c r="O35" i="15"/>
  <c r="CC35" i="15" s="1"/>
  <c r="CE35" i="15" s="1"/>
  <c r="O31" i="15"/>
  <c r="CC31" i="15" s="1"/>
  <c r="CE31" i="15" s="1"/>
  <c r="O32" i="15"/>
  <c r="CC32" i="15" s="1"/>
  <c r="CE32" i="15" s="1"/>
  <c r="O30" i="15"/>
  <c r="CC30" i="15" s="1"/>
  <c r="CE30" i="15" s="1"/>
  <c r="O26" i="15"/>
  <c r="CC26" i="15" s="1"/>
  <c r="CE26" i="15" s="1"/>
  <c r="O27" i="15"/>
  <c r="CC27" i="15" s="1"/>
  <c r="CE27" i="15" s="1"/>
  <c r="O25" i="15"/>
  <c r="CC25" i="15" s="1"/>
  <c r="CE25" i="15" s="1"/>
  <c r="O22" i="15"/>
  <c r="CC22" i="15" s="1"/>
  <c r="CE22" i="15" s="1"/>
  <c r="O21" i="15"/>
  <c r="CC21" i="15" s="1"/>
  <c r="CE21" i="15" s="1"/>
  <c r="O20" i="15"/>
  <c r="CC20" i="15" s="1"/>
  <c r="CE20" i="15" s="1"/>
  <c r="O16" i="15"/>
  <c r="CC16" i="15" s="1"/>
  <c r="CE16" i="15" s="1"/>
  <c r="O17" i="15"/>
  <c r="CC17" i="15" s="1"/>
  <c r="CE17" i="15" s="1"/>
  <c r="O15" i="15"/>
  <c r="CC15" i="15" s="1"/>
  <c r="CE15" i="15" s="1"/>
  <c r="O12" i="15"/>
  <c r="CC12" i="15" s="1"/>
  <c r="CE12" i="15" s="1"/>
  <c r="O11" i="15"/>
  <c r="CC11" i="15" s="1"/>
  <c r="CE11" i="15" s="1"/>
  <c r="O10" i="15"/>
  <c r="CC10" i="15" s="1"/>
  <c r="CE10" i="15" s="1"/>
  <c r="O6" i="15"/>
  <c r="CC6" i="15" s="1"/>
  <c r="CE6" i="15" s="1"/>
  <c r="O7" i="15"/>
  <c r="CC7" i="15" s="1"/>
  <c r="CE7" i="15" s="1"/>
  <c r="O5" i="15"/>
  <c r="CC5" i="15" s="1"/>
  <c r="CE5" i="15" s="1"/>
  <c r="AZ6" i="15" l="1"/>
  <c r="AZ7" i="15"/>
  <c r="AZ8" i="15"/>
  <c r="AZ9" i="15"/>
  <c r="AZ10" i="15"/>
  <c r="AZ11" i="15"/>
  <c r="AZ12" i="15"/>
  <c r="AZ13" i="15"/>
  <c r="AZ14" i="15"/>
  <c r="AZ15" i="15"/>
  <c r="AZ16" i="15"/>
  <c r="AZ17" i="15"/>
  <c r="AZ18" i="15"/>
  <c r="AZ19" i="15"/>
  <c r="AZ20" i="15"/>
  <c r="AZ21" i="15"/>
  <c r="AZ22" i="15"/>
  <c r="AZ23" i="15"/>
  <c r="AZ24" i="15"/>
  <c r="AZ25" i="15"/>
  <c r="AZ26" i="15"/>
  <c r="AZ27" i="15"/>
  <c r="AZ28" i="15"/>
  <c r="AZ29" i="15"/>
  <c r="AZ30" i="15"/>
  <c r="AZ31" i="15"/>
  <c r="AZ32" i="15"/>
  <c r="AZ33" i="15"/>
  <c r="AZ34" i="15"/>
  <c r="AZ35" i="15"/>
  <c r="AZ36" i="15"/>
  <c r="AZ37" i="15"/>
  <c r="AZ38" i="15"/>
  <c r="AZ39" i="15"/>
  <c r="AZ40" i="15"/>
  <c r="AZ41" i="15"/>
  <c r="AZ42" i="15"/>
  <c r="AZ43" i="15"/>
  <c r="AZ44" i="15"/>
  <c r="AZ45" i="15"/>
  <c r="AZ46" i="15"/>
  <c r="AZ47" i="15"/>
  <c r="AZ48" i="15"/>
  <c r="AZ49" i="15"/>
  <c r="AZ50" i="15"/>
  <c r="AZ51" i="15"/>
  <c r="AZ52" i="15"/>
  <c r="AZ53" i="15"/>
  <c r="AZ54" i="15"/>
  <c r="AZ55" i="15"/>
  <c r="AZ56" i="15"/>
  <c r="AZ57" i="15"/>
  <c r="AZ58" i="15"/>
  <c r="AZ59" i="15"/>
  <c r="AZ60" i="15"/>
  <c r="AZ61" i="15"/>
  <c r="AZ62" i="15"/>
  <c r="AZ63" i="15"/>
  <c r="AZ64" i="15"/>
  <c r="AZ5" i="15"/>
  <c r="AY6" i="15"/>
  <c r="AY7" i="15"/>
  <c r="AY8" i="15"/>
  <c r="AY9" i="15"/>
  <c r="AY10" i="15"/>
  <c r="AY11" i="15"/>
  <c r="AY12" i="15"/>
  <c r="AY13" i="15"/>
  <c r="AY14" i="15"/>
  <c r="AY15" i="15"/>
  <c r="AY16" i="15"/>
  <c r="AY17" i="15"/>
  <c r="AY18" i="15"/>
  <c r="AY19" i="15"/>
  <c r="AY20" i="15"/>
  <c r="AY21" i="15"/>
  <c r="AY22" i="15"/>
  <c r="AY23" i="15"/>
  <c r="AY24" i="15"/>
  <c r="AY25" i="15"/>
  <c r="AY26" i="15"/>
  <c r="AY27" i="15"/>
  <c r="AY28" i="15"/>
  <c r="AY29" i="15"/>
  <c r="AY30" i="15"/>
  <c r="AY31" i="15"/>
  <c r="AY32" i="15"/>
  <c r="AY33" i="15"/>
  <c r="AY34" i="15"/>
  <c r="AY35" i="15"/>
  <c r="AY36" i="15"/>
  <c r="AY37" i="15"/>
  <c r="AY38" i="15"/>
  <c r="AY39" i="15"/>
  <c r="AY40" i="15"/>
  <c r="AY41" i="15"/>
  <c r="AY42" i="15"/>
  <c r="AY43" i="15"/>
  <c r="AY44" i="15"/>
  <c r="AY45" i="15"/>
  <c r="AY46" i="15"/>
  <c r="AY47" i="15"/>
  <c r="AY48" i="15"/>
  <c r="AY49" i="15"/>
  <c r="AY50" i="15"/>
  <c r="AY51" i="15"/>
  <c r="AY52" i="15"/>
  <c r="AY53" i="15"/>
  <c r="AY54" i="15"/>
  <c r="AY55" i="15"/>
  <c r="AY56" i="15"/>
  <c r="AY57" i="15"/>
  <c r="AY58" i="15"/>
  <c r="AY59" i="15"/>
  <c r="AY60" i="15"/>
  <c r="AY61" i="15"/>
  <c r="AY62" i="15"/>
  <c r="AY63" i="15"/>
  <c r="AY64" i="15"/>
  <c r="AY5" i="15"/>
  <c r="AX6" i="15"/>
  <c r="AX7" i="15"/>
  <c r="AX8" i="15"/>
  <c r="AX9" i="15"/>
  <c r="AX10" i="15"/>
  <c r="AX11" i="15"/>
  <c r="AX12" i="15"/>
  <c r="AX13" i="15"/>
  <c r="AX14" i="15"/>
  <c r="AX15" i="15"/>
  <c r="AX16" i="15"/>
  <c r="AX17" i="15"/>
  <c r="AX18" i="15"/>
  <c r="AX19" i="15"/>
  <c r="AX20" i="15"/>
  <c r="AX21" i="15"/>
  <c r="AX22" i="15"/>
  <c r="AX23" i="15"/>
  <c r="AX24" i="15"/>
  <c r="AX25" i="15"/>
  <c r="AX26" i="15"/>
  <c r="AX27" i="15"/>
  <c r="AX28" i="15"/>
  <c r="AX29" i="15"/>
  <c r="AX30" i="15"/>
  <c r="AX31" i="15"/>
  <c r="AX32" i="15"/>
  <c r="AX33" i="15"/>
  <c r="AX34" i="15"/>
  <c r="AX35" i="15"/>
  <c r="AX36" i="15"/>
  <c r="AX37" i="15"/>
  <c r="AX38" i="15"/>
  <c r="AX39" i="15"/>
  <c r="AX40" i="15"/>
  <c r="AX41" i="15"/>
  <c r="AX42" i="15"/>
  <c r="AX43" i="15"/>
  <c r="AX44" i="15"/>
  <c r="AX45" i="15"/>
  <c r="AX46" i="15"/>
  <c r="AX47" i="15"/>
  <c r="AX48" i="15"/>
  <c r="AX49" i="15"/>
  <c r="AX50" i="15"/>
  <c r="AX51" i="15"/>
  <c r="AX52" i="15"/>
  <c r="AX53" i="15"/>
  <c r="AX54" i="15"/>
  <c r="AX55" i="15"/>
  <c r="AX56" i="15"/>
  <c r="AX57" i="15"/>
  <c r="AX58" i="15"/>
  <c r="AX59" i="15"/>
  <c r="AX60" i="15"/>
  <c r="AX61" i="15"/>
  <c r="AX62" i="15"/>
  <c r="AX63" i="15"/>
  <c r="AX64" i="15"/>
  <c r="AX5" i="15"/>
  <c r="AW6" i="15"/>
  <c r="AW7" i="15"/>
  <c r="AW8" i="15"/>
  <c r="AW9" i="15"/>
  <c r="AW10" i="15"/>
  <c r="AW11" i="15"/>
  <c r="AW12" i="15"/>
  <c r="AW13" i="15"/>
  <c r="AW14" i="15"/>
  <c r="AW15" i="15"/>
  <c r="AW16" i="15"/>
  <c r="AW17" i="15"/>
  <c r="AW18" i="15"/>
  <c r="AW19" i="15"/>
  <c r="AW20" i="15"/>
  <c r="AW21" i="15"/>
  <c r="AW22" i="15"/>
  <c r="AW23" i="15"/>
  <c r="AW24" i="15"/>
  <c r="AW25" i="15"/>
  <c r="AW26" i="15"/>
  <c r="AW27" i="15"/>
  <c r="AW28" i="15"/>
  <c r="AW29" i="15"/>
  <c r="AW30" i="15"/>
  <c r="AW31" i="15"/>
  <c r="AW32" i="15"/>
  <c r="AW33" i="15"/>
  <c r="AW34" i="15"/>
  <c r="AW35" i="15"/>
  <c r="AW36" i="15"/>
  <c r="AW37" i="15"/>
  <c r="AW38" i="15"/>
  <c r="AW39" i="15"/>
  <c r="AW40" i="15"/>
  <c r="AW41" i="15"/>
  <c r="AW42" i="15"/>
  <c r="AW43" i="15"/>
  <c r="AW44" i="15"/>
  <c r="AW45" i="15"/>
  <c r="AW46" i="15"/>
  <c r="AW47" i="15"/>
  <c r="AW48" i="15"/>
  <c r="AW49" i="15"/>
  <c r="AW50" i="15"/>
  <c r="AW51" i="15"/>
  <c r="AW52" i="15"/>
  <c r="AW53" i="15"/>
  <c r="AW54" i="15"/>
  <c r="AW55" i="15"/>
  <c r="AW56" i="15"/>
  <c r="AW57" i="15"/>
  <c r="AW58" i="15"/>
  <c r="AW59" i="15"/>
  <c r="AW60" i="15"/>
  <c r="AW61" i="15"/>
  <c r="AW62" i="15"/>
  <c r="AW63" i="15"/>
  <c r="AW64" i="15"/>
  <c r="AW5" i="15"/>
  <c r="AV6" i="15"/>
  <c r="AV7" i="15"/>
  <c r="AV8" i="15"/>
  <c r="AV9" i="15"/>
  <c r="AV10" i="15"/>
  <c r="AV11" i="15"/>
  <c r="AV12" i="15"/>
  <c r="AV13" i="15"/>
  <c r="AV14" i="15"/>
  <c r="AV15" i="15"/>
  <c r="AV16" i="15"/>
  <c r="AV17" i="15"/>
  <c r="AV18" i="15"/>
  <c r="AV19" i="15"/>
  <c r="AV20" i="15"/>
  <c r="AV21" i="15"/>
  <c r="AV22" i="15"/>
  <c r="AV23" i="15"/>
  <c r="AV24" i="15"/>
  <c r="AV25" i="15"/>
  <c r="AV26" i="15"/>
  <c r="AV27" i="15"/>
  <c r="AV28" i="15"/>
  <c r="AV29" i="15"/>
  <c r="AV30" i="15"/>
  <c r="AV31" i="15"/>
  <c r="AV32" i="15"/>
  <c r="AV33" i="15"/>
  <c r="AV34" i="15"/>
  <c r="AV35" i="15"/>
  <c r="AV36" i="15"/>
  <c r="AV37" i="15"/>
  <c r="AV38" i="15"/>
  <c r="AV39" i="15"/>
  <c r="AV40" i="15"/>
  <c r="AV41" i="15"/>
  <c r="AV42" i="15"/>
  <c r="AV43" i="15"/>
  <c r="AV44" i="15"/>
  <c r="AV45" i="15"/>
  <c r="AV46" i="15"/>
  <c r="AV47" i="15"/>
  <c r="AV48" i="15"/>
  <c r="AV49" i="15"/>
  <c r="AV50" i="15"/>
  <c r="AV51" i="15"/>
  <c r="AV52" i="15"/>
  <c r="AV53" i="15"/>
  <c r="AV54" i="15"/>
  <c r="AV55" i="15"/>
  <c r="AV56" i="15"/>
  <c r="AV57" i="15"/>
  <c r="AV58" i="15"/>
  <c r="AV59" i="15"/>
  <c r="AV60" i="15"/>
  <c r="AV61" i="15"/>
  <c r="AV62" i="15"/>
  <c r="AV63" i="15"/>
  <c r="AV64" i="15"/>
  <c r="AV5" i="15"/>
  <c r="AU6" i="15"/>
  <c r="AU7" i="15"/>
  <c r="AU8" i="15"/>
  <c r="AU9" i="15"/>
  <c r="AU10" i="15"/>
  <c r="AU11" i="15"/>
  <c r="AU12" i="15"/>
  <c r="AU13" i="15"/>
  <c r="AU14" i="15"/>
  <c r="AU15" i="15"/>
  <c r="AU16" i="15"/>
  <c r="AU17" i="15"/>
  <c r="AU18" i="15"/>
  <c r="AU19" i="15"/>
  <c r="AU20" i="15"/>
  <c r="AU21" i="15"/>
  <c r="AU22" i="15"/>
  <c r="AU23" i="15"/>
  <c r="AU24" i="15"/>
  <c r="AU25" i="15"/>
  <c r="AU26" i="15"/>
  <c r="AU27" i="15"/>
  <c r="AU28" i="15"/>
  <c r="AU29" i="15"/>
  <c r="AU30" i="15"/>
  <c r="AU31" i="15"/>
  <c r="AU32" i="15"/>
  <c r="AU33" i="15"/>
  <c r="AU34" i="15"/>
  <c r="AU35" i="15"/>
  <c r="AU36" i="15"/>
  <c r="AU37" i="15"/>
  <c r="AU38" i="15"/>
  <c r="AU39" i="15"/>
  <c r="AU40" i="15"/>
  <c r="AU41" i="15"/>
  <c r="AU42" i="15"/>
  <c r="AU43" i="15"/>
  <c r="AU44" i="15"/>
  <c r="AU45" i="15"/>
  <c r="AU46" i="15"/>
  <c r="AU47" i="15"/>
  <c r="AU48" i="15"/>
  <c r="AU49" i="15"/>
  <c r="AU50" i="15"/>
  <c r="AU51" i="15"/>
  <c r="AU52" i="15"/>
  <c r="AU53" i="15"/>
  <c r="AU54" i="15"/>
  <c r="AU55" i="15"/>
  <c r="AU56" i="15"/>
  <c r="AU57" i="15"/>
  <c r="AU58" i="15"/>
  <c r="AU59" i="15"/>
  <c r="AU60" i="15"/>
  <c r="AU61" i="15"/>
  <c r="AU62" i="15"/>
  <c r="AU63" i="15"/>
  <c r="AU64" i="15"/>
  <c r="AU5" i="15"/>
  <c r="CL64" i="15" l="1"/>
  <c r="CJ64" i="15"/>
  <c r="BS64" i="15"/>
  <c r="BR64" i="15"/>
  <c r="AH64" i="15"/>
  <c r="X64" i="15"/>
  <c r="W64" i="15"/>
  <c r="Q64" i="15"/>
  <c r="N64" i="15"/>
  <c r="CL63" i="15"/>
  <c r="CJ63" i="15"/>
  <c r="BS63" i="15"/>
  <c r="BR63" i="15"/>
  <c r="AH63" i="15"/>
  <c r="X63" i="15"/>
  <c r="W63" i="15"/>
  <c r="Q63" i="15"/>
  <c r="N63" i="15"/>
  <c r="CL62" i="15"/>
  <c r="CJ62" i="15"/>
  <c r="BS62" i="15"/>
  <c r="BR62" i="15"/>
  <c r="AH62" i="15"/>
  <c r="X62" i="15"/>
  <c r="W62" i="15"/>
  <c r="Q62" i="15"/>
  <c r="N62" i="15"/>
  <c r="CL61" i="15"/>
  <c r="CJ61" i="15"/>
  <c r="BS61" i="15"/>
  <c r="BR61" i="15"/>
  <c r="AH61" i="15"/>
  <c r="X61" i="15"/>
  <c r="W61" i="15"/>
  <c r="Q61" i="15"/>
  <c r="N61" i="15"/>
  <c r="CL60" i="15"/>
  <c r="CJ60" i="15"/>
  <c r="BS60" i="15"/>
  <c r="BR60" i="15"/>
  <c r="AH60" i="15"/>
  <c r="X60" i="15"/>
  <c r="W60" i="15"/>
  <c r="Q60" i="15"/>
  <c r="AE60" i="15" s="1"/>
  <c r="N60" i="15"/>
  <c r="CL59" i="15"/>
  <c r="CJ59" i="15"/>
  <c r="CB59" i="15"/>
  <c r="BY59" i="15"/>
  <c r="BV59" i="15"/>
  <c r="BA59" i="15"/>
  <c r="BP59" i="15" s="1"/>
  <c r="AJ59" i="15"/>
  <c r="AI59" i="15"/>
  <c r="AH59" i="15"/>
  <c r="X59" i="15"/>
  <c r="W59" i="15"/>
  <c r="N59" i="15"/>
  <c r="CL58" i="15"/>
  <c r="CJ58" i="15"/>
  <c r="BS58" i="15"/>
  <c r="BR58" i="15"/>
  <c r="AH58" i="15"/>
  <c r="X58" i="15"/>
  <c r="W58" i="15"/>
  <c r="Q58" i="15"/>
  <c r="N58" i="15"/>
  <c r="CL57" i="15"/>
  <c r="CJ57" i="15"/>
  <c r="BS57" i="15"/>
  <c r="BR57" i="15"/>
  <c r="AH57" i="15"/>
  <c r="X57" i="15"/>
  <c r="W57" i="15"/>
  <c r="Q57" i="15"/>
  <c r="N57" i="15"/>
  <c r="CL56" i="15"/>
  <c r="CJ56" i="15"/>
  <c r="BS56" i="15"/>
  <c r="BR56" i="15"/>
  <c r="AH56" i="15"/>
  <c r="X56" i="15"/>
  <c r="W56" i="15"/>
  <c r="Q56" i="15"/>
  <c r="AE56" i="15" s="1"/>
  <c r="N56" i="15"/>
  <c r="CL55" i="15"/>
  <c r="CJ55" i="15"/>
  <c r="BS55" i="15"/>
  <c r="BR55" i="15"/>
  <c r="AH55" i="15"/>
  <c r="X55" i="15"/>
  <c r="W55" i="15"/>
  <c r="Q55" i="15"/>
  <c r="N55" i="15"/>
  <c r="CL54" i="15"/>
  <c r="CJ54" i="15"/>
  <c r="BS54" i="15"/>
  <c r="BR54" i="15"/>
  <c r="AH54" i="15"/>
  <c r="X54" i="15"/>
  <c r="W54" i="15"/>
  <c r="Q54" i="15"/>
  <c r="AE54" i="15" s="1"/>
  <c r="N54" i="15"/>
  <c r="CL53" i="15"/>
  <c r="CJ53" i="15"/>
  <c r="BS53" i="15"/>
  <c r="BR53" i="15"/>
  <c r="AH53" i="15"/>
  <c r="X53" i="15"/>
  <c r="W53" i="15"/>
  <c r="Q53" i="15"/>
  <c r="AE53" i="15" s="1"/>
  <c r="N53" i="15"/>
  <c r="CL52" i="15"/>
  <c r="CJ52" i="15"/>
  <c r="BS52" i="15"/>
  <c r="BR52" i="15"/>
  <c r="AH52" i="15"/>
  <c r="X52" i="15"/>
  <c r="W52" i="15"/>
  <c r="Q52" i="15"/>
  <c r="N52" i="15"/>
  <c r="CL51" i="15"/>
  <c r="CJ51" i="15"/>
  <c r="BS51" i="15"/>
  <c r="BR51" i="15"/>
  <c r="AH51" i="15"/>
  <c r="X51" i="15"/>
  <c r="W51" i="15"/>
  <c r="Q51" i="15"/>
  <c r="N51" i="15"/>
  <c r="CL50" i="15"/>
  <c r="CJ50" i="15"/>
  <c r="BS50" i="15"/>
  <c r="BR50" i="15"/>
  <c r="AH50" i="15"/>
  <c r="X50" i="15"/>
  <c r="W50" i="15"/>
  <c r="Q50" i="15"/>
  <c r="N50" i="15"/>
  <c r="CL49" i="15"/>
  <c r="CJ49" i="15"/>
  <c r="BS49" i="15"/>
  <c r="BR49" i="15"/>
  <c r="AH49" i="15"/>
  <c r="X49" i="15"/>
  <c r="W49" i="15"/>
  <c r="Q49" i="15"/>
  <c r="AE49" i="15" s="1"/>
  <c r="N49" i="15"/>
  <c r="CL48" i="15"/>
  <c r="CJ48" i="15"/>
  <c r="BS48" i="15"/>
  <c r="BR48" i="15"/>
  <c r="AH48" i="15"/>
  <c r="X48" i="15"/>
  <c r="W48" i="15"/>
  <c r="Q48" i="15"/>
  <c r="AE48" i="15" s="1"/>
  <c r="N48" i="15"/>
  <c r="CL47" i="15"/>
  <c r="CJ47" i="15"/>
  <c r="BS47" i="15"/>
  <c r="BR47" i="15"/>
  <c r="AH47" i="15"/>
  <c r="X47" i="15"/>
  <c r="W47" i="15"/>
  <c r="Q47" i="15"/>
  <c r="N47" i="15"/>
  <c r="CL46" i="15"/>
  <c r="CJ46" i="15"/>
  <c r="BS46" i="15"/>
  <c r="BR46" i="15"/>
  <c r="AH46" i="15"/>
  <c r="X46" i="15"/>
  <c r="W46" i="15"/>
  <c r="Q46" i="15"/>
  <c r="N46" i="15"/>
  <c r="CL45" i="15"/>
  <c r="CJ45" i="15"/>
  <c r="BS45" i="15"/>
  <c r="BR45" i="15"/>
  <c r="AH45" i="15"/>
  <c r="X45" i="15"/>
  <c r="W45" i="15"/>
  <c r="Q45" i="15"/>
  <c r="AE45" i="15" s="1"/>
  <c r="N45" i="15"/>
  <c r="CL44" i="15"/>
  <c r="CJ44" i="15"/>
  <c r="BS44" i="15"/>
  <c r="BR44" i="15"/>
  <c r="AH44" i="15"/>
  <c r="X44" i="15"/>
  <c r="W44" i="15"/>
  <c r="Q44" i="15"/>
  <c r="AE44" i="15" s="1"/>
  <c r="N44" i="15"/>
  <c r="CL43" i="15"/>
  <c r="CJ43" i="15"/>
  <c r="BS43" i="15"/>
  <c r="BR43" i="15"/>
  <c r="AH43" i="15"/>
  <c r="X43" i="15"/>
  <c r="W43" i="15"/>
  <c r="Q43" i="15"/>
  <c r="AE43" i="15" s="1"/>
  <c r="N43" i="15"/>
  <c r="CL42" i="15"/>
  <c r="CJ42" i="15"/>
  <c r="BS42" i="15"/>
  <c r="BR42" i="15"/>
  <c r="AH42" i="15"/>
  <c r="X42" i="15"/>
  <c r="W42" i="15"/>
  <c r="Q42" i="15"/>
  <c r="AE42" i="15" s="1"/>
  <c r="N42" i="15"/>
  <c r="CL41" i="15"/>
  <c r="CJ41" i="15"/>
  <c r="BS41" i="15"/>
  <c r="BR41" i="15"/>
  <c r="AH41" i="15"/>
  <c r="X41" i="15"/>
  <c r="W41" i="15"/>
  <c r="Q41" i="15"/>
  <c r="N41" i="15"/>
  <c r="CL40" i="15"/>
  <c r="CJ40" i="15"/>
  <c r="BS40" i="15"/>
  <c r="BR40" i="15"/>
  <c r="AH40" i="15"/>
  <c r="X40" i="15"/>
  <c r="W40" i="15"/>
  <c r="Q40" i="15"/>
  <c r="N40" i="15"/>
  <c r="CL39" i="15"/>
  <c r="CJ39" i="15"/>
  <c r="BS39" i="15"/>
  <c r="BR39" i="15"/>
  <c r="AH39" i="15"/>
  <c r="X39" i="15"/>
  <c r="W39" i="15"/>
  <c r="Q39" i="15"/>
  <c r="N39" i="15"/>
  <c r="CL38" i="15"/>
  <c r="CJ38" i="15"/>
  <c r="BS38" i="15"/>
  <c r="BR38" i="15"/>
  <c r="AH38" i="15"/>
  <c r="X38" i="15"/>
  <c r="W38" i="15"/>
  <c r="Q38" i="15"/>
  <c r="N38" i="15"/>
  <c r="CL37" i="15"/>
  <c r="CJ37" i="15"/>
  <c r="BV37" i="15"/>
  <c r="AH37" i="15"/>
  <c r="X37" i="15"/>
  <c r="W37" i="15"/>
  <c r="Q37" i="15"/>
  <c r="N37" i="15"/>
  <c r="CL36" i="15"/>
  <c r="CJ36" i="15"/>
  <c r="BS36" i="15"/>
  <c r="BR36" i="15"/>
  <c r="AH36" i="15"/>
  <c r="X36" i="15"/>
  <c r="W36" i="15"/>
  <c r="Q36" i="15"/>
  <c r="N36" i="15"/>
  <c r="CL35" i="15"/>
  <c r="CJ35" i="15"/>
  <c r="BS35" i="15"/>
  <c r="BR35" i="15"/>
  <c r="AH35" i="15"/>
  <c r="X35" i="15"/>
  <c r="W35" i="15"/>
  <c r="Q35" i="15"/>
  <c r="N35" i="15"/>
  <c r="CL34" i="15"/>
  <c r="CJ34" i="15"/>
  <c r="BS34" i="15"/>
  <c r="BR34" i="15"/>
  <c r="AH34" i="15"/>
  <c r="X34" i="15"/>
  <c r="W34" i="15"/>
  <c r="Q34" i="15"/>
  <c r="AE34" i="15" s="1"/>
  <c r="N34" i="15"/>
  <c r="CL33" i="15"/>
  <c r="CJ33" i="15"/>
  <c r="BS33" i="15"/>
  <c r="BR33" i="15"/>
  <c r="AH33" i="15"/>
  <c r="X33" i="15"/>
  <c r="W33" i="15"/>
  <c r="Q33" i="15"/>
  <c r="AE33" i="15" s="1"/>
  <c r="N33" i="15"/>
  <c r="CL32" i="15"/>
  <c r="CJ32" i="15"/>
  <c r="BS32" i="15"/>
  <c r="BR32" i="15"/>
  <c r="AH32" i="15"/>
  <c r="X32" i="15"/>
  <c r="W32" i="15"/>
  <c r="Q32" i="15"/>
  <c r="N32" i="15"/>
  <c r="CL31" i="15"/>
  <c r="CJ31" i="15"/>
  <c r="BS31" i="15"/>
  <c r="BR31" i="15"/>
  <c r="AH31" i="15"/>
  <c r="X31" i="15"/>
  <c r="W31" i="15"/>
  <c r="Q31" i="15"/>
  <c r="N31" i="15"/>
  <c r="CL30" i="15"/>
  <c r="CJ30" i="15"/>
  <c r="BS30" i="15"/>
  <c r="BR30" i="15"/>
  <c r="AH30" i="15"/>
  <c r="X30" i="15"/>
  <c r="W30" i="15"/>
  <c r="Q30" i="15"/>
  <c r="N30" i="15"/>
  <c r="CL29" i="15"/>
  <c r="CJ29" i="15"/>
  <c r="CB29" i="15"/>
  <c r="BY29" i="15"/>
  <c r="BV29" i="15"/>
  <c r="BA29" i="15"/>
  <c r="BN29" i="15" s="1"/>
  <c r="AJ29" i="15"/>
  <c r="AI29" i="15"/>
  <c r="AH29" i="15"/>
  <c r="X29" i="15"/>
  <c r="W29" i="15"/>
  <c r="N29" i="15"/>
  <c r="CL28" i="15"/>
  <c r="CJ28" i="15"/>
  <c r="BS28" i="15"/>
  <c r="BR28" i="15"/>
  <c r="AH28" i="15"/>
  <c r="X28" i="15"/>
  <c r="W28" i="15"/>
  <c r="Q28" i="15"/>
  <c r="N28" i="15"/>
  <c r="CL27" i="15"/>
  <c r="CJ27" i="15"/>
  <c r="BS27" i="15"/>
  <c r="BR27" i="15"/>
  <c r="AH27" i="15"/>
  <c r="X27" i="15"/>
  <c r="W27" i="15"/>
  <c r="Q27" i="15"/>
  <c r="AF27" i="15" s="1"/>
  <c r="N27" i="15"/>
  <c r="CL26" i="15"/>
  <c r="CJ26" i="15"/>
  <c r="BS26" i="15"/>
  <c r="BR26" i="15"/>
  <c r="AH26" i="15"/>
  <c r="X26" i="15"/>
  <c r="W26" i="15"/>
  <c r="Q26" i="15"/>
  <c r="AE26" i="15" s="1"/>
  <c r="N26" i="15"/>
  <c r="CL25" i="15"/>
  <c r="CJ25" i="15"/>
  <c r="BS25" i="15"/>
  <c r="BR25" i="15"/>
  <c r="AH25" i="15"/>
  <c r="X25" i="15"/>
  <c r="W25" i="15"/>
  <c r="Q25" i="15"/>
  <c r="AE25" i="15" s="1"/>
  <c r="N25" i="15"/>
  <c r="CL24" i="15"/>
  <c r="CJ24" i="15"/>
  <c r="BS24" i="15"/>
  <c r="BR24" i="15"/>
  <c r="AH24" i="15"/>
  <c r="X24" i="15"/>
  <c r="W24" i="15"/>
  <c r="Q24" i="15"/>
  <c r="N24" i="15"/>
  <c r="CL23" i="15"/>
  <c r="CJ23" i="15"/>
  <c r="BS23" i="15"/>
  <c r="BR23" i="15"/>
  <c r="AH23" i="15"/>
  <c r="X23" i="15"/>
  <c r="W23" i="15"/>
  <c r="Q23" i="15"/>
  <c r="N23" i="15"/>
  <c r="CL22" i="15"/>
  <c r="CJ22" i="15"/>
  <c r="BS22" i="15"/>
  <c r="BR22" i="15"/>
  <c r="AH22" i="15"/>
  <c r="X22" i="15"/>
  <c r="W22" i="15"/>
  <c r="Q22" i="15"/>
  <c r="AE22" i="15" s="1"/>
  <c r="N22" i="15"/>
  <c r="CL21" i="15"/>
  <c r="CJ21" i="15"/>
  <c r="BS21" i="15"/>
  <c r="BR21" i="15"/>
  <c r="AH21" i="15"/>
  <c r="X21" i="15"/>
  <c r="W21" i="15"/>
  <c r="Q21" i="15"/>
  <c r="N21" i="15"/>
  <c r="CL20" i="15"/>
  <c r="CJ20" i="15"/>
  <c r="BS20" i="15"/>
  <c r="BR20" i="15"/>
  <c r="AH20" i="15"/>
  <c r="X20" i="15"/>
  <c r="W20" i="15"/>
  <c r="Q20" i="15"/>
  <c r="AE20" i="15" s="1"/>
  <c r="N20" i="15"/>
  <c r="CL19" i="15"/>
  <c r="CJ19" i="15"/>
  <c r="BS19" i="15"/>
  <c r="BR19" i="15"/>
  <c r="AH19" i="15"/>
  <c r="X19" i="15"/>
  <c r="W19" i="15"/>
  <c r="Q19" i="15"/>
  <c r="N19" i="15"/>
  <c r="CL18" i="15"/>
  <c r="CJ18" i="15"/>
  <c r="BV18" i="15"/>
  <c r="AH18" i="15"/>
  <c r="X18" i="15"/>
  <c r="W18" i="15"/>
  <c r="Q18" i="15"/>
  <c r="N18" i="15"/>
  <c r="CL17" i="15"/>
  <c r="CJ17" i="15"/>
  <c r="BS17" i="15"/>
  <c r="BR17" i="15"/>
  <c r="AH17" i="15"/>
  <c r="X17" i="15"/>
  <c r="W17" i="15"/>
  <c r="Q17" i="15"/>
  <c r="N17" i="15"/>
  <c r="CL16" i="15"/>
  <c r="CJ16" i="15"/>
  <c r="BS16" i="15"/>
  <c r="BR16" i="15"/>
  <c r="AH16" i="15"/>
  <c r="X16" i="15"/>
  <c r="W16" i="15"/>
  <c r="Q16" i="15"/>
  <c r="N16" i="15"/>
  <c r="CL15" i="15"/>
  <c r="CJ15" i="15"/>
  <c r="BS15" i="15"/>
  <c r="BR15" i="15"/>
  <c r="AH15" i="15"/>
  <c r="X15" i="15"/>
  <c r="W15" i="15"/>
  <c r="Q15" i="15"/>
  <c r="N15" i="15"/>
  <c r="CL14" i="15"/>
  <c r="CJ14" i="15"/>
  <c r="BS14" i="15"/>
  <c r="BR14" i="15"/>
  <c r="AH14" i="15"/>
  <c r="X14" i="15"/>
  <c r="W14" i="15"/>
  <c r="Q14" i="15"/>
  <c r="AE14" i="15" s="1"/>
  <c r="N14" i="15"/>
  <c r="CL13" i="15"/>
  <c r="CJ13" i="15"/>
  <c r="BS13" i="15"/>
  <c r="BR13" i="15"/>
  <c r="AH13" i="15"/>
  <c r="X13" i="15"/>
  <c r="W13" i="15"/>
  <c r="Q13" i="15"/>
  <c r="N13" i="15"/>
  <c r="CL12" i="15"/>
  <c r="CJ12" i="15"/>
  <c r="BS12" i="15"/>
  <c r="BR12" i="15"/>
  <c r="AH12" i="15"/>
  <c r="X12" i="15"/>
  <c r="W12" i="15"/>
  <c r="Q12" i="15"/>
  <c r="AE12" i="15" s="1"/>
  <c r="N12" i="15"/>
  <c r="CL11" i="15"/>
  <c r="CJ11" i="15"/>
  <c r="BS11" i="15"/>
  <c r="BR11" i="15"/>
  <c r="AH11" i="15"/>
  <c r="X11" i="15"/>
  <c r="W11" i="15"/>
  <c r="Q11" i="15"/>
  <c r="N11" i="15"/>
  <c r="CL10" i="15"/>
  <c r="CJ10" i="15"/>
  <c r="BS10" i="15"/>
  <c r="BR10" i="15"/>
  <c r="AH10" i="15"/>
  <c r="X10" i="15"/>
  <c r="W10" i="15"/>
  <c r="Q10" i="15"/>
  <c r="N10" i="15"/>
  <c r="CL9" i="15"/>
  <c r="CJ9" i="15"/>
  <c r="BS9" i="15"/>
  <c r="BR9" i="15"/>
  <c r="AH9" i="15"/>
  <c r="X9" i="15"/>
  <c r="W9" i="15"/>
  <c r="Q9" i="15"/>
  <c r="N9" i="15"/>
  <c r="CL8" i="15"/>
  <c r="CJ8" i="15"/>
  <c r="BS8" i="15"/>
  <c r="BR8" i="15"/>
  <c r="AH8" i="15"/>
  <c r="X8" i="15"/>
  <c r="W8" i="15"/>
  <c r="Q8" i="15"/>
  <c r="N8" i="15"/>
  <c r="CL7" i="15"/>
  <c r="CJ7" i="15"/>
  <c r="BS7" i="15"/>
  <c r="BR7" i="15"/>
  <c r="AH7" i="15"/>
  <c r="X7" i="15"/>
  <c r="W7" i="15"/>
  <c r="Q7" i="15"/>
  <c r="AE7" i="15" s="1"/>
  <c r="N7" i="15"/>
  <c r="CL6" i="15"/>
  <c r="CJ6" i="15"/>
  <c r="BS6" i="15"/>
  <c r="BR6" i="15"/>
  <c r="AH6" i="15"/>
  <c r="X6" i="15"/>
  <c r="W6" i="15"/>
  <c r="Q6" i="15"/>
  <c r="AE6" i="15" s="1"/>
  <c r="N6" i="15"/>
  <c r="CL5" i="15"/>
  <c r="CJ5" i="15"/>
  <c r="BS5" i="15"/>
  <c r="BR5" i="15"/>
  <c r="AH5" i="15"/>
  <c r="X5" i="15"/>
  <c r="W5" i="15"/>
  <c r="Q5" i="15"/>
  <c r="N5" i="15"/>
  <c r="AE21" i="15" l="1"/>
  <c r="AF21" i="15"/>
  <c r="AF39" i="15"/>
  <c r="AE39" i="15"/>
  <c r="AF51" i="15"/>
  <c r="AE51" i="15"/>
  <c r="AF55" i="15"/>
  <c r="AE55" i="15"/>
  <c r="AF5" i="15"/>
  <c r="AE5" i="15"/>
  <c r="AE9" i="15"/>
  <c r="AF9" i="15"/>
  <c r="AF13" i="15"/>
  <c r="AE13" i="15"/>
  <c r="AE17" i="15"/>
  <c r="AF17" i="15"/>
  <c r="AF31" i="15"/>
  <c r="AE31" i="15"/>
  <c r="AE35" i="15"/>
  <c r="AF35" i="15"/>
  <c r="AF40" i="15"/>
  <c r="AE40" i="15"/>
  <c r="AF52" i="15"/>
  <c r="AE52" i="15"/>
  <c r="AE61" i="15"/>
  <c r="AF61" i="15"/>
  <c r="AF8" i="15"/>
  <c r="AE8" i="15"/>
  <c r="AE30" i="15"/>
  <c r="AF30" i="15"/>
  <c r="AF10" i="15"/>
  <c r="AE10" i="15"/>
  <c r="AE18" i="15"/>
  <c r="AF18" i="15"/>
  <c r="AE19" i="15"/>
  <c r="AF19" i="15"/>
  <c r="AF23" i="15"/>
  <c r="AE23" i="15"/>
  <c r="AE32" i="15"/>
  <c r="AF32" i="15"/>
  <c r="AF36" i="15"/>
  <c r="AE36" i="15"/>
  <c r="AF41" i="15"/>
  <c r="AE41" i="15"/>
  <c r="AE57" i="15"/>
  <c r="AF57" i="15"/>
  <c r="AF62" i="15"/>
  <c r="AE62" i="15"/>
  <c r="AE16" i="15"/>
  <c r="AF16" i="15"/>
  <c r="AE47" i="15"/>
  <c r="AF47" i="15"/>
  <c r="AF64" i="15"/>
  <c r="AE64" i="15"/>
  <c r="AE11" i="15"/>
  <c r="AF11" i="15"/>
  <c r="AE15" i="15"/>
  <c r="AF15" i="15"/>
  <c r="AE24" i="15"/>
  <c r="AF24" i="15"/>
  <c r="AF37" i="15"/>
  <c r="AE37" i="15"/>
  <c r="AE38" i="15"/>
  <c r="AF38" i="15"/>
  <c r="AF46" i="15"/>
  <c r="AE46" i="15"/>
  <c r="AF50" i="15"/>
  <c r="AE50" i="15"/>
  <c r="AF58" i="15"/>
  <c r="AE58" i="15"/>
  <c r="AF63" i="15"/>
  <c r="AE63" i="15"/>
  <c r="N67" i="15"/>
  <c r="BZ6" i="15"/>
  <c r="CA6" i="15"/>
  <c r="BX6" i="15"/>
  <c r="BW6" i="15"/>
  <c r="CA10" i="15"/>
  <c r="BX10" i="15"/>
  <c r="BZ10" i="15"/>
  <c r="BW10" i="15"/>
  <c r="BZ14" i="15"/>
  <c r="BW14" i="15"/>
  <c r="CA14" i="15"/>
  <c r="BX14" i="15"/>
  <c r="BZ18" i="15"/>
  <c r="BW18" i="15"/>
  <c r="CA18" i="15"/>
  <c r="BX18" i="15"/>
  <c r="CA19" i="15"/>
  <c r="BZ19" i="15"/>
  <c r="BX19" i="15"/>
  <c r="BW19" i="15"/>
  <c r="BW22" i="15"/>
  <c r="CA22" i="15"/>
  <c r="BX22" i="15"/>
  <c r="BZ22" i="15"/>
  <c r="CA26" i="15"/>
  <c r="BX26" i="15"/>
  <c r="BW26" i="15"/>
  <c r="BZ26" i="15"/>
  <c r="CB26" i="15" s="1"/>
  <c r="CA31" i="15"/>
  <c r="BZ31" i="15"/>
  <c r="BX31" i="15"/>
  <c r="BW31" i="15"/>
  <c r="AI35" i="15"/>
  <c r="CA35" i="15"/>
  <c r="BZ35" i="15"/>
  <c r="BX35" i="15"/>
  <c r="BW35" i="15"/>
  <c r="CA39" i="15"/>
  <c r="BZ39" i="15"/>
  <c r="BX39" i="15"/>
  <c r="BW39" i="15"/>
  <c r="CA43" i="15"/>
  <c r="BZ43" i="15"/>
  <c r="BX43" i="15"/>
  <c r="BW43" i="15"/>
  <c r="CA47" i="15"/>
  <c r="BZ47" i="15"/>
  <c r="BX47" i="15"/>
  <c r="BW47" i="15"/>
  <c r="CA51" i="15"/>
  <c r="BZ51" i="15"/>
  <c r="BX51" i="15"/>
  <c r="BW51" i="15"/>
  <c r="CA55" i="15"/>
  <c r="BZ55" i="15"/>
  <c r="BX55" i="15"/>
  <c r="BW55" i="15"/>
  <c r="BZ60" i="15"/>
  <c r="CA60" i="15"/>
  <c r="BX60" i="15"/>
  <c r="BW60" i="15"/>
  <c r="CA64" i="15"/>
  <c r="BX64" i="15"/>
  <c r="BW64" i="15"/>
  <c r="BZ64" i="15"/>
  <c r="CA7" i="15"/>
  <c r="BZ7" i="15"/>
  <c r="BX7" i="15"/>
  <c r="BW7" i="15"/>
  <c r="CA11" i="15"/>
  <c r="BZ11" i="15"/>
  <c r="BX11" i="15"/>
  <c r="BW11" i="15"/>
  <c r="CA15" i="15"/>
  <c r="BZ15" i="15"/>
  <c r="BX15" i="15"/>
  <c r="BW15" i="15"/>
  <c r="CA23" i="15"/>
  <c r="BZ23" i="15"/>
  <c r="BX23" i="15"/>
  <c r="BY23" i="15" s="1"/>
  <c r="BW23" i="15"/>
  <c r="CA27" i="15"/>
  <c r="BZ27" i="15"/>
  <c r="BX27" i="15"/>
  <c r="BY27" i="15" s="1"/>
  <c r="BW27" i="15"/>
  <c r="CA32" i="15"/>
  <c r="BX32" i="15"/>
  <c r="BZ32" i="15"/>
  <c r="BW32" i="15"/>
  <c r="BA36" i="15"/>
  <c r="BN36" i="15" s="1"/>
  <c r="CA36" i="15"/>
  <c r="BZ36" i="15"/>
  <c r="BW36" i="15"/>
  <c r="BX36" i="15"/>
  <c r="BZ40" i="15"/>
  <c r="CA40" i="15"/>
  <c r="BX40" i="15"/>
  <c r="BW40" i="15"/>
  <c r="BZ44" i="15"/>
  <c r="CA44" i="15"/>
  <c r="BX44" i="15"/>
  <c r="BW44" i="15"/>
  <c r="CA48" i="15"/>
  <c r="BX48" i="15"/>
  <c r="BZ48" i="15"/>
  <c r="BW48" i="15"/>
  <c r="BZ52" i="15"/>
  <c r="BW52" i="15"/>
  <c r="CA52" i="15"/>
  <c r="BX52" i="15"/>
  <c r="AI56" i="15"/>
  <c r="BZ56" i="15"/>
  <c r="CA56" i="15"/>
  <c r="BX56" i="15"/>
  <c r="BW56" i="15"/>
  <c r="BX61" i="15"/>
  <c r="BW61" i="15"/>
  <c r="BZ61" i="15"/>
  <c r="CA61" i="15"/>
  <c r="BZ8" i="15"/>
  <c r="BW8" i="15"/>
  <c r="CA8" i="15"/>
  <c r="BX8" i="15"/>
  <c r="BW12" i="15"/>
  <c r="CA12" i="15"/>
  <c r="BX12" i="15"/>
  <c r="BZ12" i="15"/>
  <c r="CA16" i="15"/>
  <c r="BX16" i="15"/>
  <c r="BZ16" i="15"/>
  <c r="CB16" i="15" s="1"/>
  <c r="BW16" i="15"/>
  <c r="CA20" i="15"/>
  <c r="BZ20" i="15"/>
  <c r="BW20" i="15"/>
  <c r="BX20" i="15"/>
  <c r="BZ24" i="15"/>
  <c r="CA24" i="15"/>
  <c r="BX24" i="15"/>
  <c r="BW24" i="15"/>
  <c r="AJ28" i="15"/>
  <c r="BZ28" i="15"/>
  <c r="CA28" i="15"/>
  <c r="BX28" i="15"/>
  <c r="BW28" i="15"/>
  <c r="BW33" i="15"/>
  <c r="CA33" i="15"/>
  <c r="BX33" i="15"/>
  <c r="BZ33" i="15"/>
  <c r="BW37" i="15"/>
  <c r="CA37" i="15"/>
  <c r="BX37" i="15"/>
  <c r="BZ37" i="15"/>
  <c r="BW38" i="15"/>
  <c r="CA38" i="15"/>
  <c r="BX38" i="15"/>
  <c r="BZ38" i="15"/>
  <c r="BX41" i="15"/>
  <c r="BW41" i="15"/>
  <c r="BZ41" i="15"/>
  <c r="CA41" i="15"/>
  <c r="BW45" i="15"/>
  <c r="BZ45" i="15"/>
  <c r="CA45" i="15"/>
  <c r="BX45" i="15"/>
  <c r="CA49" i="15"/>
  <c r="BX49" i="15"/>
  <c r="BZ49" i="15"/>
  <c r="BW49" i="15"/>
  <c r="BA53" i="15"/>
  <c r="BL53" i="15" s="1"/>
  <c r="BW53" i="15"/>
  <c r="CA53" i="15"/>
  <c r="BX53" i="15"/>
  <c r="BZ53" i="15"/>
  <c r="CA57" i="15"/>
  <c r="BZ57" i="15"/>
  <c r="BX57" i="15"/>
  <c r="BW57" i="15"/>
  <c r="CA62" i="15"/>
  <c r="BX62" i="15"/>
  <c r="BW62" i="15"/>
  <c r="BZ62" i="15"/>
  <c r="BZ5" i="15"/>
  <c r="CA5" i="15"/>
  <c r="BX5" i="15"/>
  <c r="BW5" i="15"/>
  <c r="CA9" i="15"/>
  <c r="BX9" i="15"/>
  <c r="BZ9" i="15"/>
  <c r="BW9" i="15"/>
  <c r="BZ13" i="15"/>
  <c r="BW13" i="15"/>
  <c r="CA13" i="15"/>
  <c r="BX13" i="15"/>
  <c r="BZ17" i="15"/>
  <c r="CA17" i="15"/>
  <c r="BX17" i="15"/>
  <c r="BW17" i="15"/>
  <c r="CA21" i="15"/>
  <c r="BX21" i="15"/>
  <c r="BZ21" i="15"/>
  <c r="BW21" i="15"/>
  <c r="BX25" i="15"/>
  <c r="BW25" i="15"/>
  <c r="BZ25" i="15"/>
  <c r="CA25" i="15"/>
  <c r="CA30" i="15"/>
  <c r="BW30" i="15"/>
  <c r="BZ30" i="15"/>
  <c r="BX30" i="15"/>
  <c r="BZ34" i="15"/>
  <c r="BW34" i="15"/>
  <c r="CA34" i="15"/>
  <c r="BX34" i="15"/>
  <c r="CA42" i="15"/>
  <c r="BX42" i="15"/>
  <c r="BW42" i="15"/>
  <c r="BZ42" i="15"/>
  <c r="CA46" i="15"/>
  <c r="BW46" i="15"/>
  <c r="BZ46" i="15"/>
  <c r="BX46" i="15"/>
  <c r="BZ50" i="15"/>
  <c r="BW50" i="15"/>
  <c r="CA50" i="15"/>
  <c r="BX50" i="15"/>
  <c r="BZ54" i="15"/>
  <c r="BW54" i="15"/>
  <c r="BY54" i="15" s="1"/>
  <c r="CA54" i="15"/>
  <c r="BX54" i="15"/>
  <c r="CA58" i="15"/>
  <c r="BX58" i="15"/>
  <c r="BW58" i="15"/>
  <c r="BZ58" i="15"/>
  <c r="CA63" i="15"/>
  <c r="BZ63" i="15"/>
  <c r="BX63" i="15"/>
  <c r="BW63" i="15"/>
  <c r="AK59" i="15"/>
  <c r="BA30" i="15"/>
  <c r="BL30" i="15" s="1"/>
  <c r="AK29" i="15"/>
  <c r="BA33" i="15"/>
  <c r="BP33" i="15" s="1"/>
  <c r="BT45" i="15"/>
  <c r="BU31" i="15"/>
  <c r="BT43" i="15"/>
  <c r="AJ10" i="15"/>
  <c r="AJ14" i="15"/>
  <c r="AJ50" i="15"/>
  <c r="AJ54" i="15"/>
  <c r="AJ61" i="15"/>
  <c r="BA61" i="15"/>
  <c r="BP61" i="15" s="1"/>
  <c r="AJ26" i="15"/>
  <c r="BP29" i="15"/>
  <c r="AJ33" i="15"/>
  <c r="AJ37" i="15"/>
  <c r="BL59" i="15"/>
  <c r="AJ6" i="15"/>
  <c r="BA17" i="15"/>
  <c r="BN17" i="15" s="1"/>
  <c r="AJ38" i="15"/>
  <c r="AJ46" i="15"/>
  <c r="AJ58" i="15"/>
  <c r="BN59" i="15"/>
  <c r="AJ64" i="15"/>
  <c r="AJ7" i="15"/>
  <c r="BU8" i="15"/>
  <c r="BT9" i="15"/>
  <c r="BA10" i="15"/>
  <c r="BI10" i="15" s="1"/>
  <c r="BJ10" i="15" s="1"/>
  <c r="BU15" i="15"/>
  <c r="BT34" i="15"/>
  <c r="BT36" i="15"/>
  <c r="BA47" i="15"/>
  <c r="BI47" i="15" s="1"/>
  <c r="BJ47" i="15" s="1"/>
  <c r="BA54" i="15"/>
  <c r="BL54" i="15" s="1"/>
  <c r="BT10" i="15"/>
  <c r="BU16" i="15"/>
  <c r="BT20" i="15"/>
  <c r="BU25" i="15"/>
  <c r="BT40" i="15"/>
  <c r="BT50" i="15"/>
  <c r="BU7" i="15"/>
  <c r="BU35" i="15"/>
  <c r="BU43" i="15"/>
  <c r="BU56" i="15"/>
  <c r="BT61" i="15"/>
  <c r="AI5" i="15"/>
  <c r="AJ63" i="15"/>
  <c r="BA6" i="15"/>
  <c r="BP6" i="15" s="1"/>
  <c r="AI6" i="15"/>
  <c r="BT6" i="15"/>
  <c r="AJ30" i="15"/>
  <c r="AI30" i="15"/>
  <c r="AJ36" i="15"/>
  <c r="AI36" i="15"/>
  <c r="BY39" i="15"/>
  <c r="BA39" i="15"/>
  <c r="BP39" i="15" s="1"/>
  <c r="AJ39" i="15"/>
  <c r="AI49" i="15"/>
  <c r="BA8" i="15"/>
  <c r="BL8" i="15" s="1"/>
  <c r="AJ8" i="15"/>
  <c r="AJ53" i="15"/>
  <c r="AI53" i="15"/>
  <c r="BY55" i="15"/>
  <c r="BA55" i="15"/>
  <c r="BI55" i="15" s="1"/>
  <c r="BJ55" i="15" s="1"/>
  <c r="AJ55" i="15"/>
  <c r="AI12" i="15"/>
  <c r="BU5" i="15"/>
  <c r="AJ17" i="15"/>
  <c r="AI17" i="15"/>
  <c r="AI24" i="15"/>
  <c r="BA25" i="15"/>
  <c r="BP25" i="15" s="1"/>
  <c r="AI25" i="15"/>
  <c r="AJ21" i="15"/>
  <c r="AI22" i="15"/>
  <c r="AJ27" i="15"/>
  <c r="AI32" i="15"/>
  <c r="AJ41" i="15"/>
  <c r="AI42" i="15"/>
  <c r="AI44" i="15"/>
  <c r="AI45" i="15"/>
  <c r="AI57" i="15"/>
  <c r="BA57" i="15"/>
  <c r="BP57" i="15" s="1"/>
  <c r="AI10" i="15"/>
  <c r="BU12" i="15"/>
  <c r="AI15" i="15"/>
  <c r="BT17" i="15"/>
  <c r="AJ22" i="15"/>
  <c r="BA22" i="15"/>
  <c r="BU23" i="15"/>
  <c r="AI26" i="15"/>
  <c r="BA26" i="15"/>
  <c r="BL26" i="15" s="1"/>
  <c r="AI33" i="15"/>
  <c r="BU38" i="15"/>
  <c r="AJ42" i="15"/>
  <c r="BA42" i="15"/>
  <c r="BT42" i="15"/>
  <c r="BU46" i="15"/>
  <c r="BT48" i="15"/>
  <c r="BT51" i="15"/>
  <c r="AI54" i="15"/>
  <c r="AJ57" i="15"/>
  <c r="BT57" i="15"/>
  <c r="AI64" i="15"/>
  <c r="BU64" i="15"/>
  <c r="CB64" i="15"/>
  <c r="AI7" i="15"/>
  <c r="BA7" i="15"/>
  <c r="BP7" i="15" s="1"/>
  <c r="BU13" i="15"/>
  <c r="AI14" i="15"/>
  <c r="BA14" i="15"/>
  <c r="BN14" i="15" s="1"/>
  <c r="BU21" i="15"/>
  <c r="BU26" i="15"/>
  <c r="BA27" i="15"/>
  <c r="BI27" i="15" s="1"/>
  <c r="BJ27" i="15" s="1"/>
  <c r="AI37" i="15"/>
  <c r="BA37" i="15"/>
  <c r="BN37" i="15" s="1"/>
  <c r="AI38" i="15"/>
  <c r="BA38" i="15"/>
  <c r="BU44" i="15"/>
  <c r="BA45" i="15"/>
  <c r="BP45" i="15" s="1"/>
  <c r="AI46" i="15"/>
  <c r="BA46" i="15"/>
  <c r="BL46" i="15" s="1"/>
  <c r="BT46" i="15"/>
  <c r="AJ47" i="15"/>
  <c r="AI50" i="15"/>
  <c r="BA50" i="15"/>
  <c r="BP50" i="15" s="1"/>
  <c r="AI58" i="15"/>
  <c r="BA58" i="15"/>
  <c r="BP58" i="15" s="1"/>
  <c r="AI61" i="15"/>
  <c r="BU63" i="15"/>
  <c r="BA64" i="15"/>
  <c r="BT13" i="15"/>
  <c r="BT16" i="15"/>
  <c r="BU20" i="15"/>
  <c r="BT22" i="15"/>
  <c r="BU24" i="15"/>
  <c r="BT28" i="15"/>
  <c r="BT30" i="15"/>
  <c r="BT31" i="15"/>
  <c r="BT33" i="15"/>
  <c r="BU34" i="15"/>
  <c r="BT35" i="15"/>
  <c r="BU41" i="15"/>
  <c r="BU47" i="15"/>
  <c r="BU48" i="15"/>
  <c r="BT52" i="15"/>
  <c r="BT54" i="15"/>
  <c r="BU61" i="15"/>
  <c r="BT62" i="15"/>
  <c r="BT23" i="15"/>
  <c r="BT25" i="15"/>
  <c r="BU27" i="15"/>
  <c r="BU32" i="15"/>
  <c r="BT8" i="15"/>
  <c r="BU10" i="15"/>
  <c r="BT12" i="15"/>
  <c r="BT15" i="15"/>
  <c r="BU19" i="15"/>
  <c r="BT26" i="15"/>
  <c r="BU36" i="15"/>
  <c r="BT38" i="15"/>
  <c r="BU39" i="15"/>
  <c r="BU40" i="15"/>
  <c r="BU51" i="15"/>
  <c r="BU53" i="15"/>
  <c r="BU55" i="15"/>
  <c r="N66" i="15"/>
  <c r="N69" i="15" s="1"/>
  <c r="BT5" i="15"/>
  <c r="BU6" i="15"/>
  <c r="BU9" i="15"/>
  <c r="BU11" i="15"/>
  <c r="BT11" i="15"/>
  <c r="BY5" i="15"/>
  <c r="BA5" i="15"/>
  <c r="BB2" i="15" s="1"/>
  <c r="AJ5" i="15"/>
  <c r="AI8" i="15"/>
  <c r="BA13" i="15"/>
  <c r="AI13" i="15"/>
  <c r="AJ13" i="15"/>
  <c r="BY11" i="15"/>
  <c r="AI11" i="15"/>
  <c r="BA11" i="15"/>
  <c r="BA9" i="15"/>
  <c r="AJ9" i="15"/>
  <c r="AJ11" i="15"/>
  <c r="AI9" i="15"/>
  <c r="BT7" i="15"/>
  <c r="BU14" i="15"/>
  <c r="BT14" i="15"/>
  <c r="AJ16" i="15"/>
  <c r="BA16" i="15"/>
  <c r="AJ12" i="15"/>
  <c r="BA12" i="15"/>
  <c r="AJ15" i="15"/>
  <c r="BA15" i="15"/>
  <c r="BU17" i="15"/>
  <c r="AI18" i="15"/>
  <c r="AI19" i="15"/>
  <c r="BT19" i="15"/>
  <c r="AJ25" i="15"/>
  <c r="AI28" i="15"/>
  <c r="BA28" i="15"/>
  <c r="BU28" i="15"/>
  <c r="BL29" i="15"/>
  <c r="BU30" i="15"/>
  <c r="AJ31" i="15"/>
  <c r="BA31" i="15"/>
  <c r="AJ18" i="15"/>
  <c r="BA18" i="15"/>
  <c r="AJ19" i="15"/>
  <c r="BA19" i="15"/>
  <c r="BA20" i="15"/>
  <c r="AJ20" i="15"/>
  <c r="AI23" i="15"/>
  <c r="BT24" i="15"/>
  <c r="AI16" i="15"/>
  <c r="AI20" i="15"/>
  <c r="AI21" i="15"/>
  <c r="BA21" i="15"/>
  <c r="BT21" i="15"/>
  <c r="BU22" i="15"/>
  <c r="AJ23" i="15"/>
  <c r="BA23" i="15"/>
  <c r="BA24" i="15"/>
  <c r="AJ24" i="15"/>
  <c r="AI27" i="15"/>
  <c r="BT27" i="15"/>
  <c r="AI34" i="15"/>
  <c r="BA34" i="15"/>
  <c r="AJ34" i="15"/>
  <c r="AI31" i="15"/>
  <c r="AJ32" i="15"/>
  <c r="BA32" i="15"/>
  <c r="BT32" i="15"/>
  <c r="BU33" i="15"/>
  <c r="BA35" i="15"/>
  <c r="AJ35" i="15"/>
  <c r="AK35" i="15" s="1"/>
  <c r="AI39" i="15"/>
  <c r="BT39" i="15"/>
  <c r="AJ45" i="15"/>
  <c r="BY40" i="15"/>
  <c r="BA40" i="15"/>
  <c r="AJ40" i="15"/>
  <c r="AI43" i="15"/>
  <c r="BT44" i="15"/>
  <c r="BU45" i="15"/>
  <c r="AI40" i="15"/>
  <c r="AI41" i="15"/>
  <c r="BA41" i="15"/>
  <c r="BT41" i="15"/>
  <c r="BU42" i="15"/>
  <c r="AJ43" i="15"/>
  <c r="BA43" i="15"/>
  <c r="BA44" i="15"/>
  <c r="AJ44" i="15"/>
  <c r="AI47" i="15"/>
  <c r="BT47" i="15"/>
  <c r="AI48" i="15"/>
  <c r="BA48" i="15"/>
  <c r="AJ48" i="15"/>
  <c r="BU49" i="15"/>
  <c r="BT49" i="15"/>
  <c r="BU50" i="15"/>
  <c r="AI51" i="15"/>
  <c r="AJ52" i="15"/>
  <c r="BA52" i="15"/>
  <c r="BU52" i="15"/>
  <c r="BI53" i="15"/>
  <c r="BJ53" i="15" s="1"/>
  <c r="AI55" i="15"/>
  <c r="BT55" i="15"/>
  <c r="BT56" i="15"/>
  <c r="BU57" i="15"/>
  <c r="BA60" i="15"/>
  <c r="AI60" i="15"/>
  <c r="AJ60" i="15"/>
  <c r="AJ51" i="15"/>
  <c r="BA51" i="15"/>
  <c r="BT53" i="15"/>
  <c r="BU54" i="15"/>
  <c r="BA56" i="15"/>
  <c r="AJ56" i="15"/>
  <c r="BT58" i="15"/>
  <c r="BU58" i="15"/>
  <c r="BU60" i="15"/>
  <c r="BT60" i="15"/>
  <c r="AJ49" i="15"/>
  <c r="AK49" i="15" s="1"/>
  <c r="BA49" i="15"/>
  <c r="AI52" i="15"/>
  <c r="AJ62" i="15"/>
  <c r="BU62" i="15"/>
  <c r="AI63" i="15"/>
  <c r="BT63" i="15"/>
  <c r="BT64" i="15"/>
  <c r="BA62" i="15"/>
  <c r="AI62" i="15"/>
  <c r="BA63" i="15"/>
  <c r="CB24" i="15" l="1"/>
  <c r="BC59" i="15"/>
  <c r="BY32" i="15"/>
  <c r="CB7" i="15"/>
  <c r="CB51" i="15"/>
  <c r="CN50" i="15" s="1"/>
  <c r="CN51" i="15" s="1"/>
  <c r="CN52" i="15" s="1"/>
  <c r="CN53" i="15" s="1"/>
  <c r="CN54" i="15" s="1"/>
  <c r="CB39" i="15"/>
  <c r="CB14" i="15"/>
  <c r="CB50" i="15"/>
  <c r="CB9" i="15"/>
  <c r="BV47" i="15"/>
  <c r="BC29" i="15"/>
  <c r="BK29" i="15" s="1"/>
  <c r="BY34" i="15"/>
  <c r="BY30" i="15"/>
  <c r="CB52" i="15"/>
  <c r="CB40" i="15"/>
  <c r="CB17" i="15"/>
  <c r="CB5" i="15"/>
  <c r="BY24" i="15"/>
  <c r="BY20" i="15"/>
  <c r="CB61" i="15"/>
  <c r="CB15" i="15"/>
  <c r="CB60" i="15"/>
  <c r="CB47" i="15"/>
  <c r="AK56" i="15"/>
  <c r="AK50" i="15"/>
  <c r="BY21" i="15"/>
  <c r="CB53" i="15"/>
  <c r="BY45" i="15"/>
  <c r="BY38" i="15"/>
  <c r="BY37" i="15"/>
  <c r="BY22" i="15"/>
  <c r="CB18" i="15"/>
  <c r="CB10" i="15"/>
  <c r="BP55" i="15"/>
  <c r="BI30" i="15"/>
  <c r="BJ30" i="15" s="1"/>
  <c r="BY58" i="15"/>
  <c r="BY42" i="15"/>
  <c r="BY62" i="15"/>
  <c r="BY64" i="15"/>
  <c r="BY6" i="15"/>
  <c r="N68" i="15"/>
  <c r="BN53" i="15"/>
  <c r="AK47" i="15"/>
  <c r="AK28" i="15"/>
  <c r="CB46" i="15"/>
  <c r="CB42" i="15"/>
  <c r="BY41" i="15"/>
  <c r="CB37" i="15"/>
  <c r="CB33" i="15"/>
  <c r="CB8" i="15"/>
  <c r="BY44" i="15"/>
  <c r="CB31" i="15"/>
  <c r="CB19" i="15"/>
  <c r="CN15" i="15" s="1"/>
  <c r="CN16" i="15" s="1"/>
  <c r="CN17" i="15" s="1"/>
  <c r="CN18" i="15" s="1"/>
  <c r="CN19" i="15" s="1"/>
  <c r="BY57" i="15"/>
  <c r="CB20" i="15"/>
  <c r="BY7" i="15"/>
  <c r="BY51" i="15"/>
  <c r="BY47" i="15"/>
  <c r="BI36" i="15"/>
  <c r="BJ36" i="15" s="1"/>
  <c r="AK58" i="15"/>
  <c r="BL36" i="15"/>
  <c r="BP53" i="15"/>
  <c r="AK63" i="15"/>
  <c r="AK39" i="15"/>
  <c r="BP36" i="15"/>
  <c r="AK12" i="15"/>
  <c r="BV17" i="15"/>
  <c r="BN30" i="15"/>
  <c r="BV43" i="15"/>
  <c r="BP30" i="15"/>
  <c r="BV31" i="15"/>
  <c r="BV33" i="15"/>
  <c r="BV24" i="15"/>
  <c r="BV40" i="15"/>
  <c r="BV10" i="15"/>
  <c r="BL57" i="15"/>
  <c r="BI57" i="15"/>
  <c r="BJ57" i="15" s="1"/>
  <c r="BN57" i="15"/>
  <c r="CB56" i="15"/>
  <c r="CB58" i="15"/>
  <c r="BI39" i="15"/>
  <c r="BJ39" i="15" s="1"/>
  <c r="AK25" i="15"/>
  <c r="BY33" i="15"/>
  <c r="BY10" i="15"/>
  <c r="BN45" i="15"/>
  <c r="BP27" i="15"/>
  <c r="BY12" i="15"/>
  <c r="CB6" i="15"/>
  <c r="AK64" i="15"/>
  <c r="BN33" i="15"/>
  <c r="BI45" i="15"/>
  <c r="BJ45" i="15" s="1"/>
  <c r="BV50" i="15"/>
  <c r="BP37" i="15"/>
  <c r="BV44" i="15"/>
  <c r="BI8" i="15"/>
  <c r="BJ8" i="15" s="1"/>
  <c r="CB63" i="15"/>
  <c r="CB35" i="15"/>
  <c r="BN47" i="15"/>
  <c r="BY25" i="15"/>
  <c r="CB13" i="15"/>
  <c r="BP54" i="15"/>
  <c r="BY46" i="15"/>
  <c r="BE59" i="15"/>
  <c r="BI46" i="15"/>
  <c r="BJ46" i="15" s="1"/>
  <c r="BV27" i="15"/>
  <c r="AK8" i="15"/>
  <c r="BV6" i="15"/>
  <c r="BV25" i="15"/>
  <c r="CB49" i="15"/>
  <c r="BI33" i="15"/>
  <c r="BJ33" i="15" s="1"/>
  <c r="BV8" i="15"/>
  <c r="AK38" i="15"/>
  <c r="AK53" i="15"/>
  <c r="BV45" i="15"/>
  <c r="BN61" i="15"/>
  <c r="AK45" i="15"/>
  <c r="BV35" i="15"/>
  <c r="AK14" i="15"/>
  <c r="CB54" i="15"/>
  <c r="BL10" i="15"/>
  <c r="BL33" i="15"/>
  <c r="CB38" i="15"/>
  <c r="CB44" i="15"/>
  <c r="BY49" i="15"/>
  <c r="BL50" i="15"/>
  <c r="AK7" i="15"/>
  <c r="BY61" i="15"/>
  <c r="BV46" i="15"/>
  <c r="AK33" i="15"/>
  <c r="AK26" i="15"/>
  <c r="AK37" i="15"/>
  <c r="AK44" i="15"/>
  <c r="AK32" i="15"/>
  <c r="BI54" i="15"/>
  <c r="BJ54" i="15" s="1"/>
  <c r="BV39" i="15"/>
  <c r="BV19" i="15"/>
  <c r="AK5" i="15"/>
  <c r="BN8" i="15"/>
  <c r="BV36" i="15"/>
  <c r="BV12" i="15"/>
  <c r="AK10" i="15"/>
  <c r="AK42" i="15"/>
  <c r="BN54" i="15"/>
  <c r="BY36" i="15"/>
  <c r="BI58" i="15"/>
  <c r="BJ58" i="15" s="1"/>
  <c r="BV41" i="15"/>
  <c r="CB36" i="15"/>
  <c r="BY35" i="15"/>
  <c r="BP8" i="15"/>
  <c r="BI7" i="15"/>
  <c r="BJ7" i="15" s="1"/>
  <c r="AK61" i="15"/>
  <c r="BY26" i="15"/>
  <c r="BY50" i="15"/>
  <c r="BV32" i="15"/>
  <c r="BV16" i="15"/>
  <c r="AK57" i="15"/>
  <c r="BI26" i="15"/>
  <c r="BJ26" i="15" s="1"/>
  <c r="AK24" i="15"/>
  <c r="AK21" i="15"/>
  <c r="BI17" i="15"/>
  <c r="BJ17" i="15" s="1"/>
  <c r="BV34" i="15"/>
  <c r="BP10" i="15"/>
  <c r="BP17" i="15"/>
  <c r="BN10" i="15"/>
  <c r="BY52" i="15"/>
  <c r="BY56" i="15"/>
  <c r="AK55" i="15"/>
  <c r="BP47" i="15"/>
  <c r="BV28" i="15"/>
  <c r="BV9" i="15"/>
  <c r="AK54" i="15"/>
  <c r="BL47" i="15"/>
  <c r="BL17" i="15"/>
  <c r="BI61" i="15"/>
  <c r="BJ61" i="15" s="1"/>
  <c r="BV63" i="15"/>
  <c r="BL61" i="15"/>
  <c r="BV55" i="15"/>
  <c r="BV52" i="15"/>
  <c r="CB45" i="15"/>
  <c r="AK41" i="15"/>
  <c r="CB32" i="15"/>
  <c r="BL37" i="15"/>
  <c r="BL45" i="15"/>
  <c r="AK31" i="15"/>
  <c r="CB28" i="15"/>
  <c r="AK27" i="15"/>
  <c r="BI25" i="15"/>
  <c r="BJ25" i="15" s="1"/>
  <c r="BV21" i="15"/>
  <c r="BN25" i="15"/>
  <c r="BL25" i="15"/>
  <c r="BY15" i="15"/>
  <c r="BV15" i="15"/>
  <c r="BV23" i="15"/>
  <c r="AK46" i="15"/>
  <c r="BY14" i="15"/>
  <c r="BV13" i="15"/>
  <c r="CB22" i="15"/>
  <c r="AK22" i="15"/>
  <c r="BY43" i="15"/>
  <c r="AK6" i="15"/>
  <c r="BV20" i="15"/>
  <c r="BV54" i="15"/>
  <c r="BV56" i="15"/>
  <c r="BV30" i="15"/>
  <c r="BV7" i="15"/>
  <c r="BV61" i="15"/>
  <c r="BV64" i="15"/>
  <c r="BV42" i="15"/>
  <c r="BV22" i="15"/>
  <c r="BV48" i="15"/>
  <c r="BN64" i="15"/>
  <c r="BL64" i="15"/>
  <c r="BI64" i="15"/>
  <c r="BJ64" i="15" s="1"/>
  <c r="BV62" i="15"/>
  <c r="BL58" i="15"/>
  <c r="BV58" i="15"/>
  <c r="BV53" i="15"/>
  <c r="BV57" i="15"/>
  <c r="CB34" i="15"/>
  <c r="CB25" i="15"/>
  <c r="AK15" i="15"/>
  <c r="BN6" i="15"/>
  <c r="CB11" i="15"/>
  <c r="BI14" i="15"/>
  <c r="BJ14" i="15" s="1"/>
  <c r="BP14" i="15"/>
  <c r="BP38" i="15"/>
  <c r="BL38" i="15"/>
  <c r="BI38" i="15"/>
  <c r="BJ38" i="15" s="1"/>
  <c r="BN38" i="15"/>
  <c r="BL27" i="15"/>
  <c r="BN27" i="15"/>
  <c r="CB12" i="15"/>
  <c r="BY53" i="15"/>
  <c r="BL39" i="15"/>
  <c r="BN39" i="15"/>
  <c r="AK62" i="15"/>
  <c r="BP64" i="15"/>
  <c r="BN58" i="15"/>
  <c r="CB48" i="15"/>
  <c r="AK43" i="15"/>
  <c r="CB27" i="15"/>
  <c r="AK20" i="15"/>
  <c r="AK16" i="15"/>
  <c r="AK23" i="15"/>
  <c r="BL6" i="15"/>
  <c r="BL7" i="15"/>
  <c r="BV51" i="15"/>
  <c r="BV26" i="15"/>
  <c r="BN42" i="15"/>
  <c r="BL42" i="15"/>
  <c r="BP42" i="15"/>
  <c r="BI42" i="15"/>
  <c r="BJ42" i="15" s="1"/>
  <c r="BP26" i="15"/>
  <c r="BN26" i="15"/>
  <c r="BN22" i="15"/>
  <c r="BL22" i="15"/>
  <c r="BP22" i="15"/>
  <c r="BI22" i="15"/>
  <c r="BJ22" i="15" s="1"/>
  <c r="AK17" i="15"/>
  <c r="BY17" i="15"/>
  <c r="BY8" i="15"/>
  <c r="AK36" i="15"/>
  <c r="AK30" i="15"/>
  <c r="CB30" i="15"/>
  <c r="BN50" i="15"/>
  <c r="BI50" i="15"/>
  <c r="BJ50" i="15" s="1"/>
  <c r="CB55" i="15"/>
  <c r="BY19" i="15"/>
  <c r="BN7" i="15"/>
  <c r="BI6" i="15"/>
  <c r="BJ6" i="15" s="1"/>
  <c r="BL14" i="15"/>
  <c r="BV5" i="15"/>
  <c r="BV38" i="15"/>
  <c r="BP46" i="15"/>
  <c r="BN46" i="15"/>
  <c r="BL55" i="15"/>
  <c r="BN55" i="15"/>
  <c r="BE53" i="15"/>
  <c r="BV11" i="15"/>
  <c r="BV49" i="15"/>
  <c r="BN63" i="15"/>
  <c r="BI63" i="15"/>
  <c r="BJ63" i="15" s="1"/>
  <c r="BL63" i="15"/>
  <c r="BP63" i="15"/>
  <c r="BP62" i="15"/>
  <c r="BN62" i="15"/>
  <c r="BI62" i="15"/>
  <c r="BJ62" i="15" s="1"/>
  <c r="BL62" i="15"/>
  <c r="AK52" i="15"/>
  <c r="AK60" i="15"/>
  <c r="BN52" i="15"/>
  <c r="BI52" i="15"/>
  <c r="BJ52" i="15" s="1"/>
  <c r="BP52" i="15"/>
  <c r="BL52" i="15"/>
  <c r="AK40" i="15"/>
  <c r="BN40" i="15"/>
  <c r="BI40" i="15"/>
  <c r="BJ40" i="15" s="1"/>
  <c r="BL40" i="15"/>
  <c r="BP40" i="15"/>
  <c r="BN24" i="15"/>
  <c r="BI24" i="15"/>
  <c r="BJ24" i="15" s="1"/>
  <c r="BP24" i="15"/>
  <c r="BL24" i="15"/>
  <c r="BP21" i="15"/>
  <c r="BL21" i="15"/>
  <c r="BI21" i="15"/>
  <c r="BJ21" i="15" s="1"/>
  <c r="BN21" i="15"/>
  <c r="BY18" i="15"/>
  <c r="BE29" i="15"/>
  <c r="CB23" i="15"/>
  <c r="BN18" i="15"/>
  <c r="BL18" i="15"/>
  <c r="BP18" i="15"/>
  <c r="BL31" i="15"/>
  <c r="BP31" i="15"/>
  <c r="BI31" i="15"/>
  <c r="BJ31" i="15" s="1"/>
  <c r="BN31" i="15"/>
  <c r="CB21" i="15"/>
  <c r="BL15" i="15"/>
  <c r="BP15" i="15"/>
  <c r="BN15" i="15"/>
  <c r="BI15" i="15"/>
  <c r="BJ15" i="15" s="1"/>
  <c r="BP9" i="15"/>
  <c r="BI9" i="15"/>
  <c r="BL9" i="15"/>
  <c r="BN9" i="15"/>
  <c r="AK11" i="15"/>
  <c r="BN13" i="15"/>
  <c r="BI13" i="15"/>
  <c r="BJ13" i="15" s="1"/>
  <c r="BL13" i="15"/>
  <c r="BP13" i="15"/>
  <c r="BL23" i="15"/>
  <c r="BP23" i="15"/>
  <c r="BI23" i="15"/>
  <c r="BJ23" i="15" s="1"/>
  <c r="BN23" i="15"/>
  <c r="BN20" i="15"/>
  <c r="BI20" i="15"/>
  <c r="BJ20" i="15" s="1"/>
  <c r="BL20" i="15"/>
  <c r="BP20" i="15"/>
  <c r="BL19" i="15"/>
  <c r="BN19" i="15"/>
  <c r="BP19" i="15"/>
  <c r="BI19" i="15"/>
  <c r="BJ19" i="15" s="1"/>
  <c r="BP28" i="15"/>
  <c r="BI28" i="15"/>
  <c r="BJ28" i="15" s="1"/>
  <c r="BN28" i="15"/>
  <c r="BL28" i="15"/>
  <c r="BN60" i="15"/>
  <c r="BI60" i="15"/>
  <c r="BJ60" i="15" s="1"/>
  <c r="BP60" i="15"/>
  <c r="BL60" i="15"/>
  <c r="CB62" i="15"/>
  <c r="BN49" i="15"/>
  <c r="BI49" i="15"/>
  <c r="BJ49" i="15" s="1"/>
  <c r="BP49" i="15"/>
  <c r="BL49" i="15"/>
  <c r="BV60" i="15"/>
  <c r="BN56" i="15"/>
  <c r="BI56" i="15"/>
  <c r="BJ56" i="15" s="1"/>
  <c r="BL56" i="15"/>
  <c r="BP56" i="15"/>
  <c r="BP51" i="15"/>
  <c r="BN51" i="15"/>
  <c r="BI51" i="15"/>
  <c r="BJ51" i="15" s="1"/>
  <c r="BL51" i="15"/>
  <c r="BY60" i="15"/>
  <c r="CB57" i="15"/>
  <c r="BL48" i="15"/>
  <c r="BN48" i="15"/>
  <c r="BI48" i="15"/>
  <c r="BJ48" i="15" s="1"/>
  <c r="BP48" i="15"/>
  <c r="AK48" i="15"/>
  <c r="BN44" i="15"/>
  <c r="BI44" i="15"/>
  <c r="BJ44" i="15" s="1"/>
  <c r="BP44" i="15"/>
  <c r="BL44" i="15"/>
  <c r="BP41" i="15"/>
  <c r="BL41" i="15"/>
  <c r="BI41" i="15"/>
  <c r="BJ41" i="15" s="1"/>
  <c r="BN41" i="15"/>
  <c r="CB41" i="15"/>
  <c r="BN35" i="15"/>
  <c r="BI35" i="15"/>
  <c r="BJ35" i="15" s="1"/>
  <c r="BL35" i="15"/>
  <c r="BP35" i="15"/>
  <c r="BP32" i="15"/>
  <c r="BN32" i="15"/>
  <c r="BL32" i="15"/>
  <c r="BI32" i="15"/>
  <c r="BJ32" i="15" s="1"/>
  <c r="AK34" i="15"/>
  <c r="AK19" i="15"/>
  <c r="BY16" i="15"/>
  <c r="BV14" i="15"/>
  <c r="AK9" i="15"/>
  <c r="AK13" i="15"/>
  <c r="BN5" i="15"/>
  <c r="BI5" i="15"/>
  <c r="BJ5" i="15" s="1"/>
  <c r="BP5" i="15"/>
  <c r="BL5" i="15"/>
  <c r="BY63" i="15"/>
  <c r="AK51" i="15"/>
  <c r="BY48" i="15"/>
  <c r="BL43" i="15"/>
  <c r="BP43" i="15"/>
  <c r="BI43" i="15"/>
  <c r="BJ43" i="15" s="1"/>
  <c r="BN43" i="15"/>
  <c r="CB43" i="15"/>
  <c r="BL34" i="15"/>
  <c r="BN34" i="15"/>
  <c r="BI34" i="15"/>
  <c r="BJ34" i="15" s="1"/>
  <c r="BP34" i="15"/>
  <c r="BY31" i="15"/>
  <c r="BY28" i="15"/>
  <c r="AK18" i="15"/>
  <c r="BL12" i="15"/>
  <c r="BN12" i="15"/>
  <c r="BI12" i="15"/>
  <c r="BJ12" i="15" s="1"/>
  <c r="BP12" i="15"/>
  <c r="BL16" i="15"/>
  <c r="BP16" i="15"/>
  <c r="BN16" i="15"/>
  <c r="BI16" i="15"/>
  <c r="BJ16" i="15" s="1"/>
  <c r="BP11" i="15"/>
  <c r="BL11" i="15"/>
  <c r="BI11" i="15"/>
  <c r="BJ11" i="15" s="1"/>
  <c r="BN11" i="15"/>
  <c r="BY13" i="15"/>
  <c r="BY9" i="15"/>
  <c r="BC8" i="15" l="1"/>
  <c r="BC33" i="15"/>
  <c r="BC61" i="15"/>
  <c r="BK61" i="15" s="1"/>
  <c r="BC24" i="15"/>
  <c r="BC46" i="15"/>
  <c r="BC12" i="15"/>
  <c r="BC10" i="15"/>
  <c r="BK10" i="15" s="1"/>
  <c r="BC30" i="15"/>
  <c r="BK30" i="15" s="1"/>
  <c r="BC50" i="15"/>
  <c r="BC54" i="15"/>
  <c r="BK54" i="15" s="1"/>
  <c r="BC7" i="15"/>
  <c r="BC25" i="15"/>
  <c r="BK25" i="15" s="1"/>
  <c r="BC18" i="15"/>
  <c r="BC6" i="15"/>
  <c r="CP50" i="15"/>
  <c r="CP51" i="15" s="1"/>
  <c r="CP52" i="15" s="1"/>
  <c r="CP53" i="15" s="1"/>
  <c r="CP54" i="15" s="1"/>
  <c r="BC16" i="15"/>
  <c r="BC58" i="15"/>
  <c r="BK58" i="15" s="1"/>
  <c r="BC39" i="15"/>
  <c r="BK39" i="15" s="1"/>
  <c r="BC45" i="15"/>
  <c r="BK45" i="15" s="1"/>
  <c r="BC57" i="15"/>
  <c r="BK57" i="15" s="1"/>
  <c r="BC35" i="15"/>
  <c r="BC41" i="15"/>
  <c r="BC51" i="15"/>
  <c r="BC63" i="15"/>
  <c r="BC49" i="15"/>
  <c r="BC9" i="15"/>
  <c r="BC31" i="15"/>
  <c r="BC64" i="15"/>
  <c r="BK64" i="15" s="1"/>
  <c r="BC14" i="15"/>
  <c r="BK14" i="15" s="1"/>
  <c r="BC11" i="15"/>
  <c r="BC34" i="15"/>
  <c r="BC43" i="15"/>
  <c r="BC56" i="15"/>
  <c r="BC60" i="15"/>
  <c r="BC28" i="15"/>
  <c r="BC23" i="15"/>
  <c r="BC40" i="15"/>
  <c r="BC42" i="15"/>
  <c r="BC17" i="15"/>
  <c r="BK17" i="15" s="1"/>
  <c r="BC27" i="15"/>
  <c r="BK27" i="15" s="1"/>
  <c r="BC53" i="15"/>
  <c r="BK53" i="15" s="1"/>
  <c r="BC55" i="15"/>
  <c r="BC37" i="15"/>
  <c r="BE36" i="15"/>
  <c r="BC36" i="15"/>
  <c r="BK36" i="15" s="1"/>
  <c r="BC5" i="15"/>
  <c r="BC32" i="15"/>
  <c r="BC44" i="15"/>
  <c r="BC48" i="15"/>
  <c r="BC19" i="15"/>
  <c r="BC20" i="15"/>
  <c r="BC13" i="15"/>
  <c r="BC15" i="15"/>
  <c r="BC21" i="15"/>
  <c r="BC52" i="15"/>
  <c r="BC62" i="15"/>
  <c r="BC22" i="15"/>
  <c r="BK22" i="15" s="1"/>
  <c r="BC26" i="15"/>
  <c r="BC38" i="15"/>
  <c r="BC47" i="15"/>
  <c r="BE54" i="15"/>
  <c r="BK33" i="15"/>
  <c r="CN5" i="15"/>
  <c r="CN6" i="15" s="1"/>
  <c r="CN7" i="15" s="1"/>
  <c r="CN8" i="15" s="1"/>
  <c r="CN9" i="15" s="1"/>
  <c r="CP15" i="15"/>
  <c r="CP16" i="15" s="1"/>
  <c r="CP17" i="15" s="1"/>
  <c r="CP18" i="15" s="1"/>
  <c r="CP19" i="15" s="1"/>
  <c r="BE30" i="15"/>
  <c r="CN25" i="15"/>
  <c r="CN26" i="15" s="1"/>
  <c r="CN27" i="15" s="1"/>
  <c r="CN28" i="15" s="1"/>
  <c r="CN29" i="15" s="1"/>
  <c r="CP35" i="15"/>
  <c r="CP36" i="15" s="1"/>
  <c r="CP37" i="15" s="1"/>
  <c r="CP38" i="15" s="1"/>
  <c r="CP39" i="15" s="1"/>
  <c r="CP30" i="15"/>
  <c r="CP31" i="15" s="1"/>
  <c r="CP32" i="15" s="1"/>
  <c r="CP33" i="15" s="1"/>
  <c r="CP34" i="15" s="1"/>
  <c r="BE33" i="15"/>
  <c r="BE57" i="15"/>
  <c r="BE45" i="15"/>
  <c r="BE37" i="15"/>
  <c r="CN20" i="15"/>
  <c r="CN21" i="15" s="1"/>
  <c r="CN22" i="15" s="1"/>
  <c r="CN23" i="15" s="1"/>
  <c r="CN24" i="15" s="1"/>
  <c r="BE50" i="15"/>
  <c r="BG29" i="15"/>
  <c r="BE27" i="15"/>
  <c r="BE47" i="15"/>
  <c r="CN35" i="15"/>
  <c r="CN36" i="15" s="1"/>
  <c r="CN37" i="15" s="1"/>
  <c r="CN38" i="15" s="1"/>
  <c r="CN39" i="15" s="1"/>
  <c r="BE8" i="15"/>
  <c r="BG59" i="15"/>
  <c r="BE7" i="15"/>
  <c r="CP55" i="15"/>
  <c r="CP56" i="15" s="1"/>
  <c r="CP57" i="15" s="1"/>
  <c r="CP58" i="15" s="1"/>
  <c r="CP59" i="15" s="1"/>
  <c r="CP5" i="15"/>
  <c r="CP6" i="15" s="1"/>
  <c r="CP7" i="15" s="1"/>
  <c r="CP8" i="15" s="1"/>
  <c r="CP9" i="15" s="1"/>
  <c r="CP60" i="15"/>
  <c r="CP61" i="15" s="1"/>
  <c r="CP62" i="15" s="1"/>
  <c r="CP63" i="15" s="1"/>
  <c r="CP64" i="15" s="1"/>
  <c r="BK59" i="15"/>
  <c r="BE39" i="15"/>
  <c r="BE61" i="15"/>
  <c r="CP40" i="15"/>
  <c r="CP41" i="15" s="1"/>
  <c r="CP42" i="15" s="1"/>
  <c r="CP43" i="15" s="1"/>
  <c r="CP44" i="15" s="1"/>
  <c r="CP45" i="15"/>
  <c r="CP46" i="15" s="1"/>
  <c r="CP47" i="15" s="1"/>
  <c r="CP48" i="15" s="1"/>
  <c r="CP49" i="15" s="1"/>
  <c r="CP10" i="15"/>
  <c r="CP11" i="15" s="1"/>
  <c r="CP12" i="15" s="1"/>
  <c r="CP13" i="15" s="1"/>
  <c r="CP14" i="15" s="1"/>
  <c r="CP25" i="15"/>
  <c r="CP26" i="15" s="1"/>
  <c r="CP27" i="15" s="1"/>
  <c r="CP28" i="15" s="1"/>
  <c r="CP29" i="15" s="1"/>
  <c r="CN30" i="15"/>
  <c r="CN31" i="15" s="1"/>
  <c r="CN32" i="15" s="1"/>
  <c r="CN33" i="15" s="1"/>
  <c r="CN34" i="15" s="1"/>
  <c r="CN55" i="15"/>
  <c r="CN56" i="15" s="1"/>
  <c r="CN57" i="15" s="1"/>
  <c r="CN58" i="15" s="1"/>
  <c r="CN59" i="15" s="1"/>
  <c r="BE6" i="15"/>
  <c r="BE58" i="15"/>
  <c r="BE10" i="15"/>
  <c r="BE17" i="15"/>
  <c r="CP20" i="15"/>
  <c r="CP21" i="15" s="1"/>
  <c r="CP22" i="15" s="1"/>
  <c r="CP23" i="15" s="1"/>
  <c r="CP24" i="15" s="1"/>
  <c r="CN45" i="15"/>
  <c r="CN46" i="15" s="1"/>
  <c r="CN47" i="15" s="1"/>
  <c r="CN48" i="15" s="1"/>
  <c r="CN49" i="15" s="1"/>
  <c r="BE25" i="15"/>
  <c r="BE46" i="15"/>
  <c r="BK6" i="15"/>
  <c r="BE14" i="15"/>
  <c r="BE64" i="15"/>
  <c r="BE55" i="15"/>
  <c r="BK55" i="15"/>
  <c r="BE26" i="15"/>
  <c r="BE42" i="15"/>
  <c r="CN10" i="15"/>
  <c r="CN11" i="15" s="1"/>
  <c r="CN12" i="15" s="1"/>
  <c r="CN13" i="15" s="1"/>
  <c r="CN14" i="15" s="1"/>
  <c r="BE22" i="15"/>
  <c r="BE38" i="15"/>
  <c r="BE16" i="15"/>
  <c r="BE11" i="15"/>
  <c r="BE48" i="15"/>
  <c r="BE56" i="15"/>
  <c r="BE49" i="15"/>
  <c r="BE60" i="15"/>
  <c r="BE19" i="15"/>
  <c r="BE23" i="15"/>
  <c r="BE9" i="15"/>
  <c r="BE31" i="15"/>
  <c r="BE24" i="15"/>
  <c r="BE52" i="15"/>
  <c r="BE63" i="15"/>
  <c r="CN60" i="15"/>
  <c r="CN61" i="15" s="1"/>
  <c r="CN62" i="15" s="1"/>
  <c r="CN63" i="15" s="1"/>
  <c r="CN64" i="15" s="1"/>
  <c r="BE43" i="15"/>
  <c r="BE35" i="15"/>
  <c r="CN40" i="15"/>
  <c r="CN41" i="15" s="1"/>
  <c r="CN42" i="15" s="1"/>
  <c r="CN43" i="15" s="1"/>
  <c r="CN44" i="15" s="1"/>
  <c r="BE51" i="15"/>
  <c r="BE28" i="15"/>
  <c r="BE20" i="15"/>
  <c r="BE13" i="15"/>
  <c r="BE15" i="15"/>
  <c r="BE21" i="15"/>
  <c r="BE12" i="15"/>
  <c r="BE34" i="15"/>
  <c r="BE44" i="15"/>
  <c r="BE18" i="15"/>
  <c r="BE40" i="15"/>
  <c r="BE5" i="15"/>
  <c r="BE32" i="15"/>
  <c r="BE41" i="15"/>
  <c r="BE62" i="15"/>
  <c r="CV5" i="15" l="1"/>
  <c r="CV6" i="15" s="1"/>
  <c r="CV7" i="15" s="1"/>
  <c r="CV8" i="15" s="1"/>
  <c r="CV9" i="15" s="1"/>
  <c r="BG36" i="15"/>
  <c r="BG53" i="15"/>
  <c r="BG33" i="15"/>
  <c r="BG30" i="15"/>
  <c r="BG54" i="15"/>
  <c r="BG50" i="15"/>
  <c r="BG10" i="15"/>
  <c r="BG57" i="15"/>
  <c r="BG37" i="15"/>
  <c r="BK37" i="15"/>
  <c r="BG45" i="15"/>
  <c r="CV45" i="15"/>
  <c r="CV46" i="15" s="1"/>
  <c r="CV47" i="15" s="1"/>
  <c r="CV48" i="15" s="1"/>
  <c r="CV49" i="15" s="1"/>
  <c r="CV50" i="15"/>
  <c r="CV51" i="15" s="1"/>
  <c r="CV52" i="15" s="1"/>
  <c r="CV53" i="15" s="1"/>
  <c r="CV54" i="15" s="1"/>
  <c r="BG27" i="15"/>
  <c r="BG8" i="15"/>
  <c r="BG47" i="15"/>
  <c r="BG64" i="15"/>
  <c r="BK47" i="15"/>
  <c r="BK8" i="15"/>
  <c r="BG61" i="15"/>
  <c r="BG17" i="15"/>
  <c r="BG39" i="15"/>
  <c r="CV20" i="15"/>
  <c r="CV21" i="15" s="1"/>
  <c r="CV22" i="15" s="1"/>
  <c r="CV23" i="15" s="1"/>
  <c r="CV24" i="15" s="1"/>
  <c r="BG14" i="15"/>
  <c r="BK50" i="15"/>
  <c r="CV10" i="15"/>
  <c r="CV11" i="15" s="1"/>
  <c r="CV12" i="15" s="1"/>
  <c r="CV13" i="15" s="1"/>
  <c r="CV14" i="15" s="1"/>
  <c r="BG6" i="15"/>
  <c r="BG26" i="15"/>
  <c r="CV30" i="15"/>
  <c r="CV31" i="15" s="1"/>
  <c r="CV32" i="15" s="1"/>
  <c r="CV33" i="15" s="1"/>
  <c r="CV34" i="15" s="1"/>
  <c r="BK26" i="15"/>
  <c r="CV40" i="15"/>
  <c r="CV41" i="15" s="1"/>
  <c r="CV42" i="15" s="1"/>
  <c r="CV43" i="15" s="1"/>
  <c r="CV44" i="15" s="1"/>
  <c r="CV15" i="15"/>
  <c r="CV16" i="15" s="1"/>
  <c r="CV17" i="15" s="1"/>
  <c r="CV18" i="15" s="1"/>
  <c r="CV19" i="15" s="1"/>
  <c r="CV60" i="15"/>
  <c r="CV61" i="15" s="1"/>
  <c r="CV62" i="15" s="1"/>
  <c r="CV63" i="15" s="1"/>
  <c r="CV64" i="15" s="1"/>
  <c r="CV35" i="15"/>
  <c r="CV36" i="15" s="1"/>
  <c r="CV37" i="15" s="1"/>
  <c r="CV38" i="15" s="1"/>
  <c r="CV39" i="15" s="1"/>
  <c r="BG55" i="15"/>
  <c r="CV55" i="15"/>
  <c r="CV56" i="15" s="1"/>
  <c r="CV57" i="15" s="1"/>
  <c r="CV58" i="15" s="1"/>
  <c r="CV59" i="15" s="1"/>
  <c r="BG25" i="15"/>
  <c r="CV25" i="15"/>
  <c r="CV26" i="15" s="1"/>
  <c r="CV27" i="15" s="1"/>
  <c r="CV28" i="15" s="1"/>
  <c r="CV29" i="15" s="1"/>
  <c r="BG38" i="15"/>
  <c r="BK38" i="15"/>
  <c r="BG22" i="15"/>
  <c r="BK42" i="15"/>
  <c r="BG42" i="15"/>
  <c r="BG46" i="15"/>
  <c r="BK46" i="15"/>
  <c r="BG7" i="15"/>
  <c r="BK7" i="15"/>
  <c r="BG58" i="15"/>
  <c r="BG32" i="15"/>
  <c r="BK32" i="15"/>
  <c r="BG5" i="15"/>
  <c r="BK5" i="15"/>
  <c r="BG13" i="15"/>
  <c r="BK13" i="15"/>
  <c r="BG40" i="15"/>
  <c r="BK40" i="15"/>
  <c r="BG12" i="15"/>
  <c r="BK12" i="15"/>
  <c r="BG15" i="15"/>
  <c r="BK15" i="15"/>
  <c r="BG43" i="15"/>
  <c r="BK43" i="15"/>
  <c r="BG63" i="15"/>
  <c r="BK63" i="15"/>
  <c r="BG19" i="15"/>
  <c r="BK19" i="15"/>
  <c r="BG60" i="15"/>
  <c r="BK60" i="15"/>
  <c r="BG56" i="15"/>
  <c r="BK56" i="15"/>
  <c r="BG62" i="15"/>
  <c r="BK62" i="15"/>
  <c r="BG18" i="15"/>
  <c r="BK18" i="15"/>
  <c r="BG44" i="15"/>
  <c r="BK44" i="15"/>
  <c r="BG20" i="15"/>
  <c r="BK20" i="15"/>
  <c r="BG35" i="15"/>
  <c r="BK35" i="15"/>
  <c r="BG24" i="15"/>
  <c r="BK24" i="15"/>
  <c r="BG9" i="15"/>
  <c r="BK9" i="15"/>
  <c r="BG11" i="15"/>
  <c r="BK11" i="15"/>
  <c r="BG34" i="15"/>
  <c r="BK34" i="15"/>
  <c r="BG28" i="15"/>
  <c r="BK28" i="15"/>
  <c r="BG51" i="15"/>
  <c r="BK51" i="15"/>
  <c r="BG52" i="15"/>
  <c r="BK52" i="15"/>
  <c r="BG31" i="15"/>
  <c r="BK31" i="15"/>
  <c r="BG49" i="15"/>
  <c r="BK49" i="15"/>
  <c r="BG48" i="15"/>
  <c r="BK48" i="15"/>
  <c r="BG16" i="15"/>
  <c r="BK16" i="15"/>
  <c r="BG41" i="15"/>
  <c r="BK41" i="15"/>
  <c r="BG21" i="15"/>
  <c r="BK21" i="15"/>
  <c r="BG23" i="15"/>
  <c r="BK23" i="15"/>
  <c r="CO5" i="15" l="1"/>
  <c r="CO6" i="15" s="1"/>
  <c r="CO7" i="15" s="1"/>
  <c r="CO8" i="15" s="1"/>
  <c r="CO9" i="15" s="1"/>
  <c r="CO25" i="15"/>
  <c r="CO26" i="15" s="1"/>
  <c r="CO27" i="15" s="1"/>
  <c r="CO28" i="15" s="1"/>
  <c r="CO29" i="15" s="1"/>
  <c r="CO45" i="15"/>
  <c r="CO46" i="15" s="1"/>
  <c r="CO47" i="15" s="1"/>
  <c r="CO48" i="15" s="1"/>
  <c r="CO49" i="15" s="1"/>
  <c r="CO55" i="15"/>
  <c r="CO56" i="15" s="1"/>
  <c r="CO57" i="15" s="1"/>
  <c r="CO58" i="15" s="1"/>
  <c r="CO59" i="15" s="1"/>
  <c r="CM50" i="15"/>
  <c r="CM51" i="15" s="1"/>
  <c r="CM52" i="15" s="1"/>
  <c r="CM53" i="15" s="1"/>
  <c r="CM54" i="15" s="1"/>
  <c r="CM55" i="15"/>
  <c r="CM56" i="15" s="1"/>
  <c r="CM57" i="15" s="1"/>
  <c r="CM58" i="15" s="1"/>
  <c r="CM59" i="15" s="1"/>
  <c r="CM25" i="15"/>
  <c r="CM26" i="15" s="1"/>
  <c r="CM27" i="15" s="1"/>
  <c r="CM28" i="15" s="1"/>
  <c r="CM29" i="15" s="1"/>
  <c r="CO50" i="15"/>
  <c r="CO51" i="15" s="1"/>
  <c r="CO52" i="15" s="1"/>
  <c r="CO53" i="15" s="1"/>
  <c r="CO54" i="15" s="1"/>
  <c r="CM45" i="15"/>
  <c r="CM46" i="15" s="1"/>
  <c r="CM47" i="15" s="1"/>
  <c r="CM48" i="15" s="1"/>
  <c r="CM49" i="15" s="1"/>
  <c r="CO35" i="15"/>
  <c r="CO36" i="15" s="1"/>
  <c r="CO37" i="15" s="1"/>
  <c r="CO38" i="15" s="1"/>
  <c r="CO39" i="15" s="1"/>
  <c r="CM35" i="15"/>
  <c r="CM36" i="15" s="1"/>
  <c r="CM37" i="15" s="1"/>
  <c r="CM38" i="15" s="1"/>
  <c r="CM39" i="15" s="1"/>
  <c r="CM30" i="15"/>
  <c r="CM31" i="15" s="1"/>
  <c r="CM32" i="15" s="1"/>
  <c r="CM33" i="15" s="1"/>
  <c r="CM34" i="15" s="1"/>
  <c r="CO30" i="15"/>
  <c r="CO31" i="15" s="1"/>
  <c r="CO32" i="15" s="1"/>
  <c r="CO33" i="15" s="1"/>
  <c r="CO34" i="15" s="1"/>
  <c r="CM10" i="15"/>
  <c r="CM11" i="15" s="1"/>
  <c r="CM12" i="15" s="1"/>
  <c r="CM13" i="15" s="1"/>
  <c r="CM14" i="15" s="1"/>
  <c r="CO10" i="15"/>
  <c r="CO11" i="15" s="1"/>
  <c r="CO12" i="15" s="1"/>
  <c r="CO13" i="15" s="1"/>
  <c r="CO14" i="15" s="1"/>
  <c r="CO20" i="15"/>
  <c r="CO21" i="15" s="1"/>
  <c r="CO22" i="15" s="1"/>
  <c r="CO23" i="15" s="1"/>
  <c r="CO24" i="15" s="1"/>
  <c r="CM20" i="15"/>
  <c r="CM21" i="15" s="1"/>
  <c r="CM22" i="15" s="1"/>
  <c r="CM23" i="15" s="1"/>
  <c r="CM24" i="15" s="1"/>
  <c r="CO60" i="15"/>
  <c r="CO61" i="15" s="1"/>
  <c r="CO62" i="15" s="1"/>
  <c r="CO63" i="15" s="1"/>
  <c r="CO64" i="15" s="1"/>
  <c r="CM60" i="15"/>
  <c r="CM61" i="15" s="1"/>
  <c r="CM62" i="15" s="1"/>
  <c r="CM63" i="15" s="1"/>
  <c r="CM64" i="15" s="1"/>
  <c r="CM15" i="15"/>
  <c r="CM16" i="15" s="1"/>
  <c r="CM17" i="15" s="1"/>
  <c r="CM18" i="15" s="1"/>
  <c r="CM19" i="15" s="1"/>
  <c r="CO15" i="15"/>
  <c r="CO16" i="15" s="1"/>
  <c r="CO17" i="15" s="1"/>
  <c r="CO18" i="15" s="1"/>
  <c r="CO19" i="15" s="1"/>
  <c r="CO40" i="15"/>
  <c r="CO41" i="15" s="1"/>
  <c r="CO42" i="15" s="1"/>
  <c r="CO43" i="15" s="1"/>
  <c r="CO44" i="15" s="1"/>
  <c r="CM40" i="15"/>
  <c r="CM41" i="15" s="1"/>
  <c r="CM42" i="15" s="1"/>
  <c r="CM43" i="15" s="1"/>
  <c r="CM44" i="15" s="1"/>
  <c r="CM5" i="15"/>
  <c r="CM6" i="15" s="1"/>
  <c r="CM7" i="15" s="1"/>
  <c r="CM8" i="15" s="1"/>
  <c r="CM9" i="15" s="1"/>
  <c r="H26" i="14" l="1"/>
  <c r="L26" i="14"/>
  <c r="M26" i="14"/>
  <c r="O26" i="14"/>
  <c r="F18" i="14" l="1"/>
  <c r="G18" i="14"/>
  <c r="H18" i="14"/>
  <c r="I18" i="14"/>
  <c r="J18" i="14"/>
  <c r="K18" i="14"/>
  <c r="L18" i="14"/>
  <c r="M18" i="14"/>
  <c r="N18" i="14"/>
  <c r="O18" i="14"/>
  <c r="P18" i="14"/>
  <c r="E18" i="14"/>
  <c r="F9" i="14"/>
  <c r="G9" i="14"/>
  <c r="H9" i="14"/>
  <c r="I9" i="14"/>
  <c r="J9" i="14"/>
  <c r="K9" i="14"/>
  <c r="L9" i="14"/>
  <c r="M9" i="14"/>
  <c r="N9" i="14"/>
  <c r="O9" i="14"/>
  <c r="P9" i="14"/>
  <c r="E9" i="14"/>
  <c r="F22" i="14" l="1"/>
  <c r="F26" i="14" s="1"/>
  <c r="G22" i="14"/>
  <c r="G26" i="14" s="1"/>
  <c r="I22" i="14"/>
  <c r="I26" i="14" s="1"/>
  <c r="J22" i="14"/>
  <c r="J26" i="14" s="1"/>
  <c r="K22" i="14"/>
  <c r="K26" i="14" s="1"/>
  <c r="N22" i="14"/>
  <c r="N26" i="14" s="1"/>
  <c r="P22" i="14"/>
  <c r="P26" i="14" s="1"/>
  <c r="E22" i="14"/>
  <c r="F21" i="14"/>
  <c r="G21" i="14"/>
  <c r="H21" i="14"/>
  <c r="I21" i="14"/>
  <c r="J21" i="14"/>
  <c r="K21" i="14"/>
  <c r="L21" i="14"/>
  <c r="M21" i="14"/>
  <c r="N21" i="14"/>
  <c r="O21" i="14"/>
  <c r="P21" i="14"/>
  <c r="E21" i="14"/>
  <c r="E26" i="14" s="1"/>
  <c r="N6" i="11" l="1"/>
  <c r="N7" i="11"/>
  <c r="N8" i="11"/>
  <c r="N9" i="11"/>
  <c r="N10" i="11"/>
  <c r="N11" i="11"/>
  <c r="N12" i="11"/>
  <c r="N16" i="11"/>
  <c r="N17" i="11"/>
  <c r="N18" i="11"/>
  <c r="N19" i="11"/>
  <c r="N20" i="11"/>
  <c r="N21" i="11"/>
  <c r="N22" i="11"/>
  <c r="N23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H59" i="11" l="1"/>
  <c r="K59" i="11" s="1"/>
  <c r="G59" i="11"/>
  <c r="H58" i="11"/>
  <c r="K58" i="11" s="1"/>
  <c r="G58" i="11"/>
  <c r="H57" i="11"/>
  <c r="I57" i="11" s="1"/>
  <c r="G57" i="11"/>
  <c r="H56" i="11"/>
  <c r="K56" i="11" s="1"/>
  <c r="G56" i="11"/>
  <c r="D56" i="11"/>
  <c r="I55" i="11"/>
  <c r="M55" i="11" s="1"/>
  <c r="G55" i="11"/>
  <c r="I54" i="11"/>
  <c r="M54" i="11" s="1"/>
  <c r="G54" i="11"/>
  <c r="H53" i="11"/>
  <c r="K53" i="11" s="1"/>
  <c r="G53" i="11"/>
  <c r="D53" i="11"/>
  <c r="H52" i="11"/>
  <c r="K52" i="11" s="1"/>
  <c r="G52" i="11"/>
  <c r="H51" i="11"/>
  <c r="I51" i="11" s="1"/>
  <c r="G51" i="11"/>
  <c r="H50" i="11"/>
  <c r="K50" i="11" s="1"/>
  <c r="G50" i="11"/>
  <c r="H49" i="11"/>
  <c r="K49" i="11" s="1"/>
  <c r="G49" i="11"/>
  <c r="K48" i="11"/>
  <c r="I48" i="11"/>
  <c r="G48" i="11"/>
  <c r="K47" i="11"/>
  <c r="I47" i="11"/>
  <c r="G47" i="11"/>
  <c r="H46" i="11"/>
  <c r="K46" i="11" s="1"/>
  <c r="G46" i="11"/>
  <c r="H45" i="11"/>
  <c r="I45" i="11" s="1"/>
  <c r="G45" i="11"/>
  <c r="H44" i="11"/>
  <c r="K44" i="11" s="1"/>
  <c r="G44" i="11"/>
  <c r="H43" i="11"/>
  <c r="K43" i="11" s="1"/>
  <c r="G43" i="11"/>
  <c r="D43" i="11"/>
  <c r="H42" i="11"/>
  <c r="I42" i="11" s="1"/>
  <c r="G42" i="11"/>
  <c r="D42" i="11"/>
  <c r="K41" i="11"/>
  <c r="I41" i="11"/>
  <c r="G41" i="11"/>
  <c r="K40" i="11"/>
  <c r="I40" i="11"/>
  <c r="G40" i="11"/>
  <c r="H39" i="11"/>
  <c r="K39" i="11" s="1"/>
  <c r="G39" i="11"/>
  <c r="AX38" i="11"/>
  <c r="H38" i="11"/>
  <c r="I38" i="11" s="1"/>
  <c r="G38" i="11"/>
  <c r="AX37" i="11"/>
  <c r="H37" i="11"/>
  <c r="K37" i="11" s="1"/>
  <c r="G37" i="11"/>
  <c r="AX36" i="11"/>
  <c r="H36" i="11"/>
  <c r="I36" i="11" s="1"/>
  <c r="G36" i="11"/>
  <c r="AX35" i="11"/>
  <c r="H35" i="11"/>
  <c r="K35" i="11" s="1"/>
  <c r="G35" i="11"/>
  <c r="D35" i="11"/>
  <c r="AX34" i="11"/>
  <c r="K34" i="11"/>
  <c r="I34" i="11"/>
  <c r="G34" i="11"/>
  <c r="AX33" i="11"/>
  <c r="K33" i="11"/>
  <c r="I33" i="11"/>
  <c r="G33" i="11"/>
  <c r="AX32" i="11"/>
  <c r="H32" i="11"/>
  <c r="K32" i="11" s="1"/>
  <c r="G32" i="11"/>
  <c r="AX31" i="11"/>
  <c r="H31" i="11"/>
  <c r="I31" i="11" s="1"/>
  <c r="G31" i="11"/>
  <c r="AX30" i="11"/>
  <c r="H30" i="11"/>
  <c r="K30" i="11" s="1"/>
  <c r="G30" i="11"/>
  <c r="D30" i="11"/>
  <c r="AX29" i="11"/>
  <c r="K29" i="11"/>
  <c r="I29" i="11"/>
  <c r="G29" i="11"/>
  <c r="AX28" i="11"/>
  <c r="K28" i="11"/>
  <c r="I28" i="11"/>
  <c r="G28" i="11"/>
  <c r="AX27" i="11"/>
  <c r="H27" i="11"/>
  <c r="I27" i="11" s="1"/>
  <c r="G27" i="11"/>
  <c r="AX26" i="11"/>
  <c r="H26" i="11"/>
  <c r="K26" i="11" s="1"/>
  <c r="G26" i="11"/>
  <c r="AX25" i="11"/>
  <c r="H25" i="11"/>
  <c r="I25" i="11" s="1"/>
  <c r="G25" i="11"/>
  <c r="AX24" i="11"/>
  <c r="L24" i="11"/>
  <c r="N24" i="11" s="1"/>
  <c r="H24" i="11"/>
  <c r="K24" i="11" s="1"/>
  <c r="G24" i="11"/>
  <c r="AX23" i="11"/>
  <c r="K23" i="11"/>
  <c r="I23" i="11"/>
  <c r="G23" i="11"/>
  <c r="AX22" i="11"/>
  <c r="K22" i="11"/>
  <c r="I22" i="11"/>
  <c r="G22" i="11"/>
  <c r="AX21" i="11"/>
  <c r="K21" i="11"/>
  <c r="I21" i="11"/>
  <c r="G21" i="11"/>
  <c r="AX20" i="11"/>
  <c r="H20" i="11"/>
  <c r="I20" i="11" s="1"/>
  <c r="G20" i="11"/>
  <c r="AX19" i="11"/>
  <c r="H19" i="11"/>
  <c r="K19" i="11" s="1"/>
  <c r="G19" i="11"/>
  <c r="AX18" i="11"/>
  <c r="H18" i="11"/>
  <c r="I18" i="11" s="1"/>
  <c r="G18" i="11"/>
  <c r="AX17" i="11"/>
  <c r="H17" i="11"/>
  <c r="K17" i="11" s="1"/>
  <c r="G17" i="11"/>
  <c r="AX16" i="11"/>
  <c r="H16" i="11"/>
  <c r="I16" i="11" s="1"/>
  <c r="G16" i="11"/>
  <c r="AX15" i="11"/>
  <c r="L15" i="11"/>
  <c r="N15" i="11" s="1"/>
  <c r="H15" i="11"/>
  <c r="K15" i="11" s="1"/>
  <c r="G15" i="11"/>
  <c r="AX14" i="11"/>
  <c r="L14" i="11"/>
  <c r="N14" i="11" s="1"/>
  <c r="H14" i="11"/>
  <c r="K14" i="11" s="1"/>
  <c r="G14" i="11"/>
  <c r="AX13" i="11"/>
  <c r="L13" i="11"/>
  <c r="N13" i="11" s="1"/>
  <c r="H13" i="11"/>
  <c r="I13" i="11" s="1"/>
  <c r="G13" i="11"/>
  <c r="AX12" i="11"/>
  <c r="AN12" i="11"/>
  <c r="AM12" i="11"/>
  <c r="AO12" i="11" s="1"/>
  <c r="AG12" i="11"/>
  <c r="AF12" i="11"/>
  <c r="AH12" i="11" s="1"/>
  <c r="AA12" i="11"/>
  <c r="Z12" i="11"/>
  <c r="AB12" i="11" s="1"/>
  <c r="K12" i="11"/>
  <c r="I12" i="11"/>
  <c r="G12" i="11"/>
  <c r="AX11" i="11"/>
  <c r="AN11" i="11"/>
  <c r="AM11" i="11"/>
  <c r="AO11" i="11" s="1"/>
  <c r="AG11" i="11"/>
  <c r="AF11" i="11"/>
  <c r="AH11" i="11" s="1"/>
  <c r="AA11" i="11"/>
  <c r="Z11" i="11"/>
  <c r="AB11" i="11" s="1"/>
  <c r="K11" i="11"/>
  <c r="I11" i="11"/>
  <c r="G11" i="11"/>
  <c r="AX10" i="11"/>
  <c r="AN10" i="11"/>
  <c r="AM10" i="11"/>
  <c r="AO10" i="11" s="1"/>
  <c r="AG10" i="11"/>
  <c r="AF10" i="11"/>
  <c r="AH10" i="11" s="1"/>
  <c r="AA10" i="11"/>
  <c r="Z10" i="11"/>
  <c r="AB10" i="11" s="1"/>
  <c r="H10" i="11"/>
  <c r="I10" i="11" s="1"/>
  <c r="E10" i="11"/>
  <c r="G10" i="11" s="1"/>
  <c r="AX9" i="11"/>
  <c r="AN9" i="11"/>
  <c r="AM9" i="11"/>
  <c r="AO9" i="11" s="1"/>
  <c r="AG9" i="11"/>
  <c r="AF9" i="11"/>
  <c r="AH9" i="11" s="1"/>
  <c r="AA9" i="11"/>
  <c r="Z9" i="11"/>
  <c r="AB9" i="11" s="1"/>
  <c r="H9" i="11"/>
  <c r="I9" i="11" s="1"/>
  <c r="E9" i="11"/>
  <c r="G9" i="11" s="1"/>
  <c r="AX8" i="11"/>
  <c r="AN8" i="11"/>
  <c r="AM8" i="11"/>
  <c r="AO8" i="11" s="1"/>
  <c r="AG8" i="11"/>
  <c r="AF8" i="11"/>
  <c r="AH8" i="11" s="1"/>
  <c r="AA8" i="11"/>
  <c r="Z8" i="11"/>
  <c r="AB8" i="11" s="1"/>
  <c r="H8" i="11"/>
  <c r="K8" i="11" s="1"/>
  <c r="E8" i="11"/>
  <c r="G8" i="11" s="1"/>
  <c r="AX7" i="11"/>
  <c r="AN7" i="11"/>
  <c r="AM7" i="11"/>
  <c r="AO7" i="11" s="1"/>
  <c r="AG7" i="11"/>
  <c r="AF7" i="11"/>
  <c r="AH7" i="11" s="1"/>
  <c r="AA7" i="11"/>
  <c r="Z7" i="11"/>
  <c r="AB7" i="11" s="1"/>
  <c r="H7" i="11"/>
  <c r="K7" i="11" s="1"/>
  <c r="E7" i="11"/>
  <c r="G7" i="11" s="1"/>
  <c r="AX6" i="11"/>
  <c r="AN6" i="11"/>
  <c r="AM6" i="11"/>
  <c r="AO6" i="11" s="1"/>
  <c r="AG6" i="11"/>
  <c r="AF6" i="11"/>
  <c r="AH6" i="11" s="1"/>
  <c r="AA6" i="11"/>
  <c r="Z6" i="11"/>
  <c r="AB6" i="11" s="1"/>
  <c r="H6" i="11"/>
  <c r="I6" i="11" s="1"/>
  <c r="E6" i="11"/>
  <c r="G6" i="11" s="1"/>
  <c r="AX5" i="11"/>
  <c r="AN5" i="11"/>
  <c r="AM5" i="11"/>
  <c r="AO5" i="11" s="1"/>
  <c r="AG5" i="11"/>
  <c r="AF5" i="11"/>
  <c r="AH5" i="11" s="1"/>
  <c r="AA5" i="11"/>
  <c r="Z5" i="11"/>
  <c r="AB5" i="11" s="1"/>
  <c r="L5" i="11"/>
  <c r="N5" i="11" s="1"/>
  <c r="H5" i="11"/>
  <c r="I5" i="11" s="1"/>
  <c r="E5" i="11"/>
  <c r="G5" i="11" s="1"/>
  <c r="H4" i="11"/>
  <c r="K4" i="11" s="1"/>
  <c r="D4" i="11"/>
  <c r="E4" i="11" s="1"/>
  <c r="G4" i="11" s="1"/>
  <c r="AI8" i="11" l="1"/>
  <c r="AC12" i="11"/>
  <c r="AP12" i="11"/>
  <c r="M12" i="11"/>
  <c r="AI12" i="11"/>
  <c r="AI5" i="11"/>
  <c r="AC7" i="11"/>
  <c r="AP7" i="11"/>
  <c r="AC5" i="11"/>
  <c r="AI7" i="11"/>
  <c r="AC9" i="11"/>
  <c r="M21" i="11"/>
  <c r="I44" i="11"/>
  <c r="M44" i="11" s="1"/>
  <c r="M47" i="11"/>
  <c r="I56" i="11"/>
  <c r="AI9" i="11"/>
  <c r="M11" i="11"/>
  <c r="K31" i="11"/>
  <c r="M31" i="11" s="1"/>
  <c r="I46" i="11"/>
  <c r="M46" i="11" s="1"/>
  <c r="AI6" i="11"/>
  <c r="AI10" i="11"/>
  <c r="AC11" i="11"/>
  <c r="K13" i="11"/>
  <c r="M13" i="11" s="1"/>
  <c r="M23" i="11"/>
  <c r="M28" i="11"/>
  <c r="M34" i="11"/>
  <c r="I58" i="11"/>
  <c r="M58" i="11" s="1"/>
  <c r="AC6" i="11"/>
  <c r="AP6" i="11"/>
  <c r="K9" i="11"/>
  <c r="AC10" i="11"/>
  <c r="AP10" i="11"/>
  <c r="AI11" i="11"/>
  <c r="M48" i="11"/>
  <c r="M56" i="11"/>
  <c r="AP5" i="11"/>
  <c r="K5" i="11"/>
  <c r="M5" i="11" s="1"/>
  <c r="K6" i="11"/>
  <c r="M6" i="11" s="1"/>
  <c r="AC8" i="11"/>
  <c r="AP8" i="11"/>
  <c r="K10" i="11"/>
  <c r="M10" i="11" s="1"/>
  <c r="K16" i="11"/>
  <c r="M16" i="11" s="1"/>
  <c r="K25" i="11"/>
  <c r="M25" i="11" s="1"/>
  <c r="I30" i="11"/>
  <c r="M30" i="11" s="1"/>
  <c r="M40" i="11"/>
  <c r="I50" i="11"/>
  <c r="M50" i="11" s="1"/>
  <c r="AP9" i="11"/>
  <c r="AP11" i="11"/>
  <c r="I15" i="11"/>
  <c r="M15" i="11" s="1"/>
  <c r="K20" i="11"/>
  <c r="M20" i="11" s="1"/>
  <c r="M22" i="11"/>
  <c r="I32" i="11"/>
  <c r="M32" i="11" s="1"/>
  <c r="M33" i="11"/>
  <c r="K38" i="11"/>
  <c r="M38" i="11" s="1"/>
  <c r="K45" i="11"/>
  <c r="M45" i="11" s="1"/>
  <c r="I52" i="11"/>
  <c r="M52" i="11" s="1"/>
  <c r="I53" i="11"/>
  <c r="M53" i="11" s="1"/>
  <c r="K57" i="11"/>
  <c r="M57" i="11" s="1"/>
  <c r="I4" i="11"/>
  <c r="M4" i="11" s="1"/>
  <c r="I8" i="11"/>
  <c r="M8" i="11" s="1"/>
  <c r="K18" i="11"/>
  <c r="M18" i="11" s="1"/>
  <c r="I24" i="11"/>
  <c r="M24" i="11" s="1"/>
  <c r="K27" i="11"/>
  <c r="M27" i="11" s="1"/>
  <c r="M29" i="11"/>
  <c r="K36" i="11"/>
  <c r="M36" i="11" s="1"/>
  <c r="M41" i="11"/>
  <c r="K42" i="11"/>
  <c r="M42" i="11" s="1"/>
  <c r="K51" i="11"/>
  <c r="M51" i="11" s="1"/>
  <c r="M9" i="11"/>
  <c r="I7" i="11"/>
  <c r="M7" i="11" s="1"/>
  <c r="I14" i="11"/>
  <c r="M14" i="11" s="1"/>
  <c r="I17" i="11"/>
  <c r="M17" i="11" s="1"/>
  <c r="I19" i="11"/>
  <c r="M19" i="11" s="1"/>
  <c r="I26" i="11"/>
  <c r="M26" i="11" s="1"/>
  <c r="I35" i="11"/>
  <c r="M35" i="11" s="1"/>
  <c r="I37" i="11"/>
  <c r="M37" i="11" s="1"/>
  <c r="I39" i="11"/>
  <c r="M39" i="11" s="1"/>
  <c r="I43" i="11"/>
  <c r="M43" i="11" s="1"/>
  <c r="I49" i="11"/>
  <c r="M49" i="11" s="1"/>
  <c r="I59" i="11"/>
  <c r="M59" i="11" s="1"/>
</calcChain>
</file>

<file path=xl/comments1.xml><?xml version="1.0" encoding="utf-8"?>
<comments xmlns="http://schemas.openxmlformats.org/spreadsheetml/2006/main">
  <authors>
    <author>Yourek, Matthew</author>
  </authors>
  <commentList>
    <comment ref="K8" authorId="0">
      <text>
        <r>
          <rPr>
            <b/>
            <sz val="9"/>
            <color indexed="81"/>
            <rFont val="Tahoma"/>
            <family val="2"/>
          </rPr>
          <t>Yourek, Matthew:</t>
        </r>
        <r>
          <rPr>
            <sz val="9"/>
            <color indexed="81"/>
            <rFont val="Tahoma"/>
            <family val="2"/>
          </rPr>
          <t xml:space="preserve">
labled OD11 in notebook (OD11 appears twice)
</t>
        </r>
      </text>
    </comment>
  </commentList>
</comments>
</file>

<file path=xl/sharedStrings.xml><?xml version="1.0" encoding="utf-8"?>
<sst xmlns="http://schemas.openxmlformats.org/spreadsheetml/2006/main" count="1776" uniqueCount="250">
  <si>
    <t>SW</t>
  </si>
  <si>
    <t>SB</t>
  </si>
  <si>
    <t>Row Labels</t>
  </si>
  <si>
    <t>Column Labels</t>
  </si>
  <si>
    <t>Farm</t>
  </si>
  <si>
    <t>Site</t>
  </si>
  <si>
    <t>Depth (ft.)</t>
  </si>
  <si>
    <t>ODB</t>
  </si>
  <si>
    <t>% diff</t>
  </si>
  <si>
    <t>Giddings Probe</t>
  </si>
  <si>
    <t>Hand Probe</t>
  </si>
  <si>
    <t>BD_3/15/13</t>
  </si>
  <si>
    <t>average</t>
  </si>
  <si>
    <t>stdev</t>
  </si>
  <si>
    <t>low</t>
  </si>
  <si>
    <t>high</t>
  </si>
  <si>
    <t>fc</t>
  </si>
  <si>
    <t>awc</t>
  </si>
  <si>
    <t>Crop</t>
  </si>
  <si>
    <t>Canola</t>
  </si>
  <si>
    <t>Yield (lb/ac)</t>
  </si>
  <si>
    <t>Year</t>
  </si>
  <si>
    <t>Protein content (%)</t>
  </si>
  <si>
    <t>Fall 2011</t>
  </si>
  <si>
    <t>Fall 2012</t>
  </si>
  <si>
    <t/>
  </si>
  <si>
    <t>Fall-GWC</t>
  </si>
  <si>
    <t>Spring-GWC</t>
  </si>
  <si>
    <t>ΔIN</t>
  </si>
  <si>
    <t>Δθg</t>
  </si>
  <si>
    <t>2013 Observations</t>
  </si>
  <si>
    <t>porosity</t>
  </si>
  <si>
    <t>field_cap</t>
  </si>
  <si>
    <t>wilt_pt</t>
  </si>
  <si>
    <t>AWC</t>
  </si>
  <si>
    <t>θdp</t>
  </si>
  <si>
    <t>hb</t>
  </si>
  <si>
    <t>λ</t>
  </si>
  <si>
    <t>ϴr</t>
  </si>
  <si>
    <t xml:space="preserve">sand </t>
  </si>
  <si>
    <t xml:space="preserve">silt </t>
  </si>
  <si>
    <t xml:space="preserve">clay </t>
  </si>
  <si>
    <t>Fall-VWC</t>
  </si>
  <si>
    <t>Spring-VWC</t>
  </si>
  <si>
    <t>Δθv</t>
  </si>
  <si>
    <t>BD</t>
  </si>
  <si>
    <t>Web Soil Survey</t>
  </si>
  <si>
    <t>Naff-Palouse Complex</t>
  </si>
  <si>
    <t>Ksat</t>
  </si>
  <si>
    <t>4-14</t>
  </si>
  <si>
    <t>μm/s</t>
  </si>
  <si>
    <t>field capacity</t>
  </si>
  <si>
    <t>wilting point</t>
  </si>
  <si>
    <t>available water capacity</t>
  </si>
  <si>
    <t>Grand Total</t>
  </si>
  <si>
    <t>A</t>
  </si>
  <si>
    <t>B</t>
  </si>
  <si>
    <t>wp.Saxton</t>
  </si>
  <si>
    <t>fc.Saxton</t>
  </si>
  <si>
    <t>Saxton et al., 1986</t>
  </si>
  <si>
    <t>awc.Saxton</t>
  </si>
  <si>
    <t>wp.SS</t>
  </si>
  <si>
    <t>fc.SS</t>
  </si>
  <si>
    <t>awc.SS</t>
  </si>
  <si>
    <t>Thatuna Silt loam at parker farm</t>
  </si>
  <si>
    <t>Depth (inches)</t>
  </si>
  <si>
    <t>.3 bar Vol. Moisture</t>
  </si>
  <si>
    <t>dry Bdens g/cm3</t>
  </si>
  <si>
    <t>filled dry Bdens g/cm3</t>
  </si>
  <si>
    <t>sat.mc from dry bdense</t>
  </si>
  <si>
    <t>.3 bar Bdense</t>
  </si>
  <si>
    <t>sat.mc-fc.mc from bdense dry</t>
  </si>
  <si>
    <t>sat.mc from .3 bar Bdense</t>
  </si>
  <si>
    <t>sat.mc-fc.mc for .3 bar bdense</t>
  </si>
  <si>
    <t>wp</t>
  </si>
  <si>
    <t>sat.mc-wp.mc for .3 bar bdense</t>
  </si>
  <si>
    <t>sat. hydraulic cond. (in./hr)</t>
  </si>
  <si>
    <t>0.3 bar</t>
  </si>
  <si>
    <t>dry BD</t>
  </si>
  <si>
    <t>filled dry BD</t>
  </si>
  <si>
    <t>Bdense</t>
  </si>
  <si>
    <t>Thatuna</t>
  </si>
  <si>
    <t>1/3 bar relationships</t>
  </si>
  <si>
    <t>Garfield</t>
  </si>
  <si>
    <t>Palouse</t>
  </si>
  <si>
    <t>.1737x+.084</t>
  </si>
  <si>
    <t>Naff</t>
  </si>
  <si>
    <t>OD1</t>
  </si>
  <si>
    <t>OD2</t>
  </si>
  <si>
    <t>OD3</t>
  </si>
  <si>
    <t>OD4</t>
  </si>
  <si>
    <t>OD5</t>
  </si>
  <si>
    <t>OD6</t>
  </si>
  <si>
    <t>OD7</t>
  </si>
  <si>
    <t>OD8</t>
  </si>
  <si>
    <t>OD9</t>
  </si>
  <si>
    <t>OD10</t>
  </si>
  <si>
    <t>OD11</t>
  </si>
  <si>
    <t>OD12</t>
  </si>
  <si>
    <t>yes</t>
  </si>
  <si>
    <t>2012/2013</t>
  </si>
  <si>
    <t>2012-2014</t>
  </si>
  <si>
    <t>Corrected Decagon</t>
  </si>
  <si>
    <t>Uncorrected Decagon</t>
  </si>
  <si>
    <t>awc.Decagon</t>
  </si>
  <si>
    <t>.3 bar BD</t>
  </si>
  <si>
    <t>Fall-GWC_noN</t>
  </si>
  <si>
    <t>Fall-GWC_withN</t>
  </si>
  <si>
    <t>Spring-GWC_2014</t>
  </si>
  <si>
    <t>Fall-NO3_noN</t>
  </si>
  <si>
    <t>Fall-NO3_withN</t>
  </si>
  <si>
    <t>Spring-NO3_2014</t>
  </si>
  <si>
    <t>Fall-IN_noN</t>
  </si>
  <si>
    <t>Fall-IN_withN</t>
  </si>
  <si>
    <t>Spring_IN_2014</t>
  </si>
  <si>
    <t>Δθg_noN</t>
  </si>
  <si>
    <t>Δθg_withN</t>
  </si>
  <si>
    <t>ΔNO3_noN</t>
  </si>
  <si>
    <t>ΔNO3_withN</t>
  </si>
  <si>
    <t>ΔIN_noN</t>
  </si>
  <si>
    <t>ΔIN_withN</t>
  </si>
  <si>
    <t>noN</t>
  </si>
  <si>
    <t>Yield_noN</t>
  </si>
  <si>
    <t>Yield_withN</t>
  </si>
  <si>
    <t>lb/ac</t>
  </si>
  <si>
    <t>Ks (cm/hr)</t>
  </si>
  <si>
    <t>Clay</t>
  </si>
  <si>
    <t>Observed Clay&amp;BD</t>
  </si>
  <si>
    <t>Observed BD</t>
  </si>
  <si>
    <t>cores</t>
  </si>
  <si>
    <t>Decagon</t>
  </si>
  <si>
    <t>soil.depth(avg)</t>
  </si>
  <si>
    <t>soil.depth (BD+clay)</t>
  </si>
  <si>
    <t>taw.Brack.avg</t>
  </si>
  <si>
    <t>taw.ss.avg</t>
  </si>
  <si>
    <t>taw.Brack.obs</t>
  </si>
  <si>
    <t>taw.ss.obs</t>
  </si>
  <si>
    <t>soil.depth (cm)</t>
  </si>
  <si>
    <r>
      <t>Ks (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m/s)</t>
    </r>
  </si>
  <si>
    <t>no water tables</t>
  </si>
  <si>
    <t>&lt; 1 ft.</t>
  </si>
  <si>
    <t>1 wettest</t>
  </si>
  <si>
    <t xml:space="preserve">well missing for large extents </t>
  </si>
  <si>
    <t>(deep) water tables</t>
  </si>
  <si>
    <t>clay</t>
  </si>
  <si>
    <t>Observed clay</t>
  </si>
  <si>
    <t>field notes</t>
  </si>
  <si>
    <t>Argillic</t>
  </si>
  <si>
    <t>no horizonation</t>
  </si>
  <si>
    <t>150+</t>
  </si>
  <si>
    <t>slightly Argillic</t>
  </si>
  <si>
    <t>weakly Argillic at 60 cm</t>
  </si>
  <si>
    <t>Weak Argillic</t>
  </si>
  <si>
    <t>TC-2011</t>
  </si>
  <si>
    <t>TN-2011</t>
  </si>
  <si>
    <t>TC-2012</t>
  </si>
  <si>
    <t>TN-2012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</si>
  <si>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TC</t>
    </r>
  </si>
  <si>
    <t>ΔTN</t>
  </si>
  <si>
    <t>IN = Inorganic Nitrogen (lb/ac)</t>
  </si>
  <si>
    <t>using avg BD</t>
  </si>
  <si>
    <t>BD_Sp_2013</t>
  </si>
  <si>
    <t>BD_Fa_2013</t>
  </si>
  <si>
    <t>depth.core</t>
  </si>
  <si>
    <t>taw.core</t>
  </si>
  <si>
    <t>Odberg</t>
  </si>
  <si>
    <t>Spring Barley, 12 soil moisture sites</t>
  </si>
  <si>
    <t>Bag Label</t>
  </si>
  <si>
    <t>Date</t>
  </si>
  <si>
    <t xml:space="preserve">SPAD  </t>
  </si>
  <si>
    <t>LAI</t>
  </si>
  <si>
    <t>Height</t>
  </si>
  <si>
    <t>Notes</t>
  </si>
  <si>
    <t>N/A</t>
  </si>
  <si>
    <t>Od2</t>
  </si>
  <si>
    <t>Od1_2</t>
  </si>
  <si>
    <t>Od2_2</t>
  </si>
  <si>
    <t>OdX_2</t>
  </si>
  <si>
    <t>avg</t>
  </si>
  <si>
    <t>porosity_new</t>
  </si>
  <si>
    <t>fc_new</t>
  </si>
  <si>
    <t>wp_new</t>
  </si>
  <si>
    <t>awc_new</t>
  </si>
  <si>
    <t>hb.new</t>
  </si>
  <si>
    <t>λ.new</t>
  </si>
  <si>
    <t>ϴr.new</t>
  </si>
  <si>
    <t>fc=0.251*BD-0.0084</t>
  </si>
  <si>
    <t>fc=0.229*BD-0.0046</t>
  </si>
  <si>
    <t>wp=.2322*BD-.1691</t>
  </si>
  <si>
    <t>dry</t>
  </si>
  <si>
    <t>wp=.2815*BD-.1974</t>
  </si>
  <si>
    <t>1/3 bar</t>
  </si>
  <si>
    <t>wp.SS_new</t>
  </si>
  <si>
    <t>fc.SS_new</t>
  </si>
  <si>
    <t>awc.SS_new</t>
  </si>
  <si>
    <t>Sum of LAI</t>
  </si>
  <si>
    <t>Old</t>
  </si>
  <si>
    <t>New</t>
  </si>
  <si>
    <t>Hand_BD</t>
  </si>
  <si>
    <t>Giddings_BD</t>
  </si>
  <si>
    <t>avg_BD</t>
  </si>
  <si>
    <t>Rawls and Brakensiek, 1985</t>
  </si>
  <si>
    <t>Sampling Date</t>
  </si>
  <si>
    <t>Depth (1ft.)</t>
  </si>
  <si>
    <r>
      <t>Average Bulk Density (g/cm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</si>
  <si>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Gravimetric Water Content (g/g)</t>
  </si>
  <si>
    <t>Hand Probe Bulk Density</t>
  </si>
  <si>
    <t>OD9-DG</t>
  </si>
  <si>
    <t>OD12-DG</t>
  </si>
  <si>
    <t>no well</t>
  </si>
  <si>
    <t>@ top of sensor; 7mm</t>
  </si>
  <si>
    <t>dry; 4094 mm</t>
  </si>
  <si>
    <t>@ sensor; 5mm</t>
  </si>
  <si>
    <t>325 ml</t>
  </si>
  <si>
    <t>@ bottom of tubing</t>
  </si>
  <si>
    <t>@ sensor</t>
  </si>
  <si>
    <t>@sensor</t>
  </si>
  <si>
    <t>wet at bottom</t>
  </si>
  <si>
    <t>825 ml</t>
  </si>
  <si>
    <t>length of pipe above ground (ft.)</t>
  </si>
  <si>
    <t>total length of pipe (ft.)</t>
  </si>
  <si>
    <t>Depth of pipe (ft.)</t>
  </si>
  <si>
    <t>corrected by assuming the core is saturated at the maximum GWC</t>
  </si>
  <si>
    <t>Grower</t>
  </si>
  <si>
    <t>Season</t>
  </si>
  <si>
    <t>Eca</t>
  </si>
  <si>
    <t>E</t>
  </si>
  <si>
    <t>N</t>
  </si>
  <si>
    <t>Aes</t>
  </si>
  <si>
    <t>Spring</t>
  </si>
  <si>
    <t>OD</t>
  </si>
  <si>
    <t>Sum of Eca</t>
  </si>
  <si>
    <t>Delta</t>
  </si>
  <si>
    <t>Fall</t>
  </si>
  <si>
    <t>J</t>
  </si>
  <si>
    <t>W</t>
  </si>
  <si>
    <r>
      <t>Volumetric Water Content (cm</t>
    </r>
    <r>
      <rPr>
        <vertAlign val="superscript"/>
        <sz val="18"/>
        <color theme="1"/>
        <rFont val="Calibri"/>
        <family val="2"/>
        <scheme val="minor"/>
      </rPr>
      <t>3</t>
    </r>
    <r>
      <rPr>
        <sz val="18"/>
        <color theme="1"/>
        <rFont val="Calibri"/>
        <family val="2"/>
        <scheme val="minor"/>
      </rPr>
      <t>/cm</t>
    </r>
    <r>
      <rPr>
        <vertAlign val="superscript"/>
        <sz val="18"/>
        <color theme="1"/>
        <rFont val="Calibri"/>
        <family val="2"/>
        <scheme val="minor"/>
      </rPr>
      <t>3</t>
    </r>
    <r>
      <rPr>
        <sz val="18"/>
        <color theme="1"/>
        <rFont val="Calibri"/>
        <family val="2"/>
        <scheme val="minor"/>
      </rPr>
      <t>) Using Giddings Probe</t>
    </r>
  </si>
  <si>
    <r>
      <t>Volumetric Water Content (cm</t>
    </r>
    <r>
      <rPr>
        <vertAlign val="superscript"/>
        <sz val="18"/>
        <color theme="1"/>
        <rFont val="Calibri"/>
        <family val="2"/>
        <scheme val="minor"/>
      </rPr>
      <t>3</t>
    </r>
    <r>
      <rPr>
        <sz val="18"/>
        <color theme="1"/>
        <rFont val="Calibri"/>
        <family val="2"/>
        <scheme val="minor"/>
      </rPr>
      <t>/cm</t>
    </r>
    <r>
      <rPr>
        <vertAlign val="superscript"/>
        <sz val="18"/>
        <color theme="1"/>
        <rFont val="Calibri"/>
        <family val="2"/>
        <scheme val="minor"/>
      </rPr>
      <t>3</t>
    </r>
    <r>
      <rPr>
        <sz val="18"/>
        <color theme="1"/>
        <rFont val="Calibri"/>
        <family val="2"/>
        <scheme val="minor"/>
      </rPr>
      <t>) Using Hand Probe</t>
    </r>
  </si>
  <si>
    <t>snow depth (in.)</t>
  </si>
  <si>
    <t>little</t>
  </si>
  <si>
    <t>6-7"</t>
  </si>
  <si>
    <t>snow wt</t>
  </si>
  <si>
    <t>tube</t>
  </si>
  <si>
    <t>Fall_NO3 (ppm)</t>
  </si>
  <si>
    <t>Spr_NO3 (ppm)</t>
  </si>
  <si>
    <t>Fall_NH3 (ppm)</t>
  </si>
  <si>
    <t>Spr_NH3 (ppm)</t>
  </si>
  <si>
    <t>Fall-IN (lb/ac)</t>
  </si>
  <si>
    <t>Spring-IN (lb/ac)</t>
  </si>
  <si>
    <t>Average of TC-2012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</si>
</sst>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"/>
    <numFmt numFmtId="166" formatCode="0.0%"/>
    <numFmt numFmtId="167" formatCode="[$-409]General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2"/>
      <color theme="1"/>
      <name val="Times New Roman1"/>
    </font>
    <font>
      <sz val="12"/>
      <color theme="1"/>
      <name val="Times New Roman"/>
      <family val="2"/>
    </font>
    <font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perscript"/>
      <sz val="1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9" fillId="0" borderId="0"/>
  </cellStyleXfs>
  <cellXfs count="53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2" fillId="0" borderId="0" xfId="0" applyFont="1"/>
    <xf numFmtId="165" fontId="0" fillId="0" borderId="0" xfId="0" applyNumberFormat="1" applyFill="1"/>
    <xf numFmtId="165" fontId="4" fillId="0" borderId="0" xfId="0" applyNumberFormat="1" applyFont="1" applyFill="1"/>
    <xf numFmtId="0" fontId="3" fillId="0" borderId="0" xfId="0" applyFont="1" applyFill="1" applyAlignment="1">
      <alignment horizontal="center"/>
    </xf>
    <xf numFmtId="16" fontId="0" fillId="0" borderId="0" xfId="0" quotePrefix="1" applyNumberFormat="1"/>
    <xf numFmtId="0" fontId="5" fillId="0" borderId="0" xfId="1"/>
    <xf numFmtId="0" fontId="6" fillId="0" borderId="0" xfId="1" applyFont="1"/>
    <xf numFmtId="166" fontId="0" fillId="0" borderId="0" xfId="2" applyNumberFormat="1" applyFont="1"/>
    <xf numFmtId="0" fontId="5" fillId="2" borderId="0" xfId="1" applyFill="1"/>
    <xf numFmtId="0" fontId="5" fillId="0" borderId="0" xfId="1" applyAlignment="1">
      <alignment horizontal="center" vertical="center" wrapText="1"/>
    </xf>
    <xf numFmtId="166" fontId="0" fillId="0" borderId="0" xfId="2" applyNumberFormat="1" applyFont="1" applyAlignment="1">
      <alignment horizontal="center" vertical="center" wrapText="1"/>
    </xf>
    <xf numFmtId="0" fontId="7" fillId="0" borderId="0" xfId="1" applyFont="1"/>
    <xf numFmtId="166" fontId="5" fillId="0" borderId="0" xfId="1" applyNumberFormat="1" applyAlignment="1">
      <alignment horizontal="center"/>
    </xf>
    <xf numFmtId="166" fontId="5" fillId="3" borderId="0" xfId="1" applyNumberFormat="1" applyFill="1" applyAlignment="1">
      <alignment horizontal="center"/>
    </xf>
    <xf numFmtId="166" fontId="5" fillId="0" borderId="0" xfId="1" applyNumberFormat="1"/>
    <xf numFmtId="166" fontId="6" fillId="0" borderId="0" xfId="2" applyNumberFormat="1" applyFont="1"/>
    <xf numFmtId="166" fontId="6" fillId="0" borderId="0" xfId="1" applyNumberFormat="1" applyFont="1" applyAlignment="1">
      <alignment horizontal="center"/>
    </xf>
    <xf numFmtId="0" fontId="5" fillId="3" borderId="0" xfId="1" applyFill="1"/>
    <xf numFmtId="0" fontId="0" fillId="0" borderId="0" xfId="0" applyNumberFormat="1" applyFill="1"/>
    <xf numFmtId="0" fontId="0" fillId="0" borderId="0" xfId="0" quotePrefix="1"/>
    <xf numFmtId="0" fontId="3" fillId="4" borderId="0" xfId="0" applyFont="1" applyFill="1" applyAlignment="1">
      <alignment horizontal="center"/>
    </xf>
    <xf numFmtId="0" fontId="0" fillId="0" borderId="2" xfId="0" applyBorder="1"/>
    <xf numFmtId="0" fontId="0" fillId="0" borderId="2" xfId="0" applyFill="1" applyBorder="1"/>
    <xf numFmtId="14" fontId="0" fillId="0" borderId="2" xfId="0" applyNumberFormat="1" applyBorder="1"/>
    <xf numFmtId="164" fontId="0" fillId="0" borderId="0" xfId="0" applyNumberFormat="1"/>
    <xf numFmtId="164" fontId="0" fillId="0" borderId="0" xfId="0" applyNumberFormat="1" applyFill="1"/>
    <xf numFmtId="0" fontId="0" fillId="2" borderId="0" xfId="0" applyNumberFormat="1" applyFill="1"/>
    <xf numFmtId="0" fontId="8" fillId="0" borderId="0" xfId="0" applyFont="1" applyFill="1"/>
    <xf numFmtId="0" fontId="1" fillId="0" borderId="0" xfId="0" applyFont="1" applyFill="1"/>
    <xf numFmtId="167" fontId="0" fillId="0" borderId="0" xfId="0" applyNumberFormat="1" applyFill="1"/>
    <xf numFmtId="0" fontId="0" fillId="5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/>
    <xf numFmtId="0" fontId="1" fillId="0" borderId="0" xfId="0" applyFont="1"/>
    <xf numFmtId="0" fontId="1" fillId="0" borderId="1" xfId="0" applyFont="1" applyBorder="1"/>
    <xf numFmtId="0" fontId="12" fillId="0" borderId="0" xfId="0" applyFont="1"/>
    <xf numFmtId="14" fontId="0" fillId="4" borderId="0" xfId="0" applyNumberFormat="1" applyFill="1"/>
    <xf numFmtId="0" fontId="0" fillId="4" borderId="0" xfId="0" applyFill="1"/>
    <xf numFmtId="22" fontId="0" fillId="0" borderId="0" xfId="0" applyNumberFormat="1"/>
    <xf numFmtId="16" fontId="0" fillId="0" borderId="0" xfId="0" quotePrefix="1" applyNumberFormat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4">
    <cellStyle name="Normal" xfId="0" builtinId="0"/>
    <cellStyle name="Normal 2" xfId="1"/>
    <cellStyle name="Normal 3" xfId="3"/>
    <cellStyle name="Percent 2" xfId="2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194728783902013"/>
                  <c:y val="-0.55862204724409448"/>
                </c:manualLayout>
              </c:layout>
              <c:numFmt formatCode="General" sourceLinked="0"/>
            </c:trendlineLbl>
          </c:trendline>
          <c:xVal>
            <c:numRef>
              <c:f>Palouse_PTF!$F$35:$F$59</c:f>
              <c:numCache>
                <c:formatCode>General</c:formatCode>
                <c:ptCount val="25"/>
                <c:pt idx="0">
                  <c:v>1.1000000000000001</c:v>
                </c:pt>
                <c:pt idx="1">
                  <c:v>1.35</c:v>
                </c:pt>
                <c:pt idx="2">
                  <c:v>1.34</c:v>
                </c:pt>
                <c:pt idx="3">
                  <c:v>1.51</c:v>
                </c:pt>
                <c:pt idx="4">
                  <c:v>1.46</c:v>
                </c:pt>
                <c:pt idx="7">
                  <c:v>1.1200000000000001</c:v>
                </c:pt>
                <c:pt idx="8">
                  <c:v>1.17</c:v>
                </c:pt>
                <c:pt idx="9">
                  <c:v>1.46</c:v>
                </c:pt>
                <c:pt idx="10">
                  <c:v>1.43</c:v>
                </c:pt>
                <c:pt idx="11">
                  <c:v>1.34</c:v>
                </c:pt>
                <c:pt idx="14">
                  <c:v>1.27</c:v>
                </c:pt>
                <c:pt idx="15">
                  <c:v>1.27</c:v>
                </c:pt>
                <c:pt idx="16">
                  <c:v>1.51</c:v>
                </c:pt>
                <c:pt idx="17">
                  <c:v>1.59</c:v>
                </c:pt>
                <c:pt idx="18">
                  <c:v>1.32</c:v>
                </c:pt>
                <c:pt idx="21">
                  <c:v>1.1100000000000001</c:v>
                </c:pt>
                <c:pt idx="22">
                  <c:v>1.29</c:v>
                </c:pt>
                <c:pt idx="23">
                  <c:v>1.51</c:v>
                </c:pt>
                <c:pt idx="24">
                  <c:v>1.48</c:v>
                </c:pt>
              </c:numCache>
            </c:numRef>
          </c:xVal>
          <c:yVal>
            <c:numRef>
              <c:f>Palouse_PTF!$B$35:$B$59</c:f>
              <c:numCache>
                <c:formatCode>0.0%</c:formatCode>
                <c:ptCount val="25"/>
                <c:pt idx="0">
                  <c:v>0.28300000000000003</c:v>
                </c:pt>
                <c:pt idx="1">
                  <c:v>0.2999</c:v>
                </c:pt>
                <c:pt idx="2">
                  <c:v>0.3332</c:v>
                </c:pt>
                <c:pt idx="3">
                  <c:v>0.36820000000000003</c:v>
                </c:pt>
                <c:pt idx="4">
                  <c:v>0.37340000000000001</c:v>
                </c:pt>
                <c:pt idx="5">
                  <c:v>0</c:v>
                </c:pt>
                <c:pt idx="7">
                  <c:v>0.3054</c:v>
                </c:pt>
                <c:pt idx="8">
                  <c:v>0.31370000000000003</c:v>
                </c:pt>
                <c:pt idx="9">
                  <c:v>0.3725</c:v>
                </c:pt>
                <c:pt idx="10">
                  <c:v>0.37060000000000004</c:v>
                </c:pt>
                <c:pt idx="11">
                  <c:v>0.34189999999999998</c:v>
                </c:pt>
                <c:pt idx="12">
                  <c:v>0</c:v>
                </c:pt>
                <c:pt idx="14">
                  <c:v>0.31170000000000003</c:v>
                </c:pt>
                <c:pt idx="15">
                  <c:v>0.2848</c:v>
                </c:pt>
                <c:pt idx="16">
                  <c:v>0.35220000000000001</c:v>
                </c:pt>
                <c:pt idx="17">
                  <c:v>0.37390000000000001</c:v>
                </c:pt>
                <c:pt idx="18">
                  <c:v>0.26679999999999998</c:v>
                </c:pt>
                <c:pt idx="19">
                  <c:v>0</c:v>
                </c:pt>
                <c:pt idx="21">
                  <c:v>0.2427</c:v>
                </c:pt>
                <c:pt idx="22">
                  <c:v>0.29160000000000003</c:v>
                </c:pt>
                <c:pt idx="23">
                  <c:v>0.38380000000000003</c:v>
                </c:pt>
                <c:pt idx="24">
                  <c:v>0.40429999999999999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0960"/>
        <c:axId val="384522496"/>
      </c:scatterChart>
      <c:valAx>
        <c:axId val="3845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4522496"/>
        <c:crosses val="autoZero"/>
        <c:crossBetween val="midCat"/>
      </c:valAx>
      <c:valAx>
        <c:axId val="38452249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84520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Palouse_PTF!$Y$5:$Y$12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Palouse_PTF!$Z$5:$Z$12</c:f>
              <c:numCache>
                <c:formatCode>General</c:formatCode>
                <c:ptCount val="8"/>
                <c:pt idx="0">
                  <c:v>0.62264150943396224</c:v>
                </c:pt>
                <c:pt idx="1">
                  <c:v>0.58490566037735836</c:v>
                </c:pt>
                <c:pt idx="2">
                  <c:v>0.54716981132075471</c:v>
                </c:pt>
                <c:pt idx="3">
                  <c:v>0.50943396226415083</c:v>
                </c:pt>
                <c:pt idx="4">
                  <c:v>0.47169811320754718</c:v>
                </c:pt>
                <c:pt idx="5">
                  <c:v>0.43396226415094341</c:v>
                </c:pt>
                <c:pt idx="6">
                  <c:v>0.39622641509433953</c:v>
                </c:pt>
                <c:pt idx="7">
                  <c:v>0.35849056603773588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Palouse_PTF!$Y$5:$Y$12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Palouse_PTF!$AA$5:$AA$12</c:f>
              <c:numCache>
                <c:formatCode>General</c:formatCode>
                <c:ptCount val="8"/>
                <c:pt idx="0">
                  <c:v>8.1500000000000017E-2</c:v>
                </c:pt>
                <c:pt idx="1">
                  <c:v>0.11083000000000004</c:v>
                </c:pt>
                <c:pt idx="2">
                  <c:v>0.14016000000000001</c:v>
                </c:pt>
                <c:pt idx="3">
                  <c:v>0.16949000000000003</c:v>
                </c:pt>
                <c:pt idx="4">
                  <c:v>0.19882</c:v>
                </c:pt>
                <c:pt idx="5">
                  <c:v>0.22815000000000002</c:v>
                </c:pt>
                <c:pt idx="6">
                  <c:v>0.25748000000000004</c:v>
                </c:pt>
                <c:pt idx="7">
                  <c:v>0.28681000000000001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Palouse_PTF!$Y$5:$Y$12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Palouse_PTF!$AB$5:$AB$12</c:f>
              <c:numCache>
                <c:formatCode>General</c:formatCode>
                <c:ptCount val="8"/>
                <c:pt idx="0">
                  <c:v>0.2591</c:v>
                </c:pt>
                <c:pt idx="1">
                  <c:v>0.28327000000000002</c:v>
                </c:pt>
                <c:pt idx="2">
                  <c:v>0.30743999999999994</c:v>
                </c:pt>
                <c:pt idx="3">
                  <c:v>0.33160999999999996</c:v>
                </c:pt>
                <c:pt idx="4">
                  <c:v>0.35577999999999999</c:v>
                </c:pt>
                <c:pt idx="5">
                  <c:v>0.37995000000000001</c:v>
                </c:pt>
                <c:pt idx="6">
                  <c:v>0.36622641509433951</c:v>
                </c:pt>
                <c:pt idx="7">
                  <c:v>0.32849056603773585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Palouse_PTF!$Y$5:$Y$12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Palouse_PTF!$AC$5:$AC$12</c:f>
              <c:numCache>
                <c:formatCode>General</c:formatCode>
                <c:ptCount val="8"/>
                <c:pt idx="0">
                  <c:v>0.17759999999999998</c:v>
                </c:pt>
                <c:pt idx="1">
                  <c:v>0.17243999999999998</c:v>
                </c:pt>
                <c:pt idx="2">
                  <c:v>0.16727999999999993</c:v>
                </c:pt>
                <c:pt idx="3">
                  <c:v>0.16211999999999993</c:v>
                </c:pt>
                <c:pt idx="4">
                  <c:v>0.15695999999999999</c:v>
                </c:pt>
                <c:pt idx="5">
                  <c:v>0.15179999999999999</c:v>
                </c:pt>
                <c:pt idx="6">
                  <c:v>0.10874641509433947</c:v>
                </c:pt>
                <c:pt idx="7">
                  <c:v>4.1680566037735844E-2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41888"/>
        <c:axId val="385943424"/>
      </c:scatterChart>
      <c:valAx>
        <c:axId val="38594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5943424"/>
        <c:crosses val="autoZero"/>
        <c:crossBetween val="midCat"/>
      </c:valAx>
      <c:valAx>
        <c:axId val="38594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941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Palouse_PTF!$AF$4</c:f>
              <c:strCache>
                <c:ptCount val="1"/>
                <c:pt idx="0">
                  <c:v>porosity</c:v>
                </c:pt>
              </c:strCache>
            </c:strRef>
          </c:tx>
          <c:xVal>
            <c:numRef>
              <c:f>Palouse_PTF!$AE$5:$AE$12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Palouse_PTF!$AF$5:$AF$12</c:f>
              <c:numCache>
                <c:formatCode>General</c:formatCode>
                <c:ptCount val="8"/>
                <c:pt idx="0">
                  <c:v>0.62264150943396224</c:v>
                </c:pt>
                <c:pt idx="1">
                  <c:v>0.58490566037735836</c:v>
                </c:pt>
                <c:pt idx="2">
                  <c:v>0.54716981132075471</c:v>
                </c:pt>
                <c:pt idx="3">
                  <c:v>0.50943396226415083</c:v>
                </c:pt>
                <c:pt idx="4">
                  <c:v>0.47169811320754718</c:v>
                </c:pt>
                <c:pt idx="5">
                  <c:v>0.43396226415094341</c:v>
                </c:pt>
                <c:pt idx="6">
                  <c:v>0.39622641509433953</c:v>
                </c:pt>
                <c:pt idx="7">
                  <c:v>0.35849056603773588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Palouse_PTF!$AG$4</c:f>
              <c:strCache>
                <c:ptCount val="1"/>
                <c:pt idx="0">
                  <c:v>wp</c:v>
                </c:pt>
              </c:strCache>
            </c:strRef>
          </c:tx>
          <c:xVal>
            <c:numRef>
              <c:f>Palouse_PTF!$AE$5:$AE$12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Palouse_PTF!$AG$5:$AG$12</c:f>
              <c:numCache>
                <c:formatCode>General</c:formatCode>
                <c:ptCount val="8"/>
                <c:pt idx="0">
                  <c:v>7.1500000000000008E-2</c:v>
                </c:pt>
                <c:pt idx="1">
                  <c:v>9.4350000000000017E-2</c:v>
                </c:pt>
                <c:pt idx="2">
                  <c:v>0.1172</c:v>
                </c:pt>
                <c:pt idx="3">
                  <c:v>0.14005000000000004</c:v>
                </c:pt>
                <c:pt idx="4">
                  <c:v>0.16290000000000002</c:v>
                </c:pt>
                <c:pt idx="5">
                  <c:v>0.18575</c:v>
                </c:pt>
                <c:pt idx="6">
                  <c:v>0.20860000000000004</c:v>
                </c:pt>
                <c:pt idx="7">
                  <c:v>0.23145000000000002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Palouse_PTF!$AH$4</c:f>
              <c:strCache>
                <c:ptCount val="1"/>
                <c:pt idx="0">
                  <c:v>fc</c:v>
                </c:pt>
              </c:strCache>
            </c:strRef>
          </c:tx>
          <c:xVal>
            <c:numRef>
              <c:f>Palouse_PTF!$AE$5:$AE$12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Palouse_PTF!$AH$5:$AH$12</c:f>
              <c:numCache>
                <c:formatCode>General</c:formatCode>
                <c:ptCount val="8"/>
                <c:pt idx="0">
                  <c:v>0.28259999999999996</c:v>
                </c:pt>
                <c:pt idx="1">
                  <c:v>0.29632000000000003</c:v>
                </c:pt>
                <c:pt idx="2">
                  <c:v>0.31003999999999998</c:v>
                </c:pt>
                <c:pt idx="3">
                  <c:v>0.32375999999999999</c:v>
                </c:pt>
                <c:pt idx="4">
                  <c:v>0.33748</c:v>
                </c:pt>
                <c:pt idx="5">
                  <c:v>0.35119999999999996</c:v>
                </c:pt>
                <c:pt idx="6">
                  <c:v>0.36492000000000002</c:v>
                </c:pt>
                <c:pt idx="7">
                  <c:v>0.32849056603773585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Palouse_PTF!$AI$4</c:f>
              <c:strCache>
                <c:ptCount val="1"/>
                <c:pt idx="0">
                  <c:v>awc</c:v>
                </c:pt>
              </c:strCache>
            </c:strRef>
          </c:tx>
          <c:xVal>
            <c:numRef>
              <c:f>Palouse_PTF!$AE$5:$AE$12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Palouse_PTF!$AI$5:$AI$12</c:f>
              <c:numCache>
                <c:formatCode>General</c:formatCode>
                <c:ptCount val="8"/>
                <c:pt idx="0">
                  <c:v>0.21109999999999995</c:v>
                </c:pt>
                <c:pt idx="1">
                  <c:v>0.20197000000000001</c:v>
                </c:pt>
                <c:pt idx="2">
                  <c:v>0.19283999999999998</c:v>
                </c:pt>
                <c:pt idx="3">
                  <c:v>0.18370999999999996</c:v>
                </c:pt>
                <c:pt idx="4">
                  <c:v>0.17457999999999999</c:v>
                </c:pt>
                <c:pt idx="5">
                  <c:v>0.16544999999999996</c:v>
                </c:pt>
                <c:pt idx="6">
                  <c:v>0.15631999999999999</c:v>
                </c:pt>
                <c:pt idx="7">
                  <c:v>9.7040566037735837E-2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78752"/>
        <c:axId val="385980288"/>
      </c:scatterChart>
      <c:valAx>
        <c:axId val="38597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5980288"/>
        <c:crosses val="autoZero"/>
        <c:crossBetween val="midCat"/>
      </c:valAx>
      <c:valAx>
        <c:axId val="3859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978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Palouse_PTF!$AC$4</c:f>
              <c:strCache>
                <c:ptCount val="1"/>
                <c:pt idx="0">
                  <c:v>awc</c:v>
                </c:pt>
              </c:strCache>
            </c:strRef>
          </c:tx>
          <c:xVal>
            <c:numRef>
              <c:f>Palouse_PTF!$Y$5:$Y$12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Palouse_PTF!$AC$5:$AC$12</c:f>
              <c:numCache>
                <c:formatCode>General</c:formatCode>
                <c:ptCount val="8"/>
                <c:pt idx="0">
                  <c:v>0.17759999999999998</c:v>
                </c:pt>
                <c:pt idx="1">
                  <c:v>0.17243999999999998</c:v>
                </c:pt>
                <c:pt idx="2">
                  <c:v>0.16727999999999993</c:v>
                </c:pt>
                <c:pt idx="3">
                  <c:v>0.16211999999999993</c:v>
                </c:pt>
                <c:pt idx="4">
                  <c:v>0.15695999999999999</c:v>
                </c:pt>
                <c:pt idx="5">
                  <c:v>0.15179999999999999</c:v>
                </c:pt>
                <c:pt idx="6">
                  <c:v>0.10874641509433947</c:v>
                </c:pt>
                <c:pt idx="7">
                  <c:v>4.1680566037735844E-2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Palouse_PTF!$AI$4</c:f>
              <c:strCache>
                <c:ptCount val="1"/>
                <c:pt idx="0">
                  <c:v>awc</c:v>
                </c:pt>
              </c:strCache>
            </c:strRef>
          </c:tx>
          <c:xVal>
            <c:numRef>
              <c:f>Palouse_PTF!$Y$5:$Y$12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Palouse_PTF!$AI$5:$AI$12</c:f>
              <c:numCache>
                <c:formatCode>General</c:formatCode>
                <c:ptCount val="8"/>
                <c:pt idx="0">
                  <c:v>0.21109999999999995</c:v>
                </c:pt>
                <c:pt idx="1">
                  <c:v>0.20197000000000001</c:v>
                </c:pt>
                <c:pt idx="2">
                  <c:v>0.19283999999999998</c:v>
                </c:pt>
                <c:pt idx="3">
                  <c:v>0.18370999999999996</c:v>
                </c:pt>
                <c:pt idx="4">
                  <c:v>0.17457999999999999</c:v>
                </c:pt>
                <c:pt idx="5">
                  <c:v>0.16544999999999996</c:v>
                </c:pt>
                <c:pt idx="6">
                  <c:v>0.15631999999999999</c:v>
                </c:pt>
                <c:pt idx="7">
                  <c:v>9.7040566037735837E-2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08960"/>
        <c:axId val="386010496"/>
      </c:scatterChart>
      <c:valAx>
        <c:axId val="3860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010496"/>
        <c:crosses val="autoZero"/>
        <c:crossBetween val="midCat"/>
      </c:valAx>
      <c:valAx>
        <c:axId val="3860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008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Palouse_PTF!$AV$4:$AV$65</c:f>
              <c:numCache>
                <c:formatCode>General</c:formatCode>
                <c:ptCount val="62"/>
                <c:pt idx="1">
                  <c:v>1.24</c:v>
                </c:pt>
                <c:pt idx="2">
                  <c:v>1.26</c:v>
                </c:pt>
                <c:pt idx="3">
                  <c:v>1.26</c:v>
                </c:pt>
                <c:pt idx="4">
                  <c:v>1.27</c:v>
                </c:pt>
                <c:pt idx="5">
                  <c:v>1.27</c:v>
                </c:pt>
                <c:pt idx="6">
                  <c:v>1.28</c:v>
                </c:pt>
                <c:pt idx="7">
                  <c:v>1.29</c:v>
                </c:pt>
                <c:pt idx="8">
                  <c:v>1.34</c:v>
                </c:pt>
                <c:pt idx="9">
                  <c:v>1.34</c:v>
                </c:pt>
                <c:pt idx="10">
                  <c:v>1.35</c:v>
                </c:pt>
                <c:pt idx="11">
                  <c:v>1.37</c:v>
                </c:pt>
                <c:pt idx="12">
                  <c:v>1.39</c:v>
                </c:pt>
                <c:pt idx="13">
                  <c:v>1.39</c:v>
                </c:pt>
                <c:pt idx="14">
                  <c:v>1.41</c:v>
                </c:pt>
                <c:pt idx="15">
                  <c:v>1.42</c:v>
                </c:pt>
                <c:pt idx="16">
                  <c:v>1.43</c:v>
                </c:pt>
                <c:pt idx="17">
                  <c:v>1.43</c:v>
                </c:pt>
                <c:pt idx="18">
                  <c:v>1.46</c:v>
                </c:pt>
                <c:pt idx="19">
                  <c:v>1.46</c:v>
                </c:pt>
                <c:pt idx="20">
                  <c:v>1.46</c:v>
                </c:pt>
                <c:pt idx="21">
                  <c:v>1.46</c:v>
                </c:pt>
                <c:pt idx="22">
                  <c:v>1.47</c:v>
                </c:pt>
                <c:pt idx="23">
                  <c:v>1.48</c:v>
                </c:pt>
                <c:pt idx="24">
                  <c:v>1.49</c:v>
                </c:pt>
                <c:pt idx="25">
                  <c:v>1.49</c:v>
                </c:pt>
                <c:pt idx="26">
                  <c:v>1.5</c:v>
                </c:pt>
                <c:pt idx="27">
                  <c:v>1.51</c:v>
                </c:pt>
                <c:pt idx="28">
                  <c:v>1.51</c:v>
                </c:pt>
                <c:pt idx="29">
                  <c:v>1.51</c:v>
                </c:pt>
                <c:pt idx="30">
                  <c:v>1.51</c:v>
                </c:pt>
                <c:pt idx="31">
                  <c:v>1.54</c:v>
                </c:pt>
                <c:pt idx="32">
                  <c:v>1.54</c:v>
                </c:pt>
                <c:pt idx="33">
                  <c:v>1.58</c:v>
                </c:pt>
                <c:pt idx="34">
                  <c:v>1.59</c:v>
                </c:pt>
              </c:numCache>
            </c:numRef>
          </c:xVal>
          <c:yVal>
            <c:numRef>
              <c:f>Palouse_PTF!$AW$4:$AW$65</c:f>
              <c:numCache>
                <c:formatCode>General</c:formatCode>
                <c:ptCount val="62"/>
                <c:pt idx="1">
                  <c:v>1.37</c:v>
                </c:pt>
                <c:pt idx="2">
                  <c:v>1.4</c:v>
                </c:pt>
                <c:pt idx="3">
                  <c:v>1.37</c:v>
                </c:pt>
                <c:pt idx="4">
                  <c:v>1.4</c:v>
                </c:pt>
                <c:pt idx="5">
                  <c:v>1.43</c:v>
                </c:pt>
                <c:pt idx="6">
                  <c:v>1.38</c:v>
                </c:pt>
                <c:pt idx="7">
                  <c:v>1.43</c:v>
                </c:pt>
                <c:pt idx="8">
                  <c:v>1.48</c:v>
                </c:pt>
                <c:pt idx="9">
                  <c:v>1.51</c:v>
                </c:pt>
                <c:pt idx="10">
                  <c:v>1.49</c:v>
                </c:pt>
                <c:pt idx="11">
                  <c:v>1.47</c:v>
                </c:pt>
                <c:pt idx="12">
                  <c:v>1.53</c:v>
                </c:pt>
                <c:pt idx="13">
                  <c:v>1.55</c:v>
                </c:pt>
                <c:pt idx="14">
                  <c:v>1.56</c:v>
                </c:pt>
                <c:pt idx="15">
                  <c:v>1.51</c:v>
                </c:pt>
                <c:pt idx="16">
                  <c:v>1.5</c:v>
                </c:pt>
                <c:pt idx="17">
                  <c:v>1.61</c:v>
                </c:pt>
                <c:pt idx="18">
                  <c:v>1.66</c:v>
                </c:pt>
                <c:pt idx="19">
                  <c:v>1.81</c:v>
                </c:pt>
                <c:pt idx="20">
                  <c:v>1.6</c:v>
                </c:pt>
                <c:pt idx="21">
                  <c:v>1.63</c:v>
                </c:pt>
                <c:pt idx="22">
                  <c:v>1.66</c:v>
                </c:pt>
                <c:pt idx="23">
                  <c:v>1.69</c:v>
                </c:pt>
                <c:pt idx="24">
                  <c:v>1.65</c:v>
                </c:pt>
                <c:pt idx="25">
                  <c:v>1.77</c:v>
                </c:pt>
                <c:pt idx="26">
                  <c:v>1.68</c:v>
                </c:pt>
                <c:pt idx="27">
                  <c:v>1.67</c:v>
                </c:pt>
                <c:pt idx="28">
                  <c:v>1.67</c:v>
                </c:pt>
                <c:pt idx="29">
                  <c:v>1.77</c:v>
                </c:pt>
                <c:pt idx="30">
                  <c:v>1.8</c:v>
                </c:pt>
                <c:pt idx="31">
                  <c:v>1.71</c:v>
                </c:pt>
                <c:pt idx="32">
                  <c:v>1.73</c:v>
                </c:pt>
                <c:pt idx="33">
                  <c:v>1.71</c:v>
                </c:pt>
                <c:pt idx="34">
                  <c:v>1.79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43904"/>
        <c:axId val="386045440"/>
      </c:scatterChart>
      <c:valAx>
        <c:axId val="38604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045440"/>
        <c:crosses val="autoZero"/>
        <c:crossBetween val="midCat"/>
      </c:valAx>
      <c:valAx>
        <c:axId val="38604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043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274081364829399"/>
                  <c:y val="-0.27273038786818316"/>
                </c:manualLayout>
              </c:layout>
              <c:numFmt formatCode="General" sourceLinked="0"/>
            </c:trendlineLbl>
          </c:trendline>
          <c:xVal>
            <c:numRef>
              <c:f>Palouse_PTF!$AV$5:$AV$38</c:f>
              <c:numCache>
                <c:formatCode>General</c:formatCode>
                <c:ptCount val="34"/>
                <c:pt idx="0">
                  <c:v>1.24</c:v>
                </c:pt>
                <c:pt idx="1">
                  <c:v>1.26</c:v>
                </c:pt>
                <c:pt idx="2">
                  <c:v>1.26</c:v>
                </c:pt>
                <c:pt idx="3">
                  <c:v>1.27</c:v>
                </c:pt>
                <c:pt idx="4">
                  <c:v>1.27</c:v>
                </c:pt>
                <c:pt idx="5">
                  <c:v>1.28</c:v>
                </c:pt>
                <c:pt idx="6">
                  <c:v>1.29</c:v>
                </c:pt>
                <c:pt idx="7">
                  <c:v>1.34</c:v>
                </c:pt>
                <c:pt idx="8">
                  <c:v>1.34</c:v>
                </c:pt>
                <c:pt idx="9">
                  <c:v>1.35</c:v>
                </c:pt>
                <c:pt idx="10">
                  <c:v>1.37</c:v>
                </c:pt>
                <c:pt idx="11">
                  <c:v>1.39</c:v>
                </c:pt>
                <c:pt idx="12">
                  <c:v>1.39</c:v>
                </c:pt>
                <c:pt idx="13">
                  <c:v>1.41</c:v>
                </c:pt>
                <c:pt idx="14">
                  <c:v>1.42</c:v>
                </c:pt>
                <c:pt idx="15">
                  <c:v>1.43</c:v>
                </c:pt>
                <c:pt idx="16">
                  <c:v>1.43</c:v>
                </c:pt>
                <c:pt idx="17">
                  <c:v>1.46</c:v>
                </c:pt>
                <c:pt idx="18">
                  <c:v>1.46</c:v>
                </c:pt>
                <c:pt idx="19">
                  <c:v>1.46</c:v>
                </c:pt>
                <c:pt idx="20">
                  <c:v>1.46</c:v>
                </c:pt>
                <c:pt idx="21">
                  <c:v>1.47</c:v>
                </c:pt>
                <c:pt idx="22">
                  <c:v>1.48</c:v>
                </c:pt>
                <c:pt idx="23">
                  <c:v>1.49</c:v>
                </c:pt>
                <c:pt idx="24">
                  <c:v>1.49</c:v>
                </c:pt>
                <c:pt idx="25">
                  <c:v>1.5</c:v>
                </c:pt>
                <c:pt idx="26">
                  <c:v>1.51</c:v>
                </c:pt>
                <c:pt idx="27">
                  <c:v>1.51</c:v>
                </c:pt>
                <c:pt idx="28">
                  <c:v>1.51</c:v>
                </c:pt>
                <c:pt idx="29">
                  <c:v>1.51</c:v>
                </c:pt>
                <c:pt idx="30">
                  <c:v>1.54</c:v>
                </c:pt>
                <c:pt idx="31">
                  <c:v>1.54</c:v>
                </c:pt>
                <c:pt idx="32">
                  <c:v>1.58</c:v>
                </c:pt>
                <c:pt idx="33">
                  <c:v>1.59</c:v>
                </c:pt>
              </c:numCache>
            </c:numRef>
          </c:xVal>
          <c:yVal>
            <c:numRef>
              <c:f>Palouse_PTF!$AX$5:$AX$38</c:f>
              <c:numCache>
                <c:formatCode>General</c:formatCode>
                <c:ptCount val="34"/>
                <c:pt idx="0">
                  <c:v>0.13000000000000012</c:v>
                </c:pt>
                <c:pt idx="1">
                  <c:v>0.1399999999999999</c:v>
                </c:pt>
                <c:pt idx="2">
                  <c:v>0.1100000000000001</c:v>
                </c:pt>
                <c:pt idx="3">
                  <c:v>0.12999999999999989</c:v>
                </c:pt>
                <c:pt idx="4">
                  <c:v>0.15999999999999992</c:v>
                </c:pt>
                <c:pt idx="5">
                  <c:v>9.9999999999999867E-2</c:v>
                </c:pt>
                <c:pt idx="6">
                  <c:v>0.1399999999999999</c:v>
                </c:pt>
                <c:pt idx="7">
                  <c:v>0.1399999999999999</c:v>
                </c:pt>
                <c:pt idx="8">
                  <c:v>0.16999999999999993</c:v>
                </c:pt>
                <c:pt idx="9">
                  <c:v>0.1399999999999999</c:v>
                </c:pt>
                <c:pt idx="10">
                  <c:v>9.9999999999999867E-2</c:v>
                </c:pt>
                <c:pt idx="11">
                  <c:v>0.14000000000000012</c:v>
                </c:pt>
                <c:pt idx="12">
                  <c:v>0.16000000000000014</c:v>
                </c:pt>
                <c:pt idx="13">
                  <c:v>0.15000000000000013</c:v>
                </c:pt>
                <c:pt idx="14">
                  <c:v>9.000000000000008E-2</c:v>
                </c:pt>
                <c:pt idx="15">
                  <c:v>7.0000000000000062E-2</c:v>
                </c:pt>
                <c:pt idx="16">
                  <c:v>0.18000000000000016</c:v>
                </c:pt>
                <c:pt idx="17">
                  <c:v>0.19999999999999996</c:v>
                </c:pt>
                <c:pt idx="18">
                  <c:v>0.35000000000000009</c:v>
                </c:pt>
                <c:pt idx="19">
                  <c:v>0.14000000000000012</c:v>
                </c:pt>
                <c:pt idx="20">
                  <c:v>0.16999999999999993</c:v>
                </c:pt>
                <c:pt idx="21">
                  <c:v>0.18999999999999995</c:v>
                </c:pt>
                <c:pt idx="22">
                  <c:v>0.20999999999999996</c:v>
                </c:pt>
                <c:pt idx="23">
                  <c:v>0.15999999999999992</c:v>
                </c:pt>
                <c:pt idx="24">
                  <c:v>0.28000000000000003</c:v>
                </c:pt>
                <c:pt idx="25">
                  <c:v>0.17999999999999994</c:v>
                </c:pt>
                <c:pt idx="26">
                  <c:v>0.15999999999999992</c:v>
                </c:pt>
                <c:pt idx="27">
                  <c:v>0.15999999999999992</c:v>
                </c:pt>
                <c:pt idx="28">
                  <c:v>0.26</c:v>
                </c:pt>
                <c:pt idx="29">
                  <c:v>0.29000000000000004</c:v>
                </c:pt>
                <c:pt idx="30">
                  <c:v>0.16999999999999993</c:v>
                </c:pt>
                <c:pt idx="31">
                  <c:v>0.18999999999999995</c:v>
                </c:pt>
                <c:pt idx="32">
                  <c:v>0.12999999999999989</c:v>
                </c:pt>
                <c:pt idx="33">
                  <c:v>0.19999999999999996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66304"/>
        <c:axId val="386067840"/>
      </c:scatterChart>
      <c:valAx>
        <c:axId val="3860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067840"/>
        <c:crosses val="autoZero"/>
        <c:crossBetween val="midCat"/>
      </c:valAx>
      <c:valAx>
        <c:axId val="38606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066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Palouse_PTF!$AM$4</c:f>
              <c:strCache>
                <c:ptCount val="1"/>
                <c:pt idx="0">
                  <c:v>porosity</c:v>
                </c:pt>
              </c:strCache>
            </c:strRef>
          </c:tx>
          <c:xVal>
            <c:numRef>
              <c:f>Palouse_PTF!$AL$5:$AL$12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Palouse_PTF!$AM$5:$AM$12</c:f>
              <c:numCache>
                <c:formatCode>General</c:formatCode>
                <c:ptCount val="8"/>
                <c:pt idx="0">
                  <c:v>0.62264150943396224</c:v>
                </c:pt>
                <c:pt idx="1">
                  <c:v>0.58490566037735836</c:v>
                </c:pt>
                <c:pt idx="2">
                  <c:v>0.54716981132075471</c:v>
                </c:pt>
                <c:pt idx="3">
                  <c:v>0.50943396226415083</c:v>
                </c:pt>
                <c:pt idx="4">
                  <c:v>0.47169811320754718</c:v>
                </c:pt>
                <c:pt idx="5">
                  <c:v>0.43396226415094341</c:v>
                </c:pt>
                <c:pt idx="6">
                  <c:v>0.39622641509433953</c:v>
                </c:pt>
                <c:pt idx="7">
                  <c:v>0.35849056603773588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Palouse_PTF!$AN$4</c:f>
              <c:strCache>
                <c:ptCount val="1"/>
                <c:pt idx="0">
                  <c:v>wp</c:v>
                </c:pt>
              </c:strCache>
            </c:strRef>
          </c:tx>
          <c:xVal>
            <c:numRef>
              <c:f>Palouse_PTF!$AL$5:$AL$12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Palouse_PTF!$AN$5:$AN$12</c:f>
              <c:numCache>
                <c:formatCode>General</c:formatCode>
                <c:ptCount val="8"/>
                <c:pt idx="0">
                  <c:v>6.5600000000000019E-2</c:v>
                </c:pt>
                <c:pt idx="1">
                  <c:v>8.9360000000000051E-2</c:v>
                </c:pt>
                <c:pt idx="2">
                  <c:v>0.11312</c:v>
                </c:pt>
                <c:pt idx="3">
                  <c:v>0.13688000000000006</c:v>
                </c:pt>
                <c:pt idx="4">
                  <c:v>0.16064000000000001</c:v>
                </c:pt>
                <c:pt idx="5">
                  <c:v>0.18440000000000001</c:v>
                </c:pt>
                <c:pt idx="6">
                  <c:v>0.20816000000000007</c:v>
                </c:pt>
                <c:pt idx="7">
                  <c:v>0.23192000000000002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Palouse_PTF!$AO$4</c:f>
              <c:strCache>
                <c:ptCount val="1"/>
                <c:pt idx="0">
                  <c:v>fc</c:v>
                </c:pt>
              </c:strCache>
            </c:strRef>
          </c:tx>
          <c:xVal>
            <c:numRef>
              <c:f>Palouse_PTF!$AL$5:$AL$12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Palouse_PTF!$AO$5:$AO$12</c:f>
              <c:numCache>
                <c:formatCode>General</c:formatCode>
                <c:ptCount val="8"/>
                <c:pt idx="0">
                  <c:v>0.25769999999999998</c:v>
                </c:pt>
                <c:pt idx="1">
                  <c:v>0.27507000000000004</c:v>
                </c:pt>
                <c:pt idx="2">
                  <c:v>0.29243999999999998</c:v>
                </c:pt>
                <c:pt idx="3">
                  <c:v>0.30981000000000003</c:v>
                </c:pt>
                <c:pt idx="4">
                  <c:v>0.32717999999999997</c:v>
                </c:pt>
                <c:pt idx="5">
                  <c:v>0.34455000000000002</c:v>
                </c:pt>
                <c:pt idx="6">
                  <c:v>0.36192000000000002</c:v>
                </c:pt>
                <c:pt idx="7">
                  <c:v>0.32849056603773585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Palouse_PTF!$AP$4</c:f>
              <c:strCache>
                <c:ptCount val="1"/>
                <c:pt idx="0">
                  <c:v>awc</c:v>
                </c:pt>
              </c:strCache>
            </c:strRef>
          </c:tx>
          <c:xVal>
            <c:numRef>
              <c:f>Palouse_PTF!$AL$5:$AL$12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Palouse_PTF!$AP$5:$AP$12</c:f>
              <c:numCache>
                <c:formatCode>General</c:formatCode>
                <c:ptCount val="8"/>
                <c:pt idx="0">
                  <c:v>0.19209999999999997</c:v>
                </c:pt>
                <c:pt idx="1">
                  <c:v>0.18570999999999999</c:v>
                </c:pt>
                <c:pt idx="2">
                  <c:v>0.17931999999999998</c:v>
                </c:pt>
                <c:pt idx="3">
                  <c:v>0.17292999999999997</c:v>
                </c:pt>
                <c:pt idx="4">
                  <c:v>0.16653999999999997</c:v>
                </c:pt>
                <c:pt idx="5">
                  <c:v>0.16015000000000001</c:v>
                </c:pt>
                <c:pt idx="6">
                  <c:v>0.15375999999999995</c:v>
                </c:pt>
                <c:pt idx="7">
                  <c:v>9.6570566037735839E-2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98688"/>
        <c:axId val="386100224"/>
      </c:scatterChart>
      <c:valAx>
        <c:axId val="38609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100224"/>
        <c:crosses val="autoZero"/>
        <c:crossBetween val="midCat"/>
      </c:valAx>
      <c:valAx>
        <c:axId val="38610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098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97329396325459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Palouse_PTF!$F$4:$F$60</c:f>
              <c:numCache>
                <c:formatCode>General</c:formatCode>
                <c:ptCount val="57"/>
                <c:pt idx="0">
                  <c:v>1.1200000000000001</c:v>
                </c:pt>
                <c:pt idx="1">
                  <c:v>1.26</c:v>
                </c:pt>
                <c:pt idx="2">
                  <c:v>1.37</c:v>
                </c:pt>
                <c:pt idx="3">
                  <c:v>1.43</c:v>
                </c:pt>
                <c:pt idx="4">
                  <c:v>1.47</c:v>
                </c:pt>
                <c:pt idx="5">
                  <c:v>1.54</c:v>
                </c:pt>
                <c:pt idx="6">
                  <c:v>1.46</c:v>
                </c:pt>
                <c:pt idx="9">
                  <c:v>1.24</c:v>
                </c:pt>
                <c:pt idx="10">
                  <c:v>1.28</c:v>
                </c:pt>
                <c:pt idx="11">
                  <c:v>1.26</c:v>
                </c:pt>
                <c:pt idx="12">
                  <c:v>1.42</c:v>
                </c:pt>
                <c:pt idx="13">
                  <c:v>1.39</c:v>
                </c:pt>
                <c:pt idx="14">
                  <c:v>1.5</c:v>
                </c:pt>
                <c:pt idx="15">
                  <c:v>1.49</c:v>
                </c:pt>
                <c:pt idx="16">
                  <c:v>1.51</c:v>
                </c:pt>
                <c:pt idx="20">
                  <c:v>1.41</c:v>
                </c:pt>
                <c:pt idx="21">
                  <c:v>1.46</c:v>
                </c:pt>
                <c:pt idx="22">
                  <c:v>1.58</c:v>
                </c:pt>
                <c:pt idx="23">
                  <c:v>1.39</c:v>
                </c:pt>
                <c:pt idx="26">
                  <c:v>1.37</c:v>
                </c:pt>
                <c:pt idx="27">
                  <c:v>1.49</c:v>
                </c:pt>
                <c:pt idx="28">
                  <c:v>1.54</c:v>
                </c:pt>
                <c:pt idx="31">
                  <c:v>1.1000000000000001</c:v>
                </c:pt>
                <c:pt idx="32">
                  <c:v>1.35</c:v>
                </c:pt>
                <c:pt idx="33">
                  <c:v>1.34</c:v>
                </c:pt>
                <c:pt idx="34">
                  <c:v>1.51</c:v>
                </c:pt>
                <c:pt idx="35">
                  <c:v>1.46</c:v>
                </c:pt>
                <c:pt idx="38">
                  <c:v>1.1200000000000001</c:v>
                </c:pt>
                <c:pt idx="39">
                  <c:v>1.17</c:v>
                </c:pt>
                <c:pt idx="40">
                  <c:v>1.46</c:v>
                </c:pt>
                <c:pt idx="41">
                  <c:v>1.43</c:v>
                </c:pt>
                <c:pt idx="42">
                  <c:v>1.34</c:v>
                </c:pt>
                <c:pt idx="45">
                  <c:v>1.27</c:v>
                </c:pt>
                <c:pt idx="46">
                  <c:v>1.27</c:v>
                </c:pt>
                <c:pt idx="47">
                  <c:v>1.51</c:v>
                </c:pt>
                <c:pt idx="48">
                  <c:v>1.59</c:v>
                </c:pt>
                <c:pt idx="49">
                  <c:v>1.32</c:v>
                </c:pt>
                <c:pt idx="52">
                  <c:v>1.1100000000000001</c:v>
                </c:pt>
                <c:pt idx="53">
                  <c:v>1.29</c:v>
                </c:pt>
                <c:pt idx="54">
                  <c:v>1.51</c:v>
                </c:pt>
                <c:pt idx="55">
                  <c:v>1.48</c:v>
                </c:pt>
              </c:numCache>
            </c:numRef>
          </c:xVal>
          <c:yVal>
            <c:numRef>
              <c:f>Palouse_PTF!$J$4:$J$60</c:f>
              <c:numCache>
                <c:formatCode>0.0%</c:formatCode>
                <c:ptCount val="57"/>
                <c:pt idx="0">
                  <c:v>0.1363</c:v>
                </c:pt>
                <c:pt idx="1">
                  <c:v>0.19789999999999999</c:v>
                </c:pt>
                <c:pt idx="2">
                  <c:v>0.17760000000000001</c:v>
                </c:pt>
                <c:pt idx="3">
                  <c:v>7.85E-2</c:v>
                </c:pt>
                <c:pt idx="4">
                  <c:v>0.27149999999999996</c:v>
                </c:pt>
                <c:pt idx="5">
                  <c:v>0.309</c:v>
                </c:pt>
                <c:pt idx="6">
                  <c:v>0.27399999999999997</c:v>
                </c:pt>
                <c:pt idx="9">
                  <c:v>0.1593</c:v>
                </c:pt>
                <c:pt idx="10">
                  <c:v>0.15839999999999999</c:v>
                </c:pt>
                <c:pt idx="11">
                  <c:v>0.1575</c:v>
                </c:pt>
                <c:pt idx="12">
                  <c:v>0.17670000000000002</c:v>
                </c:pt>
                <c:pt idx="13">
                  <c:v>0.17510000000000001</c:v>
                </c:pt>
                <c:pt idx="14">
                  <c:v>0.19570000000000001</c:v>
                </c:pt>
                <c:pt idx="15">
                  <c:v>0.25650000000000001</c:v>
                </c:pt>
                <c:pt idx="16">
                  <c:v>0.26250000000000001</c:v>
                </c:pt>
                <c:pt idx="20">
                  <c:v>0.1449</c:v>
                </c:pt>
                <c:pt idx="21">
                  <c:v>0.24109999999999998</c:v>
                </c:pt>
                <c:pt idx="22">
                  <c:v>0.24299999999999999</c:v>
                </c:pt>
                <c:pt idx="23">
                  <c:v>0.21030000000000001</c:v>
                </c:pt>
                <c:pt idx="26">
                  <c:v>0.17300000000000001</c:v>
                </c:pt>
                <c:pt idx="27">
                  <c:v>0.22640000000000002</c:v>
                </c:pt>
                <c:pt idx="28">
                  <c:v>0.23329999999999998</c:v>
                </c:pt>
                <c:pt idx="31">
                  <c:v>9.8000000000000004E-2</c:v>
                </c:pt>
                <c:pt idx="32">
                  <c:v>0.17010000000000003</c:v>
                </c:pt>
                <c:pt idx="33">
                  <c:v>0.1736</c:v>
                </c:pt>
                <c:pt idx="34">
                  <c:v>0.19079999999999997</c:v>
                </c:pt>
                <c:pt idx="35">
                  <c:v>0.1956</c:v>
                </c:pt>
                <c:pt idx="38">
                  <c:v>0.13189999999999999</c:v>
                </c:pt>
                <c:pt idx="39">
                  <c:v>0.1386</c:v>
                </c:pt>
                <c:pt idx="40">
                  <c:v>0.21899999999999997</c:v>
                </c:pt>
                <c:pt idx="41">
                  <c:v>0.2213</c:v>
                </c:pt>
                <c:pt idx="42">
                  <c:v>0.18230000000000002</c:v>
                </c:pt>
                <c:pt idx="45">
                  <c:v>0.13200000000000001</c:v>
                </c:pt>
                <c:pt idx="46">
                  <c:v>0.1736</c:v>
                </c:pt>
                <c:pt idx="47">
                  <c:v>0.23760000000000001</c:v>
                </c:pt>
                <c:pt idx="48">
                  <c:v>0.22949999999999998</c:v>
                </c:pt>
                <c:pt idx="49">
                  <c:v>0.17309999999999998</c:v>
                </c:pt>
                <c:pt idx="52">
                  <c:v>0.1124</c:v>
                </c:pt>
                <c:pt idx="53">
                  <c:v>0.17460000000000001</c:v>
                </c:pt>
                <c:pt idx="54">
                  <c:v>0.2515</c:v>
                </c:pt>
                <c:pt idx="55">
                  <c:v>0.25819999999999999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4032"/>
        <c:axId val="386205568"/>
      </c:scatterChart>
      <c:valAx>
        <c:axId val="38620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5568"/>
        <c:crosses val="autoZero"/>
        <c:crossBetween val="midCat"/>
      </c:valAx>
      <c:valAx>
        <c:axId val="3862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23</xdr:row>
      <xdr:rowOff>23812</xdr:rowOff>
    </xdr:from>
    <xdr:to>
      <xdr:col>18</xdr:col>
      <xdr:colOff>342900</xdr:colOff>
      <xdr:row>40</xdr:row>
      <xdr:rowOff>14287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276225</xdr:colOff>
      <xdr:row>22</xdr:row>
      <xdr:rowOff>23812</xdr:rowOff>
    </xdr:from>
    <xdr:to>
      <xdr:col>28</xdr:col>
      <xdr:colOff>581025</xdr:colOff>
      <xdr:row>39</xdr:row>
      <xdr:rowOff>14287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476250</xdr:colOff>
      <xdr:row>18</xdr:row>
      <xdr:rowOff>109537</xdr:rowOff>
    </xdr:from>
    <xdr:to>
      <xdr:col>37</xdr:col>
      <xdr:colOff>171450</xdr:colOff>
      <xdr:row>35</xdr:row>
      <xdr:rowOff>100012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523875</xdr:colOff>
      <xdr:row>36</xdr:row>
      <xdr:rowOff>14287</xdr:rowOff>
    </xdr:from>
    <xdr:to>
      <xdr:col>37</xdr:col>
      <xdr:colOff>219075</xdr:colOff>
      <xdr:row>53</xdr:row>
      <xdr:rowOff>4762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209550</xdr:colOff>
      <xdr:row>48</xdr:row>
      <xdr:rowOff>80962</xdr:rowOff>
    </xdr:from>
    <xdr:to>
      <xdr:col>50</xdr:col>
      <xdr:colOff>514350</xdr:colOff>
      <xdr:row>65</xdr:row>
      <xdr:rowOff>71437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57150</xdr:colOff>
      <xdr:row>15</xdr:row>
      <xdr:rowOff>61912</xdr:rowOff>
    </xdr:from>
    <xdr:to>
      <xdr:col>49</xdr:col>
      <xdr:colOff>361950</xdr:colOff>
      <xdr:row>32</xdr:row>
      <xdr:rowOff>52387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333375</xdr:colOff>
      <xdr:row>18</xdr:row>
      <xdr:rowOff>157162</xdr:rowOff>
    </xdr:from>
    <xdr:to>
      <xdr:col>45</xdr:col>
      <xdr:colOff>28575</xdr:colOff>
      <xdr:row>35</xdr:row>
      <xdr:rowOff>147637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19050</xdr:colOff>
      <xdr:row>2</xdr:row>
      <xdr:rowOff>747712</xdr:rowOff>
    </xdr:from>
    <xdr:to>
      <xdr:col>23</xdr:col>
      <xdr:colOff>323850</xdr:colOff>
      <xdr:row>17</xdr:row>
      <xdr:rowOff>14287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3921</xdr:colOff>
      <xdr:row>1</xdr:row>
      <xdr:rowOff>152399</xdr:rowOff>
    </xdr:from>
    <xdr:to>
      <xdr:col>25</xdr:col>
      <xdr:colOff>200024</xdr:colOff>
      <xdr:row>24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5671" y="342899"/>
          <a:ext cx="5682503" cy="43910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f%20Farm/VI/W_site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3_crop_data"/>
      <sheetName val="AWC"/>
      <sheetName val="SOIL PROPERTIES"/>
      <sheetName val="NDRE"/>
      <sheetName val="correlation_tables"/>
      <sheetName val="correlations"/>
      <sheetName val="NDVI"/>
      <sheetName val="Chart1"/>
      <sheetName val="VI_TABLE"/>
      <sheetName val="VWC day of image"/>
      <sheetName val="VWC_WEEKLY"/>
      <sheetName val="Yields"/>
      <sheetName val="BD_clay_comparison"/>
      <sheetName val="new_VI"/>
      <sheetName val="cores"/>
      <sheetName val="VI_CHART"/>
      <sheetName val="retention_data"/>
    </sheetNames>
    <sheetDataSet>
      <sheetData sheetId="0"/>
      <sheetData sheetId="1"/>
      <sheetData sheetId="2">
        <row r="5">
          <cell r="AI5">
            <v>0.47311084937561143</v>
          </cell>
        </row>
        <row r="6">
          <cell r="AI6">
            <v>0.4273364548663845</v>
          </cell>
        </row>
        <row r="7">
          <cell r="AI7">
            <v>0.40192049861707524</v>
          </cell>
        </row>
        <row r="8">
          <cell r="AI8">
            <v>0.37316373525692403</v>
          </cell>
        </row>
        <row r="9">
          <cell r="AI9">
            <v>0.37076567373240965</v>
          </cell>
        </row>
        <row r="10">
          <cell r="AI10">
            <v>0.5213062779591382</v>
          </cell>
        </row>
        <row r="11">
          <cell r="AI11">
            <v>0.45041965010980944</v>
          </cell>
        </row>
        <row r="12">
          <cell r="AI12">
            <v>0.41093619458520858</v>
          </cell>
        </row>
        <row r="13">
          <cell r="AI13">
            <v>0.36439466263304054</v>
          </cell>
        </row>
        <row r="14">
          <cell r="AI14">
            <v>0.35538059934212185</v>
          </cell>
        </row>
        <row r="15">
          <cell r="AI15">
            <v>0.43282443178462171</v>
          </cell>
        </row>
        <row r="16">
          <cell r="AI16">
            <v>0.40655940011610836</v>
          </cell>
        </row>
        <row r="17">
          <cell r="AI17">
            <v>0.34749836528577815</v>
          </cell>
        </row>
        <row r="18">
          <cell r="AI18">
            <v>0.34400572321732903</v>
          </cell>
        </row>
        <row r="19">
          <cell r="AI19">
            <v>0.35525980733698559</v>
          </cell>
        </row>
        <row r="20">
          <cell r="AI20">
            <v>0.47549950669952934</v>
          </cell>
        </row>
        <row r="21">
          <cell r="AI21">
            <v>0.48168138382753201</v>
          </cell>
        </row>
        <row r="22">
          <cell r="AI22">
            <v>0.45318021041673706</v>
          </cell>
        </row>
        <row r="23">
          <cell r="AI23">
            <v>0.41635811312170867</v>
          </cell>
        </row>
        <row r="24">
          <cell r="AI24">
            <v>0.37848089710662591</v>
          </cell>
        </row>
        <row r="25">
          <cell r="AI25">
            <v>0.51750129602975625</v>
          </cell>
        </row>
        <row r="26">
          <cell r="AI26">
            <v>0.54164797068455484</v>
          </cell>
        </row>
        <row r="27">
          <cell r="AI27">
            <v>0.39688587285231025</v>
          </cell>
        </row>
        <row r="28">
          <cell r="AI28">
            <v>0.35495268938205271</v>
          </cell>
        </row>
        <row r="29">
          <cell r="AI29">
            <v>0.33568352970479254</v>
          </cell>
        </row>
        <row r="30">
          <cell r="AI30">
            <v>0.50436946154934592</v>
          </cell>
        </row>
        <row r="31">
          <cell r="AI31">
            <v>0.39488988873149378</v>
          </cell>
        </row>
        <row r="32">
          <cell r="AI32">
            <v>0.35334268920669987</v>
          </cell>
        </row>
        <row r="33">
          <cell r="AI33">
            <v>0.34227623317171785</v>
          </cell>
        </row>
        <row r="34">
          <cell r="AI34">
            <v>0.30484184019312999</v>
          </cell>
        </row>
        <row r="35">
          <cell r="AI35">
            <v>0.41742324103906581</v>
          </cell>
        </row>
        <row r="36">
          <cell r="AI36">
            <v>0.3847730236558552</v>
          </cell>
        </row>
        <row r="37">
          <cell r="AI37">
            <v>0.39204972180396325</v>
          </cell>
        </row>
        <row r="38">
          <cell r="AI38" t="str">
            <v/>
          </cell>
        </row>
        <row r="39">
          <cell r="AI39" t="str">
            <v/>
          </cell>
        </row>
        <row r="40">
          <cell r="AI40">
            <v>0.46321468417819556</v>
          </cell>
        </row>
        <row r="41">
          <cell r="AI41">
            <v>0.49895437217186855</v>
          </cell>
        </row>
        <row r="42">
          <cell r="AI42">
            <v>0.40936211670255895</v>
          </cell>
        </row>
        <row r="43">
          <cell r="AI43">
            <v>0.39163374420602892</v>
          </cell>
        </row>
        <row r="44">
          <cell r="AI44">
            <v>0.37359806484546509</v>
          </cell>
        </row>
        <row r="45">
          <cell r="AI45">
            <v>0.47347217890912485</v>
          </cell>
        </row>
        <row r="46">
          <cell r="AI46">
            <v>0.38900124793567936</v>
          </cell>
        </row>
        <row r="47">
          <cell r="AI47">
            <v>0.39548857830863304</v>
          </cell>
        </row>
        <row r="48">
          <cell r="AI48">
            <v>0.40948958508549949</v>
          </cell>
        </row>
        <row r="49">
          <cell r="AI49">
            <v>0.39481222428309493</v>
          </cell>
        </row>
        <row r="50">
          <cell r="AI50">
            <v>0.47735064143654216</v>
          </cell>
        </row>
        <row r="51">
          <cell r="AI51">
            <v>0.42107284998540462</v>
          </cell>
        </row>
        <row r="52">
          <cell r="AI52">
            <v>0.41351845352803562</v>
          </cell>
        </row>
        <row r="53">
          <cell r="AI53">
            <v>0.39235222996883989</v>
          </cell>
        </row>
        <row r="54">
          <cell r="AI54">
            <v>0.38440767336483606</v>
          </cell>
        </row>
        <row r="55">
          <cell r="AI55">
            <v>0.4904630502517876</v>
          </cell>
        </row>
        <row r="56">
          <cell r="AI56">
            <v>0.41330217662097446</v>
          </cell>
        </row>
        <row r="57">
          <cell r="AI57">
            <v>0.3595624826467797</v>
          </cell>
        </row>
        <row r="58">
          <cell r="AI58">
            <v>0.38504634311374575</v>
          </cell>
        </row>
        <row r="59">
          <cell r="AI59">
            <v>0.36084261177608001</v>
          </cell>
        </row>
        <row r="60">
          <cell r="AI60">
            <v>0.46376431052573053</v>
          </cell>
        </row>
        <row r="61">
          <cell r="AI61">
            <v>0.41797631129727164</v>
          </cell>
        </row>
        <row r="62">
          <cell r="AI62">
            <v>0.3987688482793218</v>
          </cell>
        </row>
        <row r="63">
          <cell r="AI63">
            <v>0.38705467544179228</v>
          </cell>
        </row>
        <row r="64">
          <cell r="AI64">
            <v>0.3947549936831225</v>
          </cell>
        </row>
      </sheetData>
      <sheetData sheetId="3">
        <row r="3">
          <cell r="C3">
            <v>41431</v>
          </cell>
        </row>
      </sheetData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urek, Matthew" refreshedDate="42142.688975347221" createdVersion="4" refreshedVersion="4" minRefreshableVersion="3" recordCount="132">
  <cacheSource type="worksheet">
    <worksheetSource ref="B2:F134" sheet="2013_crop_data"/>
  </cacheSource>
  <cacheFields count="5">
    <cacheField name="Date" numFmtId="14">
      <sharedItems containsSemiMixedTypes="0" containsNonDate="0" containsDate="1" containsString="0" minDate="2013-05-15T00:00:00" maxDate="2013-07-27T00:00:00" count="11">
        <d v="2013-05-15T00:00:00"/>
        <d v="2013-05-22T00:00:00"/>
        <d v="2013-05-30T00:00:00"/>
        <d v="2013-06-04T00:00:00"/>
        <d v="2013-06-11T00:00:00"/>
        <d v="2013-06-19T00:00:00"/>
        <d v="2013-06-27T00:00:00"/>
        <d v="2013-07-02T00:00:00"/>
        <d v="2013-07-08T00:00:00"/>
        <d v="2013-07-16T00:00:00"/>
        <d v="2013-07-26T00:00:00"/>
      </sharedItems>
    </cacheField>
    <cacheField name="Site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PAD  " numFmtId="0">
      <sharedItems containsSemiMixedTypes="0" containsString="0" containsNumber="1" minValue="2.6" maxValue="63.5"/>
    </cacheField>
    <cacheField name="LAI" numFmtId="0">
      <sharedItems containsSemiMixedTypes="0" containsString="0" containsNumber="1" minValue="0.18" maxValue="53.2"/>
    </cacheField>
    <cacheField name="Height" numFmtId="0">
      <sharedItems containsString="0" containsBlank="1" containsNumber="1" minValue="12" maxValue="1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our3353" refreshedDate="42402.562524074077" createdVersion="5" refreshedVersion="5" minRefreshableVersion="3" recordCount="60">
  <cacheSource type="worksheet">
    <worksheetSource ref="E4:CV64" sheet="SOIL_PROPERTIES"/>
  </cacheSource>
  <cacheFields count="92">
    <cacheField name="Farm" numFmtId="0">
      <sharedItems/>
    </cacheField>
    <cacheField name="Site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epth (ft.)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sand " numFmtId="0">
      <sharedItems containsString="0" containsBlank="1" containsNumber="1" minValue="6.0414700910554702" maxValue="15.7626957959823"/>
    </cacheField>
    <cacheField name="silt " numFmtId="0">
      <sharedItems containsString="0" containsBlank="1" containsNumber="1" minValue="46.560060023210397" maxValue="68.990644146658497"/>
    </cacheField>
    <cacheField name="clay " numFmtId="0">
      <sharedItems containsString="0" containsBlank="1" containsNumber="1" minValue="18.453326024247001" maxValue="44.844560221300199"/>
    </cacheField>
    <cacheField name="BD_Sp_2013" numFmtId="0">
      <sharedItems containsString="0" containsBlank="1" containsNumber="1" minValue="1.2673895550369643" maxValue="1.7315468345646017"/>
    </cacheField>
    <cacheField name="BD_Fa_2013" numFmtId="164">
      <sharedItems containsString="0" containsBlank="1" containsNumber="1" minValue="0.9060200985895297" maxValue="1.8523884234285128"/>
    </cacheField>
    <cacheField name="BD_3/15/13" numFmtId="0">
      <sharedItems containsString="0" containsBlank="1" containsNumber="1" minValue="0.79274822615647877" maxValue="1.6895540095142725"/>
    </cacheField>
    <cacheField name="% diff" numFmtId="0">
      <sharedItems containsMixedTypes="1" containsNumber="1" minValue="-0.26674832509520796" maxValue="0.46327853795431068"/>
    </cacheField>
    <cacheField name="avg" numFmtId="0">
      <sharedItems containsString="0" containsBlank="1" containsNumber="1" minValue="0.94790375482545208" maxValue="1.6344014930291908"/>
    </cacheField>
    <cacheField name="Giddings_BD" numFmtId="0">
      <sharedItems containsMixedTypes="1" containsNumber="1" minValue="0.94790375482545208" maxValue="1.7766300803256982"/>
    </cacheField>
    <cacheField name="avg_BD" numFmtId="0">
      <sharedItems containsString="0" containsBlank="1" containsNumber="1" minValue="0.94790375482545208" maxValue="1.7766300803256982"/>
    </cacheField>
    <cacheField name="Hand_BD" numFmtId="0">
      <sharedItems containsString="0" containsBlank="1" containsNumber="1" minValue="0.94465090181002065" maxValue="1.4866250610287413"/>
    </cacheField>
    <cacheField name="TC-2011" numFmtId="167">
      <sharedItems containsString="0" containsBlank="1" containsNumber="1" minValue="0.22192000000000001" maxValue="1.8617999999999999"/>
    </cacheField>
    <cacheField name="TN-2011" numFmtId="167">
      <sharedItems containsString="0" containsBlank="1" containsNumber="1" minValue="2.1080000000000002E-2" maxValue="0.15118333333333334"/>
    </cacheField>
    <cacheField name="TC-2012" numFmtId="0">
      <sharedItems containsString="0" containsBlank="1" containsNumber="1" minValue="0.30002000000000001" maxValue="2.0005000000000002"/>
    </cacheField>
    <cacheField name="TN-2012" numFmtId="0">
      <sharedItems containsString="0" containsBlank="1" containsNumber="1" minValue="3.4389999999999997E-2" maxValue="0.16002"/>
    </cacheField>
    <cacheField name="ΔTC" numFmtId="0">
      <sharedItems containsMixedTypes="1" containsNumber="1" minValue="-0.16308999999999996" maxValue="0.55493666666666686"/>
    </cacheField>
    <cacheField name="ΔTN" numFmtId="0">
      <sharedItems containsMixedTypes="1" containsNumber="1" minValue="-1.4859999999999998E-2" maxValue="3.0260000000000002E-2"/>
    </cacheField>
    <cacheField name="Fall-GWC" numFmtId="0">
      <sharedItems containsString="0" containsBlank="1" containsNumber="1" minValue="0.1089177489177493" maxValue="0.24764595103578138"/>
    </cacheField>
    <cacheField name="Spring-GWC" numFmtId="0">
      <sharedItems containsString="0" containsBlank="1" containsNumber="1" minValue="0.2139973082099596" maxValue="0.37048736462093829"/>
    </cacheField>
    <cacheField name="Fall-IN" numFmtId="0">
      <sharedItems containsString="0" containsBlank="1" containsNumber="1" minValue="1.3073751593711793" maxValue="16.183022525935961"/>
    </cacheField>
    <cacheField name="Spring-IN" numFmtId="0">
      <sharedItems containsString="0" containsBlank="1" containsNumber="1" minValue="0.47842865859150191" maxValue="38.619234428530604"/>
    </cacheField>
    <cacheField name="ΔIN" numFmtId="0">
      <sharedItems containsMixedTypes="1" containsNumber="1" minValue="-3.1761933814921437" maxValue="33.683611822524483"/>
    </cacheField>
    <cacheField name="Δθg" numFmtId="0">
      <sharedItems containsMixedTypes="1" containsNumber="1" minValue="1.8739512948644316E-2" maxValue="0.19978682343031887"/>
    </cacheField>
    <cacheField name="Fall-VWC" numFmtId="0">
      <sharedItems containsMixedTypes="1" containsNumber="1" minValue="0.14176859676275103" maxValue="0.38795279897217061"/>
    </cacheField>
    <cacheField name="Spring-VWC" numFmtId="0">
      <sharedItems containsMixedTypes="1" containsNumber="1" minValue="0.27463551552239457" maxValue="0.62240017903742884"/>
    </cacheField>
    <cacheField name="Δθv" numFmtId="0">
      <sharedItems containsMixedTypes="1" containsNumber="1" minValue="2.6216166145838937E-2" maxValue="0.3196114224791386"/>
    </cacheField>
    <cacheField name="Fall-GWC_noN" numFmtId="0">
      <sharedItems containsString="0" containsBlank="1" containsNumber="1" minValue="0.11371428571428598" maxValue="0.25203898945693259"/>
    </cacheField>
    <cacheField name="Fall-GWC_withN" numFmtId="0">
      <sharedItems containsString="0" containsBlank="1" containsNumber="1" minValue="0.11511492014024176" maxValue="0.2539607472215652"/>
    </cacheField>
    <cacheField name="Spring-GWC_2014" numFmtId="0">
      <sharedItems containsString="0" containsBlank="1" containsNumber="1" minValue="0.21011029411764723" maxValue="0.428900041823505"/>
    </cacheField>
    <cacheField name="Fall-NO3_noN" numFmtId="0">
      <sharedItems containsString="0" containsBlank="1" containsNumber="1" minValue="0.41913040945890839" maxValue="24.665210267613329"/>
    </cacheField>
    <cacheField name="Fall-NO3_withN" numFmtId="0">
      <sharedItems containsString="0" containsBlank="1" containsNumber="1" minValue="0.56598338692390138" maxValue="47.402972545921394"/>
    </cacheField>
    <cacheField name="Spring-NO3_2014" numFmtId="0">
      <sharedItems containsString="0" containsBlank="1" containsNumber="1" minValue="9.8303895392619967E-2" maxValue="13.363703860840051"/>
    </cacheField>
    <cacheField name="Fall-IN_noN" numFmtId="0">
      <sharedItems containsString="0" containsBlank="1" containsNumber="1" minValue="0.41991393442622948" maxValue="32.150811135589834"/>
    </cacheField>
    <cacheField name="Fall-IN_withN" numFmtId="0">
      <sharedItems containsString="0" containsBlank="1" containsNumber="1" minValue="0.6589849554234769" maxValue="60.309722496543557"/>
    </cacheField>
    <cacheField name="Spring_IN_2014" numFmtId="0">
      <sharedItems containsString="0" containsBlank="1" containsNumber="1" minValue="0.89648545818017678" maxValue="13.687474897468533"/>
    </cacheField>
    <cacheField name="Δθg_noN" numFmtId="0">
      <sharedItems containsMixedTypes="1" containsNumber="1" minValue="-1.4937768503801602E-2" maxValue="0.25923378286841164"/>
    </cacheField>
    <cacheField name="Δθg_withN" numFmtId="0">
      <sharedItems containsMixedTypes="1" containsNumber="1" minValue="3.4465912881772864E-3" maxValue="0.27387820776236943"/>
    </cacheField>
    <cacheField name="ΔNO3_noN" numFmtId="0">
      <sharedItems containsMixedTypes="1" containsNumber="1" minValue="-16.735538601622245" maxValue="10.920137511521762"/>
    </cacheField>
    <cacheField name="ΔNO3_withN" numFmtId="0">
      <sharedItems containsMixedTypes="1" containsNumber="1" minValue="-40.63381862556863" maxValue="10.569025643018268"/>
    </cacheField>
    <cacheField name="ΔIN_noN" numFmtId="0">
      <sharedItems containsMixedTypes="1" containsNumber="1" minValue="-23.138372194970081" maxValue="11.019875579179864"/>
    </cacheField>
    <cacheField name="ΔIN_withN" numFmtId="0">
      <sharedItems containsMixedTypes="1" containsNumber="1" minValue="-52.816789810860769" maxValue="10.616707570735858"/>
    </cacheField>
    <cacheField name="porosity" numFmtId="0">
      <sharedItems containsMixedTypes="1" containsNumber="1" minValue="0.32957355459407611" maxValue="0.64230046987718792"/>
    </cacheField>
    <cacheField name="porosity_new" numFmtId="0">
      <sharedItems containsMixedTypes="1" containsNumber="1" minValue="0.43900941093255041" maxValue="0.64352796158112424"/>
    </cacheField>
    <cacheField name="field_cap" numFmtId="0">
      <sharedItems containsMixedTypes="1" containsNumber="1" minValue="0.29379013666648307" maxValue="0.39283956613223986"/>
    </cacheField>
    <cacheField name="fc_new" numFmtId="0">
      <sharedItems containsMixedTypes="1" containsNumber="1" minValue="0.34734771669239051" maxValue="0.41111897788511237"/>
    </cacheField>
    <cacheField name="wilt_pt" numFmtId="0">
      <sharedItems containsMixedTypes="1" containsNumber="1" minValue="0.14857823104689361" maxValue="0.26787601205852507"/>
    </cacheField>
    <cacheField name="wp_new" numFmtId="0">
      <sharedItems containsMixedTypes="1" containsNumber="1" minValue="0.17159462218029578" maxValue="0.25216108998911435"/>
    </cacheField>
    <cacheField name="AWC" numFmtId="0">
      <sharedItems containsMixedTypes="1" containsNumber="1" minValue="9.2418715110985872E-2" maxValue="0.17976237476699822"/>
    </cacheField>
    <cacheField name="awc_new" numFmtId="0">
      <sharedItems containsMixedTypes="1" containsNumber="1" minValue="0.14725216511580347" maxValue="0.18150901050731205"/>
    </cacheField>
    <cacheField name="Ks (cm/hr)" numFmtId="0">
      <sharedItems containsBlank="1" containsMixedTypes="1" containsNumber="1" minValue="4.1124709027262678E-4" maxValue="1.2681380922222687"/>
    </cacheField>
    <cacheField name="Ks (μm/s)" numFmtId="0">
      <sharedItems containsString="0" containsBlank="1" containsNumber="1" minValue="1.1423530285350745E-3" maxValue="3.5226058117285239"/>
    </cacheField>
    <cacheField name="θdp" numFmtId="0">
      <sharedItems containsMixedTypes="1" containsNumber="1" minValue="1.0635132444110518E-2" maxValue="0.29747729928838934"/>
    </cacheField>
    <cacheField name="hb" numFmtId="0">
      <sharedItems containsMixedTypes="1" containsNumber="1" minValue="25.377439811532323" maxValue="232.67084768271252"/>
    </cacheField>
    <cacheField name="hb.new" numFmtId="0">
      <sharedItems containsMixedTypes="1" containsNumber="1" minValue="27.255297992047712" maxValue="108.88842328264825"/>
    </cacheField>
    <cacheField name="λ" numFmtId="165">
      <sharedItems containsMixedTypes="1" containsNumber="1" minValue="0.10556652873863381" maxValue="0.3548530138541125"/>
    </cacheField>
    <cacheField name="λ.new" numFmtId="165">
      <sharedItems containsMixedTypes="1" containsNumber="1" minValue="0.19313053745497044" maxValue="0.30328827085201815"/>
    </cacheField>
    <cacheField name="ϴr" numFmtId="165">
      <sharedItems containsMixedTypes="1" containsNumber="1" minValue="7.3343305652307109E-2" maxValue="0.11123744778158119"/>
    </cacheField>
    <cacheField name="ϴr.new" numFmtId="165">
      <sharedItems containsMixedTypes="1" containsNumber="1" minValue="8.9939603309462809E-2" maxValue="0.11922973990056403"/>
    </cacheField>
    <cacheField name="A" numFmtId="0">
      <sharedItems containsString="0" containsBlank="1" containsNumber="1" minValue="4.1784172145977259E-2" maxValue="1.2326547612489296"/>
    </cacheField>
    <cacheField name="B" numFmtId="0">
      <sharedItems containsString="0" containsBlank="1" containsNumber="1" minValue="-7.7199266002626494" maxValue="-3.14"/>
    </cacheField>
    <cacheField name="wp.Saxton" numFmtId="0">
      <sharedItems containsString="0" containsBlank="1" containsNumber="1" minValue="0.1" maxValue="0.26"/>
    </cacheField>
    <cacheField name="fc.Saxton" numFmtId="0">
      <sharedItems containsString="0" containsBlank="1" containsNumber="1" minValue="0.3" maxValue="0.42"/>
    </cacheField>
    <cacheField name="awc.Saxton" numFmtId="0">
      <sharedItems containsMixedTypes="1" containsNumber="1" minValue="0.15999999999999998" maxValue="0.24999999999999997"/>
    </cacheField>
    <cacheField name="wp.SS" numFmtId="0">
      <sharedItems containsMixedTypes="1" containsNumber="1" minValue="7.0000000000000007E-2" maxValue="0.3"/>
    </cacheField>
    <cacheField name="fc.SS" numFmtId="0">
      <sharedItems containsMixedTypes="1" containsNumber="1" minValue="0.21" maxValue="0.36"/>
    </cacheField>
    <cacheField name="awc.SS" numFmtId="0">
      <sharedItems containsMixedTypes="1" containsNumber="1" minValue="0" maxValue="0.15"/>
    </cacheField>
    <cacheField name="wp.SS2" numFmtId="0">
      <sharedItems containsMixedTypes="1" containsNumber="1" minValue="5.1003251870469973E-2" maxValue="0.24343350465162714"/>
    </cacheField>
    <cacheField name="fc.SS2" numFmtId="0">
      <sharedItems containsMixedTypes="1" containsNumber="1" minValue="0.22952384246118848" maxValue="0.38092744021383995"/>
    </cacheField>
    <cacheField name="awc.SS2" numFmtId="0">
      <sharedItems containsMixedTypes="1" containsNumber="1" minValue="5.614004994244895E-2" maxValue="0.18986078038255058"/>
    </cacheField>
    <cacheField name="wp.SS_new" numFmtId="0">
      <sharedItems containsMixedTypes="1" containsNumber="1" minValue="7.0000000000000007E-2" maxValue="0.22"/>
    </cacheField>
    <cacheField name="fc.SS_new" numFmtId="0">
      <sharedItems containsMixedTypes="1" containsNumber="1" minValue="0.21" maxValue="0.34"/>
    </cacheField>
    <cacheField name="awc.SS_new" numFmtId="0">
      <sharedItems containsMixedTypes="1" containsNumber="1" minValue="0.11999999999999997" maxValue="0.14000000000000001"/>
    </cacheField>
    <cacheField name="wp.SS_new2" numFmtId="0">
      <sharedItems containsMixedTypes="1" containsNumber="1" minValue="5.0247939400286795E-2" maxValue="0.17609433917087372"/>
    </cacheField>
    <cacheField name="fc.SS_new2" numFmtId="0">
      <sharedItems containsMixedTypes="1" containsNumber="1" minValue="0.22870737635431521" maxValue="0.36474289031821405"/>
    </cacheField>
    <cacheField name="awc.SS_new2" numFmtId="0">
      <sharedItems containsMixedTypes="1" containsNumber="1" minValue="0.17845943695402841" maxValue="0.18864855114734033"/>
    </cacheField>
    <cacheField name="soil.depth(avg)" numFmtId="0">
      <sharedItems containsSemiMixedTypes="0" containsString="0" containsNumber="1" containsInteger="1" minValue="3" maxValue="5"/>
    </cacheField>
    <cacheField name="soil.depth (cm)" numFmtId="0">
      <sharedItems containsSemiMixedTypes="0" containsString="0" containsNumber="1" minValue="91.44" maxValue="152.4"/>
    </cacheField>
    <cacheField name="soil.depth (BD+clay)" numFmtId="0">
      <sharedItems containsSemiMixedTypes="0" containsString="0" containsNumber="1" containsInteger="1" minValue="2" maxValue="5"/>
    </cacheField>
    <cacheField name="soil.depth (cm)2" numFmtId="0">
      <sharedItems containsSemiMixedTypes="0" containsString="0" containsNumber="1" minValue="60.96" maxValue="152.4"/>
    </cacheField>
    <cacheField name="taw.Brack.avg" numFmtId="0">
      <sharedItems containsSemiMixedTypes="0" containsString="0" containsNumber="1" minValue="11.389685767955024" maxValue="26.208305135889084"/>
    </cacheField>
    <cacheField name="taw.ss.avg" numFmtId="0">
      <sharedItems containsSemiMixedTypes="0" containsString="0" containsNumber="1" minValue="13.746025598144607" maxValue="28.743658036383028"/>
    </cacheField>
    <cacheField name="taw.Brack.obs" numFmtId="0">
      <sharedItems containsSemiMixedTypes="0" containsString="0" containsNumber="1" minValue="8.5727633313721761" maxValue="26.208305135889084"/>
    </cacheField>
    <cacheField name="taw.ss.obs" numFmtId="0">
      <sharedItems containsSemiMixedTypes="0" containsString="0" containsNumber="1" minValue="9.9622702571548665" maxValue="28.743658036383028"/>
    </cacheField>
    <cacheField name="2012/2013" numFmtId="0">
      <sharedItems containsMixedTypes="1" containsNumber="1" minValue="3.6416551047838974E-2" maxValue="0.24868590303145896"/>
    </cacheField>
    <cacheField name="2012-2014" numFmtId="0">
      <sharedItems containsMixedTypes="1" containsNumber="1" minValue="1.8203573218007123E-2" maxValue="0.29565059435434615"/>
    </cacheField>
    <cacheField name="2013" numFmtId="0">
      <sharedItems containsMixedTypes="1" containsNumber="1" minValue="2.5482309345553122E-2" maxValue="0.3196114224791386"/>
    </cacheField>
    <cacheField name="awc.Decagon" numFmtId="0">
      <sharedItems containsString="0" containsBlank="1" containsNumber="1" minValue="4.0000000000000008E-2" maxValue="0.22999999999999998"/>
    </cacheField>
    <cacheField name="depth.core" numFmtId="0">
      <sharedItems containsSemiMixedTypes="0" containsString="0" containsNumber="1" containsInteger="1" minValue="37" maxValue="150"/>
    </cacheField>
    <cacheField name="taw.core" numFmtId="0">
      <sharedItems containsSemiMixedTypes="0" containsString="0" containsNumber="1" minValue="7.6262403525976312" maxValue="29.0511686110996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our3353" refreshedDate="42402.633892824073" createdVersion="5" refreshedVersion="5" minRefreshableVersion="3" recordCount="426">
  <cacheSource type="worksheet">
    <worksheetSource ref="A1:F427" sheet="em_2013"/>
  </cacheSource>
  <cacheFields count="6">
    <cacheField name="Grower" numFmtId="0">
      <sharedItems count="4">
        <s v="Aes"/>
        <s v="J"/>
        <s v="OD"/>
        <s v="W"/>
      </sharedItems>
    </cacheField>
    <cacheField name="Season" numFmtId="0">
      <sharedItems count="3">
        <s v="Spring"/>
        <s v="Fall"/>
        <s v="Delta"/>
      </sharedItems>
    </cacheField>
    <cacheField name="Site" numFmtId="0">
      <sharedItems containsSemiMixedTypes="0" containsString="0" containsNumber="1" containsInteger="1" minValue="1" maxValue="36" count="3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</sharedItems>
    </cacheField>
    <cacheField name="Eca" numFmtId="0">
      <sharedItems containsSemiMixedTypes="0" containsString="0" containsNumber="1" minValue="0" maxValue="63.144799999999996"/>
    </cacheField>
    <cacheField name="E" numFmtId="0">
      <sharedItems containsSemiMixedTypes="0" containsString="0" containsNumber="1" minValue="466123.66" maxValue="5151171.67"/>
    </cacheField>
    <cacheField name="N" numFmtId="0">
      <sharedItems containsSemiMixedTypes="0" containsString="0" containsNumber="1" minValue="0" maxValue="63144608.64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">
  <r>
    <x v="0"/>
    <x v="0"/>
    <n v="56.4"/>
    <n v="1.1000000000000001"/>
    <n v="25"/>
  </r>
  <r>
    <x v="0"/>
    <x v="1"/>
    <n v="56.1"/>
    <n v="0.7"/>
    <n v="14"/>
  </r>
  <r>
    <x v="0"/>
    <x v="2"/>
    <n v="51.2"/>
    <n v="1.06"/>
    <n v="24"/>
  </r>
  <r>
    <x v="0"/>
    <x v="3"/>
    <n v="54.2"/>
    <n v="0.79"/>
    <n v="19"/>
  </r>
  <r>
    <x v="0"/>
    <x v="4"/>
    <n v="63.5"/>
    <n v="0.98"/>
    <n v="21"/>
  </r>
  <r>
    <x v="0"/>
    <x v="5"/>
    <n v="50.9"/>
    <n v="0.47"/>
    <n v="17"/>
  </r>
  <r>
    <x v="0"/>
    <x v="6"/>
    <n v="50.8"/>
    <n v="1.1000000000000001"/>
    <n v="20"/>
  </r>
  <r>
    <x v="0"/>
    <x v="7"/>
    <n v="49.5"/>
    <n v="0.34"/>
    <n v="17"/>
  </r>
  <r>
    <x v="0"/>
    <x v="8"/>
    <n v="53.6"/>
    <n v="0.93"/>
    <n v="20"/>
  </r>
  <r>
    <x v="0"/>
    <x v="9"/>
    <n v="48.6"/>
    <n v="0.31"/>
    <n v="15"/>
  </r>
  <r>
    <x v="0"/>
    <x v="10"/>
    <n v="50.7"/>
    <n v="0.69"/>
    <n v="15"/>
  </r>
  <r>
    <x v="0"/>
    <x v="11"/>
    <n v="47.6"/>
    <n v="0.18"/>
    <n v="12"/>
  </r>
  <r>
    <x v="1"/>
    <x v="0"/>
    <n v="53.9"/>
    <n v="1.03"/>
    <n v="35"/>
  </r>
  <r>
    <x v="1"/>
    <x v="1"/>
    <n v="53.6"/>
    <n v="0.86"/>
    <n v="28"/>
  </r>
  <r>
    <x v="1"/>
    <x v="2"/>
    <n v="53.4"/>
    <n v="1.9"/>
    <n v="38"/>
  </r>
  <r>
    <x v="1"/>
    <x v="3"/>
    <n v="54.3"/>
    <n v="0.92"/>
    <n v="28"/>
  </r>
  <r>
    <x v="1"/>
    <x v="4"/>
    <n v="46.8"/>
    <n v="1.83"/>
    <n v="36"/>
  </r>
  <r>
    <x v="1"/>
    <x v="5"/>
    <n v="49.2"/>
    <n v="1.78"/>
    <n v="34"/>
  </r>
  <r>
    <x v="1"/>
    <x v="6"/>
    <n v="53.6"/>
    <n v="2.19"/>
    <n v="35"/>
  </r>
  <r>
    <x v="1"/>
    <x v="7"/>
    <n v="51.6"/>
    <n v="0.4"/>
    <n v="30"/>
  </r>
  <r>
    <x v="1"/>
    <x v="8"/>
    <n v="51.2"/>
    <n v="1.19"/>
    <n v="31.5"/>
  </r>
  <r>
    <x v="1"/>
    <x v="9"/>
    <n v="51.6"/>
    <n v="0.31"/>
    <n v="26"/>
  </r>
  <r>
    <x v="1"/>
    <x v="10"/>
    <n v="49.3"/>
    <n v="0.63"/>
    <n v="31"/>
  </r>
  <r>
    <x v="1"/>
    <x v="11"/>
    <n v="55.6"/>
    <n v="0.49"/>
    <n v="24.5"/>
  </r>
  <r>
    <x v="2"/>
    <x v="0"/>
    <n v="53.1"/>
    <n v="2.5"/>
    <n v="48"/>
  </r>
  <r>
    <x v="2"/>
    <x v="1"/>
    <n v="51.2"/>
    <n v="1.4"/>
    <n v="32"/>
  </r>
  <r>
    <x v="2"/>
    <x v="2"/>
    <n v="49.2"/>
    <n v="2.89"/>
    <n v="47"/>
  </r>
  <r>
    <x v="2"/>
    <x v="3"/>
    <n v="55.1"/>
    <n v="1.65"/>
    <n v="35"/>
  </r>
  <r>
    <x v="2"/>
    <x v="4"/>
    <n v="51.6"/>
    <n v="2.58"/>
    <n v="41"/>
  </r>
  <r>
    <x v="2"/>
    <x v="5"/>
    <n v="54.1"/>
    <n v="2.58"/>
    <n v="39"/>
  </r>
  <r>
    <x v="2"/>
    <x v="6"/>
    <n v="52.3"/>
    <n v="2.7"/>
    <n v="41"/>
  </r>
  <r>
    <x v="2"/>
    <x v="7"/>
    <n v="52"/>
    <n v="1.36"/>
    <n v="34"/>
  </r>
  <r>
    <x v="2"/>
    <x v="8"/>
    <n v="52.9"/>
    <n v="2.4500000000000002"/>
    <n v="42"/>
  </r>
  <r>
    <x v="2"/>
    <x v="9"/>
    <n v="54.6"/>
    <n v="0.88"/>
    <n v="30"/>
  </r>
  <r>
    <x v="2"/>
    <x v="10"/>
    <n v="55.2"/>
    <n v="0.85"/>
    <n v="38"/>
  </r>
  <r>
    <x v="2"/>
    <x v="11"/>
    <n v="54"/>
    <n v="0.66"/>
    <n v="26"/>
  </r>
  <r>
    <x v="3"/>
    <x v="0"/>
    <n v="55"/>
    <n v="2.68"/>
    <m/>
  </r>
  <r>
    <x v="3"/>
    <x v="1"/>
    <n v="56.3"/>
    <n v="2.79"/>
    <m/>
  </r>
  <r>
    <x v="3"/>
    <x v="2"/>
    <n v="52.2"/>
    <n v="3.26"/>
    <m/>
  </r>
  <r>
    <x v="3"/>
    <x v="3"/>
    <n v="55.7"/>
    <n v="1.85"/>
    <m/>
  </r>
  <r>
    <x v="3"/>
    <x v="4"/>
    <n v="52.7"/>
    <n v="2.65"/>
    <m/>
  </r>
  <r>
    <x v="3"/>
    <x v="5"/>
    <n v="55.8"/>
    <n v="3.55"/>
    <m/>
  </r>
  <r>
    <x v="3"/>
    <x v="6"/>
    <n v="54"/>
    <n v="3.18"/>
    <m/>
  </r>
  <r>
    <x v="3"/>
    <x v="7"/>
    <n v="56.3"/>
    <n v="1.6"/>
    <m/>
  </r>
  <r>
    <x v="3"/>
    <x v="8"/>
    <n v="51.2"/>
    <n v="1.96"/>
    <m/>
  </r>
  <r>
    <x v="3"/>
    <x v="9"/>
    <n v="48.9"/>
    <n v="1.41"/>
    <m/>
  </r>
  <r>
    <x v="3"/>
    <x v="10"/>
    <n v="61.9"/>
    <n v="1.33"/>
    <m/>
  </r>
  <r>
    <x v="3"/>
    <x v="11"/>
    <n v="52.7"/>
    <n v="0.94"/>
    <m/>
  </r>
  <r>
    <x v="4"/>
    <x v="0"/>
    <n v="51.6"/>
    <n v="4.4400000000000004"/>
    <n v="69"/>
  </r>
  <r>
    <x v="4"/>
    <x v="1"/>
    <n v="56.8"/>
    <n v="2.23"/>
    <n v="51"/>
  </r>
  <r>
    <x v="4"/>
    <x v="2"/>
    <n v="48.8"/>
    <n v="3.69"/>
    <n v="76"/>
  </r>
  <r>
    <x v="4"/>
    <x v="3"/>
    <n v="50"/>
    <n v="2.46"/>
    <n v="61"/>
  </r>
  <r>
    <x v="4"/>
    <x v="4"/>
    <n v="55"/>
    <n v="2.48"/>
    <n v="53"/>
  </r>
  <r>
    <x v="4"/>
    <x v="5"/>
    <n v="53.6"/>
    <n v="3.34"/>
    <n v="68"/>
  </r>
  <r>
    <x v="4"/>
    <x v="6"/>
    <n v="56.9"/>
    <n v="3.94"/>
    <n v="65"/>
  </r>
  <r>
    <x v="4"/>
    <x v="7"/>
    <n v="53.1"/>
    <n v="2.97"/>
    <n v="54"/>
  </r>
  <r>
    <x v="4"/>
    <x v="8"/>
    <n v="52.8"/>
    <n v="3.63"/>
    <n v="64"/>
  </r>
  <r>
    <x v="4"/>
    <x v="9"/>
    <n v="54.1"/>
    <n v="2.19"/>
    <n v="46"/>
  </r>
  <r>
    <x v="4"/>
    <x v="10"/>
    <n v="56.5"/>
    <n v="2.65"/>
    <n v="59"/>
  </r>
  <r>
    <x v="4"/>
    <x v="11"/>
    <n v="51.8"/>
    <n v="0.87"/>
    <n v="36"/>
  </r>
  <r>
    <x v="5"/>
    <x v="0"/>
    <n v="45"/>
    <n v="4.63"/>
    <n v="105"/>
  </r>
  <r>
    <x v="5"/>
    <x v="1"/>
    <n v="52.4"/>
    <n v="2.66"/>
    <n v="75"/>
  </r>
  <r>
    <x v="5"/>
    <x v="2"/>
    <n v="45.1"/>
    <n v="3.79"/>
    <n v="105"/>
  </r>
  <r>
    <x v="5"/>
    <x v="3"/>
    <n v="46.7"/>
    <n v="3.14"/>
    <n v="80"/>
  </r>
  <r>
    <x v="5"/>
    <x v="4"/>
    <n v="51.6"/>
    <n v="3.35"/>
    <n v="95"/>
  </r>
  <r>
    <x v="5"/>
    <x v="5"/>
    <n v="48.7"/>
    <n v="3.68"/>
    <n v="100"/>
  </r>
  <r>
    <x v="5"/>
    <x v="6"/>
    <n v="47.9"/>
    <n v="3.76"/>
    <n v="97"/>
  </r>
  <r>
    <x v="5"/>
    <x v="7"/>
    <n v="45"/>
    <n v="3.16"/>
    <n v="80"/>
  </r>
  <r>
    <x v="5"/>
    <x v="8"/>
    <n v="47.1"/>
    <n v="3.7"/>
    <n v="100"/>
  </r>
  <r>
    <x v="5"/>
    <x v="9"/>
    <n v="53.5"/>
    <n v="2.74"/>
    <n v="63"/>
  </r>
  <r>
    <x v="5"/>
    <x v="10"/>
    <n v="52"/>
    <n v="2.89"/>
    <n v="83"/>
  </r>
  <r>
    <x v="5"/>
    <x v="11"/>
    <n v="54.4"/>
    <n v="1.01"/>
    <n v="65"/>
  </r>
  <r>
    <x v="6"/>
    <x v="0"/>
    <n v="46.2"/>
    <n v="3.75"/>
    <n v="108"/>
  </r>
  <r>
    <x v="6"/>
    <x v="1"/>
    <n v="51.6"/>
    <n v="3.34"/>
    <n v="99"/>
  </r>
  <r>
    <x v="6"/>
    <x v="2"/>
    <n v="46.6"/>
    <n v="4.3099999999999996"/>
    <n v="121"/>
  </r>
  <r>
    <x v="6"/>
    <x v="3"/>
    <n v="46.4"/>
    <n v="3.34"/>
    <n v="92"/>
  </r>
  <r>
    <x v="6"/>
    <x v="4"/>
    <n v="48.3"/>
    <n v="3.28"/>
    <n v="92"/>
  </r>
  <r>
    <x v="6"/>
    <x v="5"/>
    <n v="52.1"/>
    <n v="4.1399999999999997"/>
    <n v="109"/>
  </r>
  <r>
    <x v="6"/>
    <x v="6"/>
    <n v="51"/>
    <n v="4.68"/>
    <n v="118"/>
  </r>
  <r>
    <x v="6"/>
    <x v="7"/>
    <n v="43.2"/>
    <n v="2.71"/>
    <n v="98"/>
  </r>
  <r>
    <x v="6"/>
    <x v="8"/>
    <n v="57"/>
    <n v="3.18"/>
    <n v="94"/>
  </r>
  <r>
    <x v="6"/>
    <x v="9"/>
    <n v="56.6"/>
    <n v="2.1800000000000002"/>
    <n v="95"/>
  </r>
  <r>
    <x v="6"/>
    <x v="10"/>
    <n v="53.2"/>
    <n v="3.46"/>
    <n v="99"/>
  </r>
  <r>
    <x v="6"/>
    <x v="11"/>
    <n v="56.4"/>
    <n v="2.11"/>
    <n v="82"/>
  </r>
  <r>
    <x v="7"/>
    <x v="0"/>
    <n v="51.6"/>
    <n v="4.9800000000000004"/>
    <n v="135"/>
  </r>
  <r>
    <x v="7"/>
    <x v="1"/>
    <n v="52.7"/>
    <n v="3.05"/>
    <n v="111"/>
  </r>
  <r>
    <x v="7"/>
    <x v="2"/>
    <n v="46.5"/>
    <n v="4.66"/>
    <n v="140"/>
  </r>
  <r>
    <x v="7"/>
    <x v="3"/>
    <n v="48"/>
    <n v="3.23"/>
    <n v="107"/>
  </r>
  <r>
    <x v="7"/>
    <x v="4"/>
    <n v="52.4"/>
    <n v="2.2799999999999998"/>
    <n v="108"/>
  </r>
  <r>
    <x v="7"/>
    <x v="5"/>
    <n v="50.9"/>
    <n v="3.68"/>
    <n v="119"/>
  </r>
  <r>
    <x v="7"/>
    <x v="6"/>
    <n v="51.6"/>
    <n v="5.83"/>
    <n v="127"/>
  </r>
  <r>
    <x v="7"/>
    <x v="7"/>
    <n v="51.1"/>
    <n v="2.38"/>
    <n v="107"/>
  </r>
  <r>
    <x v="7"/>
    <x v="8"/>
    <n v="51.2"/>
    <n v="3.23"/>
    <n v="111"/>
  </r>
  <r>
    <x v="7"/>
    <x v="9"/>
    <n v="57.8"/>
    <n v="3.6"/>
    <n v="96"/>
  </r>
  <r>
    <x v="7"/>
    <x v="10"/>
    <n v="54.5"/>
    <n v="5.39"/>
    <n v="124"/>
  </r>
  <r>
    <x v="7"/>
    <x v="11"/>
    <n v="51.4"/>
    <n v="2.11"/>
    <n v="92"/>
  </r>
  <r>
    <x v="8"/>
    <x v="0"/>
    <n v="50.5"/>
    <n v="2.98"/>
    <n v="110"/>
  </r>
  <r>
    <x v="8"/>
    <x v="1"/>
    <n v="53.6"/>
    <n v="3.01"/>
    <n v="105"/>
  </r>
  <r>
    <x v="8"/>
    <x v="2"/>
    <n v="47.3"/>
    <n v="4.04"/>
    <n v="127"/>
  </r>
  <r>
    <x v="8"/>
    <x v="3"/>
    <n v="55.7"/>
    <n v="53.2"/>
    <n v="106"/>
  </r>
  <r>
    <x v="8"/>
    <x v="4"/>
    <n v="51.5"/>
    <n v="2.3199999999999998"/>
    <n v="107"/>
  </r>
  <r>
    <x v="8"/>
    <x v="5"/>
    <n v="51.5"/>
    <n v="3.66"/>
    <n v="95"/>
  </r>
  <r>
    <x v="8"/>
    <x v="6"/>
    <n v="48.9"/>
    <n v="4.83"/>
    <n v="114"/>
  </r>
  <r>
    <x v="8"/>
    <x v="7"/>
    <n v="48.9"/>
    <n v="2.62"/>
    <n v="106"/>
  </r>
  <r>
    <x v="8"/>
    <x v="8"/>
    <n v="48.2"/>
    <n v="3"/>
    <n v="90"/>
  </r>
  <r>
    <x v="8"/>
    <x v="9"/>
    <n v="52"/>
    <n v="2.7"/>
    <n v="91"/>
  </r>
  <r>
    <x v="8"/>
    <x v="10"/>
    <n v="53.9"/>
    <n v="4.95"/>
    <n v="121"/>
  </r>
  <r>
    <x v="8"/>
    <x v="11"/>
    <n v="49.7"/>
    <n v="2.34"/>
    <n v="87"/>
  </r>
  <r>
    <x v="9"/>
    <x v="0"/>
    <n v="25.3"/>
    <n v="4.17"/>
    <n v="108"/>
  </r>
  <r>
    <x v="9"/>
    <x v="1"/>
    <n v="39.6"/>
    <n v="2.7"/>
    <n v="98"/>
  </r>
  <r>
    <x v="9"/>
    <x v="2"/>
    <n v="37.4"/>
    <n v="3.98"/>
    <n v="115"/>
  </r>
  <r>
    <x v="9"/>
    <x v="3"/>
    <n v="40.4"/>
    <n v="3.07"/>
    <n v="98"/>
  </r>
  <r>
    <x v="9"/>
    <x v="4"/>
    <n v="35.5"/>
    <n v="2.46"/>
    <n v="84"/>
  </r>
  <r>
    <x v="9"/>
    <x v="5"/>
    <n v="36.299999999999997"/>
    <n v="2.58"/>
    <n v="102"/>
  </r>
  <r>
    <x v="9"/>
    <x v="6"/>
    <n v="48.7"/>
    <n v="5.95"/>
    <n v="105"/>
  </r>
  <r>
    <x v="9"/>
    <x v="7"/>
    <n v="38.700000000000003"/>
    <n v="3.09"/>
    <n v="110"/>
  </r>
  <r>
    <x v="9"/>
    <x v="8"/>
    <n v="37.200000000000003"/>
    <n v="2.57"/>
    <n v="103"/>
  </r>
  <r>
    <x v="9"/>
    <x v="9"/>
    <n v="53.9"/>
    <n v="2.82"/>
    <n v="100"/>
  </r>
  <r>
    <x v="9"/>
    <x v="10"/>
    <n v="51.8"/>
    <n v="2.84"/>
    <n v="126"/>
  </r>
  <r>
    <x v="9"/>
    <x v="11"/>
    <n v="43.8"/>
    <n v="3.32"/>
    <n v="97"/>
  </r>
  <r>
    <x v="10"/>
    <x v="0"/>
    <n v="6.5"/>
    <n v="3.2"/>
    <n v="107"/>
  </r>
  <r>
    <x v="10"/>
    <x v="1"/>
    <n v="4.7"/>
    <n v="1.98"/>
    <n v="101"/>
  </r>
  <r>
    <x v="10"/>
    <x v="2"/>
    <n v="16.399999999999999"/>
    <n v="2.88"/>
    <n v="120"/>
  </r>
  <r>
    <x v="10"/>
    <x v="3"/>
    <n v="5.4"/>
    <n v="2.36"/>
    <n v="110"/>
  </r>
  <r>
    <x v="10"/>
    <x v="4"/>
    <n v="6"/>
    <n v="1.54"/>
    <n v="95"/>
  </r>
  <r>
    <x v="10"/>
    <x v="5"/>
    <n v="2.6"/>
    <n v="2.5"/>
    <n v="108"/>
  </r>
  <r>
    <x v="10"/>
    <x v="6"/>
    <n v="17.600000000000001"/>
    <n v="4.42"/>
    <n v="130"/>
  </r>
  <r>
    <x v="10"/>
    <x v="7"/>
    <n v="4.5999999999999996"/>
    <n v="2.63"/>
    <n v="111"/>
  </r>
  <r>
    <x v="10"/>
    <x v="8"/>
    <n v="3.8"/>
    <n v="2.5"/>
    <n v="95"/>
  </r>
  <r>
    <x v="10"/>
    <x v="9"/>
    <n v="5.0999999999999996"/>
    <n v="2.4"/>
    <n v="93"/>
  </r>
  <r>
    <x v="10"/>
    <x v="10"/>
    <n v="26.9"/>
    <n v="3.14"/>
    <n v="118"/>
  </r>
  <r>
    <x v="10"/>
    <x v="11"/>
    <n v="10.7"/>
    <n v="1.64"/>
    <n v="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s v="ODB"/>
    <x v="0"/>
    <x v="0"/>
    <n v="9.7232667895552503"/>
    <n v="59.187807392466596"/>
    <n v="31.088925817978129"/>
    <n v="1.5227086738926325"/>
    <n v="1.3957163321064303"/>
    <n v="1.2483453626640062"/>
    <n v="8.7027997310301974E-2"/>
    <n v="1.3889234562210229"/>
    <n v="1.4592125029995313"/>
    <n v="1.4592125029995313"/>
    <n v="1.2931891747546678"/>
    <n v="1.8449333333333335"/>
    <n v="0.14998999999999998"/>
    <n v="1.8191999999999999"/>
    <n v="0.14019000000000001"/>
    <n v="-2.5733333333333608E-2"/>
    <n v="-9.7999999999999754E-3"/>
    <n v="0.11066398390342073"/>
    <n v="0.22297099326106065"/>
    <n v="4.9356226060061168"/>
    <n v="38.619234428530604"/>
    <n v="33.683611822524483"/>
    <n v="0.11230700935763992"/>
    <n v="0.16148226894361042"/>
    <n v="0.32536206117276395"/>
    <n v="0.16387979222915353"/>
    <n v="0.15129811996418985"/>
    <n v="0.1417939678809243"/>
    <n v="0.2560214094558429"/>
    <n v="3.0317517159056999"/>
    <n v="8.4207305131218178"/>
    <n v="3.8988997918525121"/>
    <n v="4.2118322888689947"/>
    <n v="8.6747796709753242"/>
    <n v="4.1087600356824261"/>
    <n v="0.10472328949165305"/>
    <n v="0.1142274415749186"/>
    <n v="0.8671480759468122"/>
    <n v="-4.5218307212693052"/>
    <n v="-0.10307225318656865"/>
    <n v="-4.5660196352928981"/>
    <n v="0.44935377245300701"/>
    <n v="0.51200408499823857"/>
    <n v="0.34935572091350553"/>
    <n v="0.35642163576349989"/>
    <n v="0.19410378609665385"/>
    <n v="0.1903623581002189"/>
    <n v="0.15525193481685168"/>
    <n v="0.16605927766328099"/>
    <n v="3.2686051845384881E-2"/>
    <n v="9.0794588459402442E-2"/>
    <n v="9.9998051539501476E-2"/>
    <n v="85.283388369804527"/>
    <n v="57.171943371561802"/>
    <n v="0.24301554997386851"/>
    <n v="0.26822535963327321"/>
    <n v="9.2514595406787248E-2"/>
    <n v="9.7258073219493646E-2"/>
    <n v="0.11239121866705182"/>
    <n v="-5.3880792644583844"/>
    <n v="0.17"/>
    <n v="0.35"/>
    <n v="0.17999999999999997"/>
    <n v="0.21"/>
    <n v="0.33"/>
    <n v="0.12"/>
    <n v="0.16972914319649116"/>
    <n v="0.35786233825288233"/>
    <n v="0.18813319505639117"/>
    <n v="0.17"/>
    <n v="0.28999999999999998"/>
    <n v="0.11999999999999997"/>
    <n v="0.13117852637803382"/>
    <n v="0.31619048286342161"/>
    <n v="0.18501195648538779"/>
    <n v="4"/>
    <n v="121.92"/>
    <n v="5"/>
    <n v="152.4"/>
    <n v="18.664959382325424"/>
    <n v="22.887406816247125"/>
    <n v="23.331199227906783"/>
    <n v="28.645428007404185"/>
    <n v="0.24868590303145896"/>
    <n v="0.29565059435434615"/>
    <n v="0.20172121170857177"/>
    <n v="0.16999999999999998"/>
    <n v="105"/>
    <n v="22.72701531376423"/>
  </r>
  <r>
    <s v="ODB"/>
    <x v="0"/>
    <x v="1"/>
    <n v="8.3021738613632596"/>
    <n v="57.394558724144098"/>
    <n v="34.303267414492602"/>
    <n v="1.4147106052612919"/>
    <n v="1.4485129340410638"/>
    <n v="1.2512806145540878"/>
    <n v="-2.361137949292505E-2"/>
    <n v="1.3715013846188144"/>
    <n v="1.4316117696511779"/>
    <n v="1.4316117696511779"/>
    <n v="1.2957680742955089"/>
    <n v="1.6850000000000001"/>
    <n v="0.13346"/>
    <n v="1.7246999999999999"/>
    <n v="0.14013"/>
    <n v="3.9699999999999847E-2"/>
    <n v="6.6700000000000093E-3"/>
    <n v="0.1089177489177493"/>
    <m/>
    <n v="3.6127507392654556"/>
    <m/>
    <s v=""/>
    <s v=""/>
    <n v="0.15592793127456175"/>
    <s v=""/>
    <s v=""/>
    <n v="0.18416090509113781"/>
    <n v="0.14294003868471955"/>
    <n v="0.28339160839160826"/>
    <n v="1.258170961659334"/>
    <n v="2.1525370728562221"/>
    <n v="3.96247159090909"/>
    <n v="1.791043368950346"/>
    <n v="2.2663548517085754"/>
    <n v="4.1555150786713275"/>
    <n v="9.9230703300470458E-2"/>
    <n v="0.14045156970688871"/>
    <n v="2.7043006292497562"/>
    <n v="1.8099345180528679"/>
    <n v="2.3644717097209815"/>
    <n v="1.8891602269627521"/>
    <n v="0.45976914352785736"/>
    <n v="0.5110309153601853"/>
    <n v="0.36492751735164952"/>
    <n v="0.37065084990600389"/>
    <n v="0.20920652944559559"/>
    <n v="0.20444687286012966"/>
    <n v="0.15572098790605393"/>
    <n v="0.16620397704587422"/>
    <n v="2.8580248444044946E-2"/>
    <n v="7.9389579011235958E-2"/>
    <n v="9.4841626176207838E-2"/>
    <n v="87.378484479600232"/>
    <n v="62.439744611543418"/>
    <n v="0.22807018241419"/>
    <n v="0.25240616402815524"/>
    <n v="9.7019899901349654E-2"/>
    <n v="0.10188293405206393"/>
    <n v="9.2692892320842782E-2"/>
    <n v="-5.8346807767569198"/>
    <n v="0.19"/>
    <n v="0.37"/>
    <n v="0.18"/>
    <n v="0.21"/>
    <n v="0.32"/>
    <n v="0.11"/>
    <n v="0.16332025291300348"/>
    <n v="0.35093455418244562"/>
    <n v="0.18761430126944215"/>
    <n v="0.17"/>
    <n v="0.28999999999999998"/>
    <n v="0.11999999999999997"/>
    <n v="0.13177734685141715"/>
    <n v="0.31683778664817269"/>
    <n v="0.18506043979675554"/>
    <n v="4"/>
    <n v="121.92"/>
    <n v="5"/>
    <n v="152.4"/>
    <n v="18.664959382325424"/>
    <n v="22.887406816247125"/>
    <n v="23.331199227906783"/>
    <n v="28.645428007404185"/>
    <n v="0.24214086052364092"/>
    <n v="0.18555766700042967"/>
    <n v="0.24040981585960419"/>
    <n v="0.06"/>
    <n v="105"/>
    <n v="22.72701531376423"/>
  </r>
  <r>
    <s v="ODB"/>
    <x v="0"/>
    <x v="2"/>
    <n v="7.6810378797833296"/>
    <n v="54.393037691173198"/>
    <n v="37.925924429043498"/>
    <n v="1.5949480134153649"/>
    <n v="1.325359564907022"/>
    <n v="1.6895540095142725"/>
    <n v="0.18463017423884637"/>
    <n v="1.5366205292788864"/>
    <n v="1.4601537891611933"/>
    <n v="1.4601537891611933"/>
    <n v="1.232456090567865"/>
    <n v="1.0007999999999999"/>
    <n v="8.5139999999999993E-2"/>
    <n v="1.0539000000000001"/>
    <n v="8.5849999999999996E-2"/>
    <n v="5.3100000000000147E-2"/>
    <n v="7.100000000000023E-4"/>
    <n v="0.21830029866956266"/>
    <m/>
    <n v="2.3784125893000536"/>
    <m/>
    <s v=""/>
    <s v=""/>
    <n v="0.31875200827738215"/>
    <s v=""/>
    <s v=""/>
    <n v="0.14338507021433858"/>
    <n v="0.14459964587841814"/>
    <n v="0.31089743589743585"/>
    <n v="0.61933357969943337"/>
    <n v="1.497517870024264"/>
    <n v="2.5862913995726498"/>
    <n v="0.61933357969943337"/>
    <n v="1.5924242573283496"/>
    <n v="3.7546287393162396"/>
    <n v="0.16751236568309727"/>
    <n v="0.1662977900190177"/>
    <n v="1.9669578198732163"/>
    <n v="1.0887735295483858"/>
    <n v="3.1352951596168062"/>
    <n v="2.1622044819878901"/>
    <n v="0.4489985701278516"/>
    <n v="0.53492222997439054"/>
    <n v="0.37637923186174926"/>
    <n v="0.38642629926550953"/>
    <n v="0.22812817758452561"/>
    <n v="0.21734311046277785"/>
    <n v="0.14825105427722365"/>
    <n v="0.16908318880273168"/>
    <n v="1.4639592575944767E-2"/>
    <n v="4.0665534933179905E-2"/>
    <n v="7.261933826610234E-2"/>
    <n v="103.26170949475114"/>
    <n v="57.797681803458033"/>
    <n v="0.19990319591069677"/>
    <n v="0.24581329039859037"/>
    <n v="9.8610888825800685E-2"/>
    <n v="0.10863411290903438"/>
    <n v="7.2280251416488264E-2"/>
    <n v="-6.4111509748727507"/>
    <n v="0.21"/>
    <n v="0.38"/>
    <n v="0.17"/>
    <n v="0.21"/>
    <n v="0.33"/>
    <n v="0.12"/>
    <n v="0.16994770984322907"/>
    <n v="0.35809860107945951"/>
    <n v="0.18815089123623044"/>
    <n v="0.15"/>
    <n v="0.28000000000000003"/>
    <n v="0.13000000000000003"/>
    <n v="0.11707630422985824"/>
    <n v="0.30094647873253411"/>
    <n v="0.18387017450267587"/>
    <n v="4"/>
    <n v="121.92"/>
    <n v="5"/>
    <n v="152.4"/>
    <n v="18.664959382325424"/>
    <n v="22.887406816247125"/>
    <n v="23.331199227906783"/>
    <n v="28.645428007404185"/>
    <n v="5.377136719040429E-2"/>
    <n v="4.3087667320757528E-2"/>
    <n v="6.7155379013440653E-2"/>
    <n v="0.18"/>
    <n v="105"/>
    <n v="22.72701531376423"/>
  </r>
  <r>
    <s v="ODB"/>
    <x v="0"/>
    <x v="3"/>
    <n v="7.61583243409647"/>
    <n v="52.499653272263799"/>
    <n v="39.884514293639697"/>
    <n v="1.45765225270587"/>
    <n v="1.3403037259456989"/>
    <m/>
    <n v="8.3881610472460219E-2"/>
    <m/>
    <n v="1.3989779893257843"/>
    <n v="1.3989779893257843"/>
    <m/>
    <n v="0.44707000000000002"/>
    <n v="5.0520000000000002E-2"/>
    <n v="0.54107000000000005"/>
    <n v="6.9599999999999995E-2"/>
    <n v="9.4000000000000028E-2"/>
    <n v="1.9079999999999993E-2"/>
    <n v="0.24764595103578138"/>
    <n v="0.2663854639844257"/>
    <n v="3.315800635531557"/>
    <n v="30.9635532820488"/>
    <n v="27.647752646517244"/>
    <n v="1.8739512948644316E-2"/>
    <n v="0.34645123464470906"/>
    <n v="0.372667400790548"/>
    <n v="2.6216166145838937E-2"/>
    <n v="0.16157032945354108"/>
    <n v="0.14643968515467692"/>
    <n v="0.3103139013452913"/>
    <n v="0.50334714276320114"/>
    <n v="1.7101058636890596"/>
    <n v="3.1229147982062777"/>
    <n v="0.50334714276320114"/>
    <n v="2.0545154524376104"/>
    <n v="3.6530459641255604"/>
    <n v="0.14874357189175022"/>
    <n v="0.16387421619061437"/>
    <n v="2.6195676554430767"/>
    <n v="1.4128089345172181"/>
    <n v="3.1496988213623593"/>
    <n v="1.59853051168795"/>
    <n v="0.47208377761291154"/>
    <s v=""/>
    <n v="0.38749602324839394"/>
    <s v=""/>
    <n v="0.23435256644519567"/>
    <s v=""/>
    <n v="0.15314345680319827"/>
    <s v=""/>
    <n v="2.1950058983929596E-2"/>
    <n v="6.0972386066471096E-2"/>
    <n v="8.4587754364517598E-2"/>
    <n v="91.311269720958734"/>
    <s v=""/>
    <n v="0.20275885977543218"/>
    <s v=""/>
    <n v="0.10325296019515565"/>
    <s v=""/>
    <n v="6.2661781993037069E-2"/>
    <n v="-6.7521160380098095"/>
    <n v="0.22"/>
    <n v="0.4"/>
    <n v="0.18000000000000002"/>
    <n v="0.2"/>
    <n v="0.32"/>
    <n v="0.12"/>
    <n v="0.15574268912144709"/>
    <n v="0.34274347532077187"/>
    <n v="0.18700078619932478"/>
    <s v=""/>
    <s v=""/>
    <s v=""/>
    <s v=""/>
    <s v=""/>
    <s v=""/>
    <n v="4"/>
    <n v="121.92"/>
    <n v="5"/>
    <n v="152.4"/>
    <n v="18.664959382325424"/>
    <n v="22.887406816247125"/>
    <n v="23.331199227906783"/>
    <n v="28.645428007404185"/>
    <n v="4.7030294340969142E-2"/>
    <n v="1.8203573218007123E-2"/>
    <n v="8.7357976099376289E-2"/>
    <m/>
    <n v="105"/>
    <n v="22.72701531376423"/>
  </r>
  <r>
    <s v="ODB"/>
    <x v="0"/>
    <x v="4"/>
    <m/>
    <m/>
    <m/>
    <m/>
    <n v="1.5006093831271679"/>
    <m/>
    <s v=""/>
    <m/>
    <n v="1.5006093831271679"/>
    <n v="1.5006093831271679"/>
    <m/>
    <m/>
    <m/>
    <n v="0.34114"/>
    <n v="4.9450000000000001E-2"/>
    <s v=""/>
    <s v=""/>
    <n v="0.23283582089552235"/>
    <n v="0.26020577497510772"/>
    <n v="9.1183851978330548"/>
    <n v="26.903959810149988"/>
    <n v="17.785574612316935"/>
    <n v="2.7369954079585368E-2"/>
    <n v="0.34939561756393755"/>
    <n v="0.39046722747152302"/>
    <n v="4.107160990758546E-2"/>
    <n v="0.17914597815292943"/>
    <n v="0.2539607472215652"/>
    <n v="0.39585775693630337"/>
    <n v="1.5721946375372391"/>
    <n v="3.5267646015606524"/>
    <n v="5.1995701445877298"/>
    <n v="1.6331171797418071"/>
    <n v="3.6866445968314019"/>
    <n v="5.4705991923928625"/>
    <n v="0.21671177878337394"/>
    <n v="0.14189700971473818"/>
    <n v="3.6273755070504907"/>
    <n v="1.6728055430270774"/>
    <n v="3.8374820126510554"/>
    <n v="1.7839545955614606"/>
    <n v="0.43373230825389886"/>
    <s v=""/>
    <s v=""/>
    <s v=""/>
    <s v=""/>
    <s v=""/>
    <s v=""/>
    <s v=""/>
    <s v=""/>
    <m/>
    <s v=""/>
    <n v="70.973488227192661"/>
    <s v=""/>
    <n v="0.3548530138541125"/>
    <s v=""/>
    <s v=""/>
    <s v=""/>
    <n v="1.2326547612489296"/>
    <n v="-3.14"/>
    <n v="0.1"/>
    <n v="0.35"/>
    <n v="0.24999999999999997"/>
    <n v="0.23"/>
    <n v="0.34"/>
    <n v="0.11"/>
    <n v="0.17934149876212838"/>
    <n v="0.36825295516491913"/>
    <n v="0.18891145640279075"/>
    <s v=""/>
    <s v=""/>
    <s v=""/>
    <s v=""/>
    <s v=""/>
    <s v=""/>
    <n v="4"/>
    <n v="121.92"/>
    <n v="5"/>
    <n v="152.4"/>
    <n v="18.664959382325424"/>
    <n v="22.887406816247125"/>
    <n v="23.331199227906783"/>
    <n v="28.645428007404185"/>
    <n v="9.2905551398556635E-2"/>
    <n v="0.11967680744404847"/>
    <n v="0.14188272404906471"/>
    <m/>
    <n v="105"/>
    <n v="22.72701531376423"/>
  </r>
  <r>
    <s v="ODB"/>
    <x v="1"/>
    <x v="0"/>
    <n v="6.9942836905467907"/>
    <n v="54.320580882410468"/>
    <n v="38.685135427042731"/>
    <n v="1.3976727703075278"/>
    <n v="1.5791758317587921"/>
    <n v="1.2806906874135304"/>
    <n v="-0.12194309198343345"/>
    <n v="1.4191797631599501"/>
    <n v="1.4884243010331599"/>
    <n v="1.4884243010331599"/>
    <n v="1.1316948013650099"/>
    <n v="1.10602"/>
    <n v="0.10088666666666667"/>
    <n v="1.4380999999999999"/>
    <n v="0.12553"/>
    <n v="0.33207999999999993"/>
    <n v="2.4643333333333337E-2"/>
    <n v="0.14065252624903091"/>
    <n v="0.23141486810551576"/>
    <n v="2.9896335741999218"/>
    <n v="9.6089679263222489"/>
    <n v="6.6193343521223271"/>
    <n v="9.0762341856484852E-2"/>
    <n v="0.20935063807076201"/>
    <n v="0.34444351330863321"/>
    <n v="0.1350928752378712"/>
    <n v="0.13244529019980955"/>
    <n v="0.13217938630999213"/>
    <n v="0.23536392405063272"/>
    <n v="4.3835069774817637"/>
    <n v="10.095266194597428"/>
    <n v="3.2685670490506324"/>
    <n v="4.777503568030447"/>
    <n v="11.156684369263045"/>
    <n v="4.8436560522151888"/>
    <n v="0.10291863385082317"/>
    <n v="0.1031845377406406"/>
    <n v="-1.1149399284311312"/>
    <n v="-6.8266991455467956"/>
    <n v="6.6152484184741844E-2"/>
    <n v="-6.3130283170478565"/>
    <n v="0.43833045244031699"/>
    <n v="0.57294535797546797"/>
    <n v="0.37704751663565439"/>
    <n v="0.39207955528789706"/>
    <n v="0.23362672265442863"/>
    <n v="0.21734348861757746"/>
    <n v="0.14342079398122576"/>
    <n v="0.1747360666703196"/>
    <n v="9.7345896837604997E-3"/>
    <n v="2.704052689933472E-2"/>
    <n v="6.1282935804662597E-2"/>
    <n v="115.23467522970707"/>
    <n v="47.308468231704005"/>
    <n v="0.18816193398435527"/>
    <n v="0.25673885155485021"/>
    <n v="9.7120860536693887E-2"/>
    <n v="0.11234555248438423"/>
    <n v="6.9823643231727767E-2"/>
    <n v="-6.5282520391199377"/>
    <n v="0.22"/>
    <n v="0.39"/>
    <n v="0.17"/>
    <n v="0.22"/>
    <n v="0.34"/>
    <n v="0.12"/>
    <n v="0.17651212269989972"/>
    <n v="0.36519449955932315"/>
    <n v="0.18868237685942343"/>
    <n v="0.12"/>
    <n v="0.25"/>
    <n v="0.13"/>
    <n v="9.3679532876955268E-2"/>
    <n v="0.27565539514261744"/>
    <n v="0.18197586226566217"/>
    <n v="5"/>
    <n v="152.4"/>
    <n v="5"/>
    <n v="152.4"/>
    <n v="19.671169739958806"/>
    <n v="25.5848792388074"/>
    <n v="19.671169739958806"/>
    <n v="25.5848792388074"/>
    <n v="0.14867280225329832"/>
    <n v="0.1455773284088055"/>
    <n v="0.15176827609779117"/>
    <n v="0.14000000000000001"/>
    <n v="115"/>
    <n v="27.038668660791963"/>
  </r>
  <r>
    <s v="ODB"/>
    <x v="1"/>
    <x v="1"/>
    <n v="7.36035282791961"/>
    <n v="54.296592638982297"/>
    <n v="38.343054533098098"/>
    <n v="1.4947272544822146"/>
    <n v="1.5926063857848329"/>
    <n v="1.4317122748561466"/>
    <n v="-6.3406902335409437E-2"/>
    <n v="1.506348638374398"/>
    <n v="1.5436668201335237"/>
    <n v="1.5436668201335237"/>
    <n v="1.3378409782332277"/>
    <n v="0.50121000000000004"/>
    <n v="6.8479999999999999E-2"/>
    <n v="0.55145"/>
    <n v="7.2669999999999998E-2"/>
    <n v="5.0239999999999951E-2"/>
    <n v="4.1899999999999993E-3"/>
    <n v="0.13749242883101148"/>
    <n v="0.22613596336738295"/>
    <n v="2.8223797073953394"/>
    <n v="26.020173052371693"/>
    <n v="23.197793344976354"/>
    <n v="8.8643534536371471E-2"/>
    <n v="0.21224250040600232"/>
    <n v="0.34907858348915904"/>
    <n v="0.13683608308315673"/>
    <n v="0.1516462841015993"/>
    <n v="0.1399471897397209"/>
    <n v="0.23045822102425889"/>
    <n v="1.1084595484477893"/>
    <n v="0.7789639129888094"/>
    <n v="3.2453335579514828"/>
    <n v="1.2730489965506429"/>
    <n v="0.82608173016471786"/>
    <n v="3.7990397574123995"/>
    <n v="7.8811936922659587E-2"/>
    <n v="9.0511031284537996E-2"/>
    <n v="2.1368740095036936"/>
    <n v="2.4663696449626733"/>
    <n v="2.5259907608617569"/>
    <n v="2.9729580272476817"/>
    <n v="0.41748421881753817"/>
    <n v="0.49515434783651779"/>
    <n v="0.36940603720148435"/>
    <n v="0.38543196982641481"/>
    <n v="0.23395272827802194"/>
    <n v="0.22405795314498528"/>
    <n v="0.13545330892346241"/>
    <n v="0.16137401668142953"/>
    <n v="5.684919682467331E-3"/>
    <n v="1.5791443562409253E-2"/>
    <n v="4.8078181616053817E-2"/>
    <n v="133.12472661064223"/>
    <n v="75.777527389097017"/>
    <n v="0.17702957110806242"/>
    <n v="0.22440238501436371"/>
    <n v="9.3637693130193045E-2"/>
    <n v="0.10495005547087474"/>
    <n v="7.0806484571960274E-2"/>
    <n v="-6.4761920158186879"/>
    <n v="0.21"/>
    <n v="0.39"/>
    <n v="0.18000000000000002"/>
    <n v="0.24"/>
    <n v="0.35"/>
    <n v="0.11"/>
    <n v="0.18933943563500419"/>
    <n v="0.37906037185351443"/>
    <n v="0.18972093621851024"/>
    <n v="0.18"/>
    <n v="0.3"/>
    <n v="0.12"/>
    <n v="0.14154667514575545"/>
    <n v="0.32739808553654015"/>
    <n v="0.1858514103907847"/>
    <n v="5"/>
    <n v="152.4"/>
    <n v="5"/>
    <n v="152.4"/>
    <n v="19.671169739958806"/>
    <n v="25.5848792388074"/>
    <n v="19.671169739958806"/>
    <n v="25.5848792388074"/>
    <n v="0.1506829772421637"/>
    <n v="0.1151387792295883"/>
    <n v="0.16742895729159962"/>
    <n v="0.13999999999999999"/>
    <n v="115"/>
    <n v="27.038668660791963"/>
  </r>
  <r>
    <s v="ODB"/>
    <x v="1"/>
    <x v="2"/>
    <n v="7.1803812410641701"/>
    <n v="56.231901285441502"/>
    <n v="36.587717473494401"/>
    <n v="1.5653975373425772"/>
    <n v="1.6308046827244249"/>
    <n v="1.6023022082326388"/>
    <n v="-4.0928039515895541E-2"/>
    <n v="1.5995014760998805"/>
    <n v="1.5981011100335012"/>
    <n v="1.5981011100335012"/>
    <n v="1.4866250610287413"/>
    <n v="0.35833999999999999"/>
    <n v="5.2350000000000001E-2"/>
    <n v="0.36520000000000002"/>
    <n v="5.3679999999999999E-2"/>
    <n v="6.8600000000000327E-3"/>
    <n v="1.3299999999999979E-3"/>
    <n v="0.14456307951671823"/>
    <m/>
    <n v="3.0412795650923474"/>
    <m/>
    <s v=""/>
    <s v=""/>
    <n v="0.23102641784552871"/>
    <s v=""/>
    <s v=""/>
    <n v="0.15268088499103072"/>
    <n v="0.1414790996784567"/>
    <n v="0.22461053046736343"/>
    <n v="0.86451066374327312"/>
    <n v="0.56598338692390138"/>
    <n v="3.1380644843226184"/>
    <n v="0.86451066374327312"/>
    <n v="0.8299504287245445"/>
    <n v="3.2406256162492602"/>
    <n v="7.192964547633271E-2"/>
    <n v="8.3131430788906724E-2"/>
    <n v="2.2735538205793455"/>
    <n v="2.5720810973987169"/>
    <n v="2.3761149525059873"/>
    <n v="2.4106751875247157"/>
    <n v="0.3969429773458486"/>
    <n v="0.43900941093255041"/>
    <n v="0.35727024874481028"/>
    <n v="0.37026544548037832"/>
    <n v="0.22651586304961263"/>
    <n v="0.22301328036457485"/>
    <n v="0.13075438569519765"/>
    <n v="0.14725216511580347"/>
    <n v="3.9744716614557038E-3"/>
    <n v="1.1040199059599177E-2"/>
    <n v="3.9672728601038321E-2"/>
    <n v="150.21376088159451"/>
    <n v="108.88842328264825"/>
    <n v="0.17553312190558243"/>
    <n v="0.2017607985055353"/>
    <n v="8.9479484495634434E-2"/>
    <n v="9.6061075296337395E-2"/>
    <n v="8.1037485160767905E-2"/>
    <n v="-6.1775492270729098"/>
    <n v="0.2"/>
    <n v="0.38"/>
    <n v="0.18"/>
    <n v="0.25"/>
    <n v="0.36"/>
    <n v="0.11"/>
    <n v="0.20197907774977894"/>
    <n v="0.36694297734584858"/>
    <n v="0.16496389959606964"/>
    <n v="0.22"/>
    <n v="0.34"/>
    <n v="0.12000000000000002"/>
    <n v="0.17609433917087372"/>
    <n v="0.36474289031821405"/>
    <n v="0.18864855114734033"/>
    <n v="5"/>
    <n v="152.4"/>
    <n v="5"/>
    <n v="152.4"/>
    <n v="19.671169739958806"/>
    <n v="25.5848792388074"/>
    <n v="19.671169739958806"/>
    <n v="25.5848792388074"/>
    <n v="0.10856436820974091"/>
    <n v="8.4772410531406481E-2"/>
    <n v="0.12543940281461904"/>
    <n v="0.12999999999999998"/>
    <n v="115"/>
    <n v="27.038668660791963"/>
  </r>
  <r>
    <s v="ODB"/>
    <x v="1"/>
    <x v="3"/>
    <n v="7.1412882973295"/>
    <n v="52.442885575165"/>
    <n v="40.415826127505504"/>
    <n v="1.5864553083691437"/>
    <n v="1.6130692347558118"/>
    <m/>
    <n v="-1.663617579921696E-2"/>
    <m/>
    <n v="1.5997622715624777"/>
    <n v="1.5997622715624777"/>
    <m/>
    <n v="0.28105000000000002"/>
    <n v="2.298E-2"/>
    <n v="0.35077000000000003"/>
    <n v="4.564E-2"/>
    <n v="6.9720000000000004E-2"/>
    <n v="2.266E-2"/>
    <n v="0.17070054119061942"/>
    <n v="0.37048736462093829"/>
    <n v="3.6546220400836456"/>
    <n v="0.47842865859150191"/>
    <n v="-3.1761933814921437"/>
    <n v="0.19978682343031887"/>
    <n v="0.2730802855320496"/>
    <n v="0.5926917080111882"/>
    <n v="0.3196114224791386"/>
    <n v="0.16219347364356035"/>
    <n v="0.15273281279756257"/>
    <n v="0.21818781977223961"/>
    <n v="1.5883310806461994"/>
    <n v="0.80691296895829379"/>
    <n v="3.476911068933267"/>
    <n v="1.946189821072279"/>
    <n v="0.80691296895829379"/>
    <n v="3.6875560461022165"/>
    <n v="5.5994346128679262E-2"/>
    <n v="6.5455006974677044E-2"/>
    <n v="1.8885799882870675"/>
    <n v="2.6699980999749733"/>
    <n v="1.7413662250299375"/>
    <n v="2.8806430771439229"/>
    <n v="0.39631612393868765"/>
    <s v=""/>
    <n v="0.36662553644808615"/>
    <s v=""/>
    <n v="0.24638011769765733"/>
    <s v=""/>
    <n v="0.12024541875042882"/>
    <s v=""/>
    <n v="2.1463957713589838E-3"/>
    <n v="5.9622104759971773E-3"/>
    <n v="2.9690587490601494E-2"/>
    <n v="166.75301985472103"/>
    <s v=""/>
    <n v="0.1491797497572796"/>
    <s v=""/>
    <n v="8.9640038604057379E-2"/>
    <s v=""/>
    <n v="6.1190234762998612E-2"/>
    <n v="-6.8380442217563147"/>
    <n v="0.23"/>
    <n v="0.4"/>
    <n v="0.17"/>
    <n v="0.25"/>
    <n v="0.36"/>
    <n v="0.11"/>
    <n v="0.20236479945680733"/>
    <n v="0.36631612393868762"/>
    <n v="0.1639513244818803"/>
    <s v=""/>
    <s v=""/>
    <s v=""/>
    <s v=""/>
    <s v=""/>
    <s v=""/>
    <n v="5"/>
    <n v="152.4"/>
    <n v="5"/>
    <n v="152.4"/>
    <n v="19.671169739958806"/>
    <n v="25.5848792388074"/>
    <n v="19.671169739958806"/>
    <n v="25.5848792388074"/>
    <n v="0.20712202956667974"/>
    <n v="0.14394777246169987"/>
    <n v="0.3196114224791386"/>
    <n v="0.12000000000000002"/>
    <n v="115"/>
    <n v="27.038668660791963"/>
  </r>
  <r>
    <s v="ODB"/>
    <x v="1"/>
    <x v="4"/>
    <n v="8.4857698167428399"/>
    <n v="52.973553228586098"/>
    <n v="38.540676954671099"/>
    <n v="1.6391353620447939"/>
    <n v="1.6649597414883859"/>
    <m/>
    <n v="-1.5631740996787335E-2"/>
    <m/>
    <n v="1.6520475517665898"/>
    <n v="1.6520475517665898"/>
    <m/>
    <n v="0.22192000000000001"/>
    <n v="3.015E-2"/>
    <m/>
    <m/>
    <s v=""/>
    <s v=""/>
    <n v="0.19288537549407136"/>
    <m/>
    <n v="7.5680691867681551"/>
    <m/>
    <s v=""/>
    <s v=""/>
    <n v="0.31865581235655999"/>
    <s v=""/>
    <s v=""/>
    <n v="0.17749999999999999"/>
    <n v="0.17414550315065888"/>
    <m/>
    <n v="2.0262812499999998"/>
    <n v="1.3355905098338745"/>
    <m/>
    <n v="2.2897468749999996"/>
    <n v="1.3355905098338745"/>
    <m/>
    <s v=""/>
    <s v=""/>
    <s v=""/>
    <s v=""/>
    <s v=""/>
    <s v=""/>
    <n v="0.37658582952204156"/>
    <s v=""/>
    <n v="0.35196158917869347"/>
    <s v=""/>
    <n v="0.23645591188469045"/>
    <s v=""/>
    <n v="0.11550567729400302"/>
    <s v=""/>
    <n v="1.6288844815773116E-3"/>
    <n v="4.5246791154925324E-3"/>
    <n v="2.4624240343348092E-2"/>
    <n v="182.40595477988538"/>
    <s v=""/>
    <n v="0.1495928189403655"/>
    <s v=""/>
    <n v="8.6439326093878791E-2"/>
    <s v=""/>
    <n v="6.7168717872803999E-2"/>
    <n v="-6.5342416398314738"/>
    <n v="0.22"/>
    <n v="0.39"/>
    <n v="0.17"/>
    <n v="0.27"/>
    <n v="0.35"/>
    <n v="0.08"/>
    <n v="0.21450544152020215"/>
    <n v="0.34658582952204153"/>
    <n v="0.13208038800183938"/>
    <s v=""/>
    <s v=""/>
    <s v=""/>
    <s v=""/>
    <s v=""/>
    <s v=""/>
    <n v="5"/>
    <n v="152.4"/>
    <n v="5"/>
    <n v="152.4"/>
    <n v="19.671169739958806"/>
    <n v="25.5848792388074"/>
    <n v="19.671169739958806"/>
    <n v="25.5848792388074"/>
    <n v="6.5163707582260089E-2"/>
    <e v="#N/A"/>
    <n v="4.431173084156903E-2"/>
    <m/>
    <n v="115"/>
    <n v="27.038668660791963"/>
  </r>
  <r>
    <s v="ODB"/>
    <x v="2"/>
    <x v="0"/>
    <n v="8.0347562139024333"/>
    <n v="60.025838245559605"/>
    <n v="31.93940554053793"/>
    <n v="1.4570260686267233"/>
    <n v="1.5099844438148378"/>
    <n v="1.3845180287803291"/>
    <n v="-3.5698137883936797E-2"/>
    <n v="1.4505095137406301"/>
    <n v="1.4835052562207807"/>
    <n v="1.4835052562207807"/>
    <n v="1.2666633509060188"/>
    <n v="1.8129333333333333"/>
    <n v="0.15118333333333334"/>
    <n v="1.7088000000000001"/>
    <n v="0.14194000000000001"/>
    <n v="-0.10413333333333319"/>
    <n v="-9.2433333333333256E-3"/>
    <n v="0.12112341772151899"/>
    <n v="0.21592539454806298"/>
    <n v="8.0485408395023583"/>
    <n v="12.367645723226445"/>
    <n v="4.3191048837240871"/>
    <n v="9.4801976826543982E-2"/>
    <n v="0.17968722684129868"/>
    <n v="0.32032645776359731"/>
    <n v="0.14063923092229863"/>
    <n v="0.12452615617892358"/>
    <n v="0.12640726841793415"/>
    <n v="0.2496899545266639"/>
    <n v="4.82609142026788"/>
    <n v="47.402972545921394"/>
    <n v="6.769153920352764"/>
    <n v="5.2299837313621431"/>
    <n v="60.309722496543557"/>
    <n v="7.4929326856827903"/>
    <n v="0.12516379834774033"/>
    <n v="0.12328268610872975"/>
    <n v="1.943062500084884"/>
    <n v="-40.63381862556863"/>
    <n v="2.2629489543206471"/>
    <n v="-52.816789810860769"/>
    <n v="0.4401866957657431"/>
    <n v="0.52201382984678535"/>
    <n v="0.35335588598258461"/>
    <n v="0.36320068324420784"/>
    <n v="0.19974686735131414"/>
    <n v="0.19408143592106961"/>
    <n v="0.15360901863127047"/>
    <n v="0.16911924732313824"/>
    <n v="2.2649426783174373E-2"/>
    <n v="6.2915074397706591E-2"/>
    <n v="8.6830809783158491E-2"/>
    <n v="95.941331152148635"/>
    <n v="56.828018771103828"/>
    <n v="0.23225472043614129"/>
    <n v="0.26743104939923024"/>
    <n v="9.2064356218929458E-2"/>
    <n v="9.8811442325170196E-2"/>
    <n v="0.11143045163700899"/>
    <n v="-5.4765162536012992"/>
    <n v="0.18"/>
    <n v="0.35"/>
    <n v="0.16999999999999998"/>
    <n v="0.22"/>
    <n v="0.34"/>
    <n v="0.12"/>
    <n v="0.17536992049446523"/>
    <n v="0.36395981931141591"/>
    <n v="0.18858989881695068"/>
    <n v="0.16"/>
    <n v="0.28999999999999998"/>
    <n v="0.12999999999999998"/>
    <n v="0.12501923008037755"/>
    <n v="0.3095325010774107"/>
    <n v="0.18451327099703316"/>
    <n v="5"/>
    <n v="152.4"/>
    <n v="5"/>
    <n v="152.4"/>
    <n v="24.653962906307932"/>
    <n v="26.578689618473248"/>
    <n v="24.653962906307932"/>
    <n v="26.578689618473248"/>
    <n v="0.19748436822008753"/>
    <n v="0.21223505980928462"/>
    <n v="0.18273367663089043"/>
    <n v="0.1"/>
    <n v="150"/>
    <n v="28.555432308699611"/>
  </r>
  <r>
    <s v="ODB"/>
    <x v="2"/>
    <x v="1"/>
    <n v="8.8371233129968392"/>
    <n v="57.6144136876255"/>
    <n v="33.548462999377698"/>
    <n v="1.474176688903962"/>
    <n v="1.2580184079949299"/>
    <n v="1.3687482441159708"/>
    <n v="0.15823048738677339"/>
    <n v="1.3669811136716208"/>
    <n v="1.366097548449446"/>
    <n v="1.366097548449446"/>
    <n v="1.2812341333117698"/>
    <n v="1.53"/>
    <n v="0.12259"/>
    <n v="1.6394"/>
    <n v="0.12776999999999999"/>
    <n v="0.10939999999999994"/>
    <n v="5.1799999999999902E-3"/>
    <n v="0.15291959157626028"/>
    <n v="0.22103291410222117"/>
    <n v="5.8389801390983225"/>
    <n v="6.5337785459064639"/>
    <n v="0.69479840680814142"/>
    <n v="6.811332252596089E-2"/>
    <n v="0.20890307916221973"/>
    <n v="0.30195252208168133"/>
    <n v="9.30494429194616E-2"/>
    <n v="0.14734401349072532"/>
    <n v="0.14380200554725858"/>
    <n v="0.25893380199179827"/>
    <n v="2.4094224283305232"/>
    <n v="7.9589556219330078"/>
    <n v="9.7567369654364349"/>
    <n v="2.5695725302136037"/>
    <n v="8.4183827608278232"/>
    <n v="10.085633421206792"/>
    <n v="0.11158978850107296"/>
    <n v="0.11513179644453969"/>
    <n v="7.3473145371059116"/>
    <n v="1.7977813435034271"/>
    <n v="7.5160608909931881"/>
    <n v="1.6672506603789685"/>
    <n v="0.48449149115115242"/>
    <n v="0.51651542139178497"/>
    <n v="0.36458386391052233"/>
    <n v="0.36741745782129298"/>
    <n v="0.20321120168246948"/>
    <n v="0.20062448945985051"/>
    <n v="0.16137266222805285"/>
    <n v="0.16679296836144247"/>
    <n v="5.447409199654913E-2"/>
    <n v="0.15131692221263648"/>
    <n v="0.11990762724063009"/>
    <n v="72.082119073568464"/>
    <n v="58.937296726237498"/>
    <n v="0.24472081896354433"/>
    <n v="0.25827118872024069"/>
    <n v="9.8745400666244917E-2"/>
    <n v="0.10133189935664715"/>
    <n v="9.633530723858888E-2"/>
    <n v="-5.7298879644108345"/>
    <n v="0.19"/>
    <n v="0.36"/>
    <n v="0.16999999999999998"/>
    <n v="0.19"/>
    <n v="0.31"/>
    <n v="0.12"/>
    <n v="0.14810785074996133"/>
    <n v="0.33449048466081094"/>
    <n v="0.18638263391084961"/>
    <n v="0.16"/>
    <n v="0.28999999999999998"/>
    <n v="0.12999999999999998"/>
    <n v="0.12840256575499295"/>
    <n v="0.31318976746125421"/>
    <n v="0.18478720170626126"/>
    <n v="5"/>
    <n v="152.4"/>
    <n v="5"/>
    <n v="152.4"/>
    <n v="24.653962906307932"/>
    <n v="26.578689618473248"/>
    <n v="24.653962906307932"/>
    <n v="26.578689618473248"/>
    <n v="0.19217905640498928"/>
    <n v="0.14717191411746514"/>
    <n v="0.17446183888349906"/>
    <n v="9.0000000000000024E-2"/>
    <n v="150"/>
    <n v="28.555432308699611"/>
  </r>
  <r>
    <s v="ODB"/>
    <x v="2"/>
    <x v="2"/>
    <n v="8.1446317444300398"/>
    <n v="59.5881688651817"/>
    <n v="32.267199390388299"/>
    <m/>
    <n v="1.2329902251779659"/>
    <n v="1.2028777353470599"/>
    <s v=""/>
    <n v="1.2179339802625129"/>
    <n v="1.2329902251779659"/>
    <n v="1.2329902251779659"/>
    <n v="1.0423175115638668"/>
    <n v="1.5687"/>
    <n v="0.13124"/>
    <n v="1.6971000000000001"/>
    <n v="0.13469"/>
    <n v="0.12840000000000007"/>
    <n v="3.4500000000000086E-3"/>
    <n v="0.18248978308707928"/>
    <n v="0.2728410513141426"/>
    <n v="9.7898142839078126"/>
    <n v="8.1251193808954714"/>
    <n v="-1.6646949030123412"/>
    <n v="9.0351268227063325E-2"/>
    <n v="0.22500811874121601"/>
    <n v="0.33641034929761765"/>
    <n v="0.11140223055640164"/>
    <n v="0.14179917229361808"/>
    <n v="0.14019292604501621"/>
    <n v="0.28196527229676382"/>
    <n v="1.979118565308938"/>
    <n v="4.156953376205788"/>
    <n v="9.561324322546696"/>
    <n v="1.979118565308938"/>
    <n v="4.2438930868167208"/>
    <n v="9.8139783116285173"/>
    <n v="0.14016610000314575"/>
    <n v="0.14177234625174762"/>
    <n v="7.5822057572377579"/>
    <n v="5.404370946340908"/>
    <n v="7.8348597463195793"/>
    <n v="5.5700852248117965"/>
    <n v="0.53472066974416377"/>
    <n v="0.60667263714571062"/>
    <n v="0.3651646306199382"/>
    <n v="0.37149397581949051"/>
    <n v="0.19463023597833895"/>
    <n v="0.19299875916190903"/>
    <n v="0.17053439464159925"/>
    <n v="0.17849521665758147"/>
    <n v="0.15341802654714529"/>
    <n v="0.42616118485318139"/>
    <n v="0.16955603912422557"/>
    <n v="52.929246827970609"/>
    <n v="36.620562465907312"/>
    <n v="0.27024477735459901"/>
    <n v="0.28599203684563423"/>
    <n v="0.10015768481303737"/>
    <n v="0.1027989205317872"/>
    <n v="0.10838948964086047"/>
    <n v="-5.5259753092977864"/>
    <n v="0.18"/>
    <n v="0.36"/>
    <n v="0.18"/>
    <n v="0.15"/>
    <n v="0.28000000000000003"/>
    <n v="0.13"/>
    <n v="0.11720033028632368"/>
    <n v="0.30108054651966942"/>
    <n v="0.18388021623334574"/>
    <n v="0.1"/>
    <n v="0.23"/>
    <n v="0.13"/>
    <n v="7.2926126185129864E-2"/>
    <n v="0.25322169540253053"/>
    <n v="0.18029556921740067"/>
    <n v="5"/>
    <n v="152.4"/>
    <n v="5"/>
    <n v="152.4"/>
    <n v="24.653962906307932"/>
    <n v="26.578689618473248"/>
    <n v="24.653962906307932"/>
    <n v="26.578689618473248"/>
    <n v="0.15435441974385247"/>
    <n v="0.1199553865583436"/>
    <n v="0.11963951999177813"/>
    <n v="0.11"/>
    <n v="150"/>
    <n v="28.555432308699611"/>
  </r>
  <r>
    <s v="ODB"/>
    <x v="2"/>
    <x v="3"/>
    <n v="7.8662894225235904"/>
    <n v="61.727764556075002"/>
    <n v="30.405946021401402"/>
    <m/>
    <m/>
    <n v="1.0349352840675039"/>
    <s v=""/>
    <m/>
    <e v="#DIV/0!"/>
    <n v="1.0349352840675039"/>
    <m/>
    <n v="1.1297999999999999"/>
    <n v="0.10224999999999999"/>
    <n v="1.0048999999999999"/>
    <n v="0.10299"/>
    <n v="-0.12490000000000001"/>
    <n v="7.4000000000000454E-4"/>
    <n v="0.18413855970829521"/>
    <n v="0.26536491677336743"/>
    <n v="13.030452323525855"/>
    <n v="10.633140732373191"/>
    <n v="-2.3973115911526648"/>
    <n v="8.1226357065072224E-2"/>
    <n v="0.19057149259948553"/>
    <n v="0.27463551552239457"/>
    <n v="8.4064022922909043E-2"/>
    <n v="0.12640449438202267"/>
    <n v="0.12133979355382328"/>
    <n v="0.27422948384701096"/>
    <n v="3.8110018726591766"/>
    <n v="25.136700372164871"/>
    <n v="9.0257921772496612"/>
    <n v="3.9987359550561803"/>
    <n v="26.837399059054835"/>
    <n v="9.8221856046540434"/>
    <n v="0.14782498946498829"/>
    <n v="0.15288969029318766"/>
    <n v="5.2147903045904851"/>
    <n v="-16.110908194915211"/>
    <n v="5.8234496495978636"/>
    <n v="-17.015213454400794"/>
    <n v="0.6094583833707532"/>
    <s v=""/>
    <n v="0.3662332908093201"/>
    <s v=""/>
    <n v="0.18647091604232188"/>
    <s v=""/>
    <n v="0.17976237476699822"/>
    <s v=""/>
    <m/>
    <m/>
    <n v="0.2432250925614331"/>
    <n v="36.101401420390395"/>
    <s v=""/>
    <n v="0.29239107240166645"/>
    <s v=""/>
    <n v="9.8890301011600512E-2"/>
    <s v=""/>
    <m/>
    <m/>
    <m/>
    <m/>
    <s v=""/>
    <n v="0.09"/>
    <n v="0.23"/>
    <n v="0.14000000000000001"/>
    <n v="7.1211972960474407E-2"/>
    <n v="0.25136875630094346"/>
    <n v="0.18015678334046906"/>
    <s v=""/>
    <s v=""/>
    <s v=""/>
    <s v=""/>
    <s v=""/>
    <s v=""/>
    <n v="5"/>
    <n v="152.4"/>
    <n v="5"/>
    <n v="152.4"/>
    <n v="24.653962906307932"/>
    <n v="26.578689618473248"/>
    <n v="24.653962906307932"/>
    <n v="26.578689618473248"/>
    <n v="0.10604833682582604"/>
    <n v="7.1457191315687563E-2"/>
    <n v="8.419891905668897E-2"/>
    <n v="8.0000000000000016E-2"/>
    <n v="150"/>
    <n v="28.555432308699611"/>
  </r>
  <r>
    <s v="ODB"/>
    <x v="2"/>
    <x v="4"/>
    <n v="11.025454848650099"/>
    <n v="63.402618788713703"/>
    <n v="25.571926362636201"/>
    <m/>
    <n v="1.6505475607316391"/>
    <n v="1.0769496738667075"/>
    <s v=""/>
    <m/>
    <n v="1.6505475607316391"/>
    <n v="1.6505475607316391"/>
    <m/>
    <n v="0.80310000000000004"/>
    <n v="9.2539999999999997E-2"/>
    <n v="0.69010000000000005"/>
    <n v="7.7679999999999999E-2"/>
    <n v="-0.11299999999999999"/>
    <n v="-1.4859999999999998E-2"/>
    <n v="0.23504490764277192"/>
    <n v="0.25870646766169164"/>
    <n v="14.946447038612206"/>
    <n v="17.871643046168053"/>
    <n v="2.9251960075558472"/>
    <n v="2.3661560018919725E-2"/>
    <n v="0.38795279897217061"/>
    <n v="0.42700732914450379"/>
    <n v="3.9054530172333179E-2"/>
    <n v="0.12395574621810815"/>
    <n v="0.12329880154377397"/>
    <n v="0.28092986603624914"/>
    <n v="1.4189941296003616"/>
    <n v="9.3608233461981172"/>
    <n v="7.6322071184659839"/>
    <n v="1.6494050575750738"/>
    <n v="9.6224583587243551"/>
    <n v="7.7522942934068819"/>
    <n v="0.15697411981814099"/>
    <n v="0.15763106449247516"/>
    <n v="6.2132129888656227"/>
    <n v="-1.7286162277321333"/>
    <n v="6.1028892358318085"/>
    <n v="-1.8701640653174731"/>
    <n v="0.37715186387485311"/>
    <s v=""/>
    <n v="0.31136712303284259"/>
    <s v=""/>
    <n v="0.16778852256887586"/>
    <s v=""/>
    <n v="0.14357860046396673"/>
    <s v=""/>
    <n v="1.2770926428793006E-2"/>
    <n v="3.5474795635536127E-2"/>
    <n v="6.5784740842010525E-2"/>
    <n v="122.65501053664623"/>
    <s v=""/>
    <n v="0.25166200391839866"/>
    <s v=""/>
    <n v="7.8778391549510399E-2"/>
    <s v=""/>
    <n v="0.16336879431727899"/>
    <n v="-4.7000115251103916"/>
    <n v="0.14000000000000001"/>
    <n v="0.32"/>
    <n v="0.18"/>
    <n v="0.27"/>
    <n v="0.35"/>
    <n v="0.08"/>
    <n v="0.21415714360188656"/>
    <n v="0.34715186387485308"/>
    <n v="0.13299472027296652"/>
    <s v=""/>
    <s v=""/>
    <s v=""/>
    <s v=""/>
    <s v=""/>
    <s v=""/>
    <n v="5"/>
    <n v="152.4"/>
    <n v="5"/>
    <n v="152.4"/>
    <n v="24.653962906307932"/>
    <n v="26.578689618473248"/>
    <n v="24.653962906307932"/>
    <n v="26.578689618473248"/>
    <n v="3.6416551047838974E-2"/>
    <n v="3.5621840921950532E-2"/>
    <n v="2.5482309345553122E-2"/>
    <n v="4.0000000000000008E-2"/>
    <n v="150"/>
    <n v="28.555432308699611"/>
  </r>
  <r>
    <s v="ODB"/>
    <x v="3"/>
    <x v="0"/>
    <n v="8.5469243432479232"/>
    <n v="57.697318718855996"/>
    <n v="33.755756937896102"/>
    <n v="1.416414562629869"/>
    <n v="1.8523884234285128"/>
    <n v="1.1924029148765738"/>
    <n v="-0.26674832509520796"/>
    <n v="1.6344014930291908"/>
    <n v="1.6344014930291908"/>
    <n v="1.3044087387532213"/>
    <n v="1.1807675754850109"/>
    <n v="1.8030000000000002"/>
    <n v="0.14884"/>
    <n v="1.8082"/>
    <n v="0.15618000000000001"/>
    <n v="5.1999999999998714E-3"/>
    <n v="7.3400000000000132E-3"/>
    <n v="0.12394689813632874"/>
    <m/>
    <n v="4.257002984336741"/>
    <m/>
    <s v=""/>
    <s v=""/>
    <n v="0.16167741707038255"/>
    <s v=""/>
    <s v=""/>
    <n v="0.13378923373662976"/>
    <n v="0.14619188921859547"/>
    <n v="0.27867633389105767"/>
    <n v="2.6360599684376642"/>
    <n v="7.2592152983844374"/>
    <n v="3.2126742889012818"/>
    <n v="2.9483244198959611"/>
    <n v="7.7797774480712159"/>
    <n v="3.7880786391522578"/>
    <n v="0.14488710015442791"/>
    <n v="0.1324844446724622"/>
    <n v="0.5766143204636176"/>
    <n v="-4.0465410094831551"/>
    <n v="0.83975421925629679"/>
    <n v="-3.991698808918958"/>
    <n v="0.50777028726293527"/>
    <n v="0.55442733000565625"/>
    <n v="0.36797660113748731"/>
    <n v="0.37122098464530834"/>
    <n v="0.20230201415616125"/>
    <n v="0.19923859506199115"/>
    <n v="0.16567458698132606"/>
    <n v="0.17198238958331719"/>
    <n v="8.588799876050314E-2"/>
    <n v="0.23857777433473093"/>
    <n v="0.13979368612544796"/>
    <n v="62.806313036184186"/>
    <n v="47.796914597346536"/>
    <n v="0.25373648407499566"/>
    <n v="0.27016768165829846"/>
    <n v="0.10089946622236212"/>
    <n v="0.10392030544881076"/>
    <n v="9.5782365298459182E-2"/>
    <n v="-5.7554918958768697"/>
    <n v="0.19"/>
    <n v="0.36"/>
    <n v="0.16999999999999998"/>
    <n v="0.17"/>
    <n v="0.28999999999999998"/>
    <n v="0.12"/>
    <n v="0.13378370913849799"/>
    <n v="0.3190065934270585"/>
    <n v="0.18522288428856051"/>
    <n v="0.13"/>
    <n v="0.27"/>
    <n v="0.14000000000000001"/>
    <n v="0.10507423102761951"/>
    <n v="0.28797266144673772"/>
    <n v="0.18289843041911821"/>
    <n v="5"/>
    <n v="152.4"/>
    <n v="5"/>
    <n v="152.4"/>
    <n v="23.097061745681824"/>
    <n v="27.963498612474911"/>
    <n v="23.097061745681824"/>
    <n v="27.963498612474911"/>
    <n v="0.20844459249632516"/>
    <n v="0.22273945699630926"/>
    <n v="0.19414972799634106"/>
    <n v="0.12000000000000002"/>
    <n v="110"/>
    <n v="22.166515943770378"/>
  </r>
  <r>
    <s v="ODB"/>
    <x v="3"/>
    <x v="1"/>
    <n v="8.65534364255433"/>
    <n v="59.727673822204601"/>
    <n v="31.6169825352411"/>
    <n v="1.5897120882736899"/>
    <n v="1.3716725434951766"/>
    <n v="1.5114820615160045"/>
    <n v="0.14725513358815262"/>
    <n v="1.4909555644282904"/>
    <n v="1.4806923158844332"/>
    <n v="1.4806923158844332"/>
    <n v="1.0352807999595721"/>
    <n v="0.62495000000000001"/>
    <n v="7.1919999999999998E-2"/>
    <n v="0.81889999999999996"/>
    <n v="8.3360000000000004E-2"/>
    <n v="0.19394999999999996"/>
    <n v="1.1440000000000006E-2"/>
    <n v="0.12943078166493485"/>
    <n v="0.24140508221225715"/>
    <n v="4.1180711752776942"/>
    <n v="12.944269064411316"/>
    <n v="8.8261978891336206"/>
    <n v="0.1119743005473223"/>
    <n v="0.19164716385018482"/>
    <n v="0.35744665024713901"/>
    <n v="0.16579948639695419"/>
    <n v="0.14014792338327328"/>
    <n v="0.13824790688176428"/>
    <n v="0.26158694846125324"/>
    <n v="0.83610847714773362"/>
    <n v="2.3713498060036757"/>
    <n v="2.4600945494994439"/>
    <n v="0.83610847714773362"/>
    <n v="7.0286808249948951"/>
    <n v="2.8800978710913361"/>
    <n v="0.12143902507797996"/>
    <n v="0.12333904157948897"/>
    <n v="1.6239860723517103"/>
    <n v="8.8744743495768219E-2"/>
    <n v="2.0439893939436025"/>
    <n v="-4.148582953903559"/>
    <n v="0.44124818268511956"/>
    <n v="0.60932800001525578"/>
    <n v="0.35150875063976089"/>
    <n v="0.36883893850018346"/>
    <n v="0.19775203677103392"/>
    <n v="0.19058473166439238"/>
    <n v="0.15375671386872697"/>
    <n v="0.17825420683579107"/>
    <n v="2.4645964667390316E-2"/>
    <n v="6.8461012964973103E-2"/>
    <n v="8.9739432045358669E-2"/>
    <n v="93.35776413826774"/>
    <n v="35.577838983952631"/>
    <n v="0.23522686490620678"/>
    <n v="0.28815870392487153"/>
    <n v="9.2017854972299196E-2"/>
    <n v="0.10161876262826403"/>
    <n v="0.11197311767606401"/>
    <n v="-5.4417080736065992"/>
    <n v="0.17"/>
    <n v="0.35"/>
    <n v="0.17999999999999997"/>
    <n v="0.22"/>
    <n v="0.33"/>
    <n v="0.11"/>
    <n v="0.17471675574836534"/>
    <n v="0.36325377128699271"/>
    <n v="0.18853701553862737"/>
    <n v="0.09"/>
    <n v="0.23"/>
    <n v="0.14000000000000001"/>
    <n v="7.1292201750612627E-2"/>
    <n v="0.25145548078985258"/>
    <n v="0.18016327903923995"/>
    <n v="5"/>
    <n v="152.4"/>
    <n v="5"/>
    <n v="152.4"/>
    <n v="23.097061745681824"/>
    <n v="27.963498612474911"/>
    <n v="23.097061745681824"/>
    <n v="27.963498612474911"/>
    <n v="0.17221479075102458"/>
    <n v="0.14527384697068049"/>
    <n v="0.16694870647399596"/>
    <n v="0.09"/>
    <n v="110"/>
    <n v="22.166515943770378"/>
  </r>
  <r>
    <s v="ODB"/>
    <x v="3"/>
    <x v="2"/>
    <n v="7.6002662846667297"/>
    <n v="59.530655847981201"/>
    <n v="32.869077867352097"/>
    <n v="1.620751720981608"/>
    <n v="1.3761011688997828"/>
    <n v="1.3435396102364481"/>
    <n v="0.16327164600429081"/>
    <n v="1.4467975000392796"/>
    <n v="1.4984264449406954"/>
    <n v="1.4984264449406954"/>
    <n v="0.98436595473897059"/>
    <n v="0.42265000000000003"/>
    <n v="4.6080000000000003E-2"/>
    <n v="0.49717"/>
    <n v="5.9389999999999998E-2"/>
    <n v="7.4519999999999975E-2"/>
    <n v="1.3309999999999995E-2"/>
    <n v="0.13494652891063999"/>
    <m/>
    <n v="1.8581075120664752"/>
    <m/>
    <s v=""/>
    <s v=""/>
    <n v="0.20220744757265705"/>
    <s v=""/>
    <s v=""/>
    <n v="0.13276383698166949"/>
    <n v="0.1237575521340868"/>
    <n v="0.22731577950369386"/>
    <n v="0.67021860354748775"/>
    <n v="0.8334535178327811"/>
    <n v="1.8256322220117445"/>
    <n v="0.88874762709853483"/>
    <n v="1.0446262911713116"/>
    <n v="1.9233061027972467"/>
    <n v="9.4551942522024368E-2"/>
    <n v="0.10355822736960706"/>
    <n v="1.1554136184642567"/>
    <n v="0.99217870417896337"/>
    <n v="1.0345584756987118"/>
    <n v="0.87867981162593511"/>
    <n v="0.4345560585129451"/>
    <n v="0.62854114915510539"/>
    <n v="0.35611453037638552"/>
    <n v="0.37734315612251818"/>
    <n v="0.20490315507620677"/>
    <n v="0.19583414561520612"/>
    <n v="0.15121137530017875"/>
    <n v="0.18150901050731205"/>
    <n v="1.7649019984563925E-2"/>
    <n v="4.9025055512677572E-2"/>
    <n v="7.844152813655958E-2"/>
    <n v="102.74514109998866"/>
    <n v="33.785287522946639"/>
    <n v="0.22312547411747383"/>
    <n v="0.28613657259028524"/>
    <n v="9.234502945336362E-2"/>
    <n v="0.10418745841846223"/>
    <n v="0.10534496518581364"/>
    <n v="-5.6045843413555154"/>
    <n v="0.18"/>
    <n v="0.36"/>
    <n v="0.18"/>
    <n v="0.22"/>
    <n v="0.34"/>
    <n v="0.12"/>
    <n v="0.17883462051522944"/>
    <n v="0.36770503768011453"/>
    <n v="0.18887041716488509"/>
    <n v="0.08"/>
    <n v="0.22"/>
    <n v="0.14000000000000001"/>
    <n v="5.9469774690388971E-2"/>
    <n v="0.23867585463948163"/>
    <n v="0.17920607994909266"/>
    <n v="5"/>
    <n v="152.4"/>
    <n v="5"/>
    <n v="152.4"/>
    <n v="23.097061745681824"/>
    <n v="27.963498612474911"/>
    <n v="23.097061745681824"/>
    <n v="27.963498612474911"/>
    <n v="0.13731271230271375"/>
    <n v="9.7696958385154908E-2"/>
    <n v="0.13162592056946562"/>
    <n v="0.1"/>
    <n v="110"/>
    <n v="22.166515943770378"/>
  </r>
  <r>
    <s v="ODB"/>
    <x v="3"/>
    <x v="3"/>
    <n v="9.6315459962965502"/>
    <n v="58.400108651365201"/>
    <n v="31.968345352338201"/>
    <n v="1.5978046536326032"/>
    <m/>
    <n v="1.4258417710759839"/>
    <s v=""/>
    <m/>
    <n v="1.5978046536326032"/>
    <n v="1.5978046536326032"/>
    <m/>
    <n v="0.3629"/>
    <n v="4.623E-2"/>
    <m/>
    <m/>
    <s v=""/>
    <s v=""/>
    <n v="0.14201732673267339"/>
    <n v="0.22261072261072248"/>
    <n v="5.4376080347095961"/>
    <n v="13.674629278342753"/>
    <n v="8.2370212436331567"/>
    <n v="8.059339587804909E-2"/>
    <n v="0.22691594554992744"/>
    <n v="0.35568844853592896"/>
    <n v="0.12877250298600151"/>
    <n v="0.14441110277569397"/>
    <n v="0.130996671235559"/>
    <n v="0.22934648581997555"/>
    <n v="0.71048855963990998"/>
    <n v="1.1545591018862997"/>
    <n v="2.4177147554459522"/>
    <n v="0.79679623030757696"/>
    <n v="1.4175158279485673"/>
    <n v="2.6922688039457467"/>
    <n v="8.4935383044281582E-2"/>
    <n v="9.8349814584416551E-2"/>
    <n v="1.7072261958060422"/>
    <n v="1.2631556535596524"/>
    <n v="1.8954725736381697"/>
    <n v="1.2747529759971794"/>
    <n v="0.39705484768581012"/>
    <s v=""/>
    <n v="0.34091443176531172"/>
    <s v=""/>
    <n v="0.20109791922461182"/>
    <s v=""/>
    <n v="0.13981651254069991"/>
    <s v=""/>
    <n v="8.4655063288372693E-3"/>
    <n v="2.3515295357881303E-2"/>
    <n v="5.6140415920498399E-2"/>
    <n v="127.48351429274551"/>
    <s v=""/>
    <n v="0.21064631501541431"/>
    <s v=""/>
    <n v="8.7831909966962773E-2"/>
    <s v=""/>
    <n v="0.10551391003500089"/>
    <n v="-5.5121061388781634"/>
    <n v="0.18"/>
    <n v="0.35"/>
    <n v="0.16999999999999998"/>
    <n v="0.25"/>
    <n v="0.36"/>
    <n v="0.11"/>
    <n v="0.20191024057349041"/>
    <n v="0.36705484768581009"/>
    <n v="0.16514460711231968"/>
    <s v=""/>
    <s v=""/>
    <s v=""/>
    <s v=""/>
    <s v=""/>
    <s v=""/>
    <n v="5"/>
    <n v="152.4"/>
    <n v="5"/>
    <n v="152.4"/>
    <n v="23.097061745681824"/>
    <n v="27.963498612474911"/>
    <n v="23.097061745681824"/>
    <n v="27.963498612474911"/>
    <n v="0.14860216998200079"/>
    <n v="7.700227266243892E-2"/>
    <n v="0.1433433855865075"/>
    <n v="9.9999999999999992E-2"/>
    <n v="110"/>
    <n v="22.166515943770378"/>
  </r>
  <r>
    <s v="ODB"/>
    <x v="3"/>
    <x v="4"/>
    <n v="14.5248266685344"/>
    <n v="57.893876788756998"/>
    <n v="27.5812965427086"/>
    <n v="1.6026499031954993"/>
    <n v="1.4784878005412456"/>
    <n v="1.3909640721467824"/>
    <n v="8.0594971463737064E-2"/>
    <m/>
    <n v="1.5405688518683724"/>
    <n v="1.5405688518683724"/>
    <m/>
    <n v="0.32413999999999998"/>
    <n v="5.0939999999999999E-2"/>
    <m/>
    <m/>
    <s v=""/>
    <s v=""/>
    <n v="0.15857519788918223"/>
    <n v="0.23560700876095123"/>
    <n v="16.183022525935961"/>
    <n v="17.993827942967922"/>
    <n v="1.8108054170319612"/>
    <n v="7.7031810871768996E-2"/>
    <n v="0.24429601054693742"/>
    <n v="0.36296881897900019"/>
    <n v="0.11867280843206277"/>
    <n v="0.15240209931368617"/>
    <n v="0.13364553314121042"/>
    <n v="0.24565469293163383"/>
    <n v="0.77306974162293118"/>
    <n v="1.7051918227665706"/>
    <n v="2.6937282734646586"/>
    <n v="0.77306974162293118"/>
    <n v="1.931448577089337"/>
    <n v="2.7830001931247592"/>
    <n v="9.325259361794766E-2"/>
    <n v="0.11200915979042342"/>
    <n v="1.9206585318417275"/>
    <n v="0.98853645069808804"/>
    <n v="2.0099304515018281"/>
    <n v="0.85155161603542218"/>
    <n v="0.41865326344589715"/>
    <s v=""/>
    <n v="0.32297576861331329"/>
    <s v=""/>
    <n v="0.1756573409761012"/>
    <s v=""/>
    <n v="0.14731842763721209"/>
    <s v=""/>
    <n v="2.988500080371825E-2"/>
    <n v="8.3013891121439573E-2"/>
    <n v="9.5677494832583865E-2"/>
    <n v="87.42905086863199"/>
    <s v=""/>
    <n v="0.25599960057278665"/>
    <s v=""/>
    <n v="8.6733414795788555E-2"/>
    <s v=""/>
    <n v="0.12061114797518205"/>
    <n v="-5.0315444492648336"/>
    <n v="0.15"/>
    <n v="0.33"/>
    <n v="0.18000000000000002"/>
    <n v="0.24"/>
    <n v="0.35"/>
    <n v="0.11"/>
    <n v="0.18862008740383604"/>
    <n v="0.37828278181896147"/>
    <n v="0.18966269441512543"/>
    <s v=""/>
    <s v=""/>
    <s v=""/>
    <s v=""/>
    <s v=""/>
    <s v=""/>
    <n v="5"/>
    <n v="152.4"/>
    <n v="5"/>
    <n v="152.4"/>
    <n v="23.097061745681824"/>
    <n v="27.963498612474911"/>
    <n v="23.097061745681824"/>
    <n v="27.963498612474911"/>
    <n v="0.20709578411231966"/>
    <n v="0.15219467132647632"/>
    <n v="0.11483136606638736"/>
    <n v="0.1"/>
    <n v="110"/>
    <n v="22.166515943770378"/>
  </r>
  <r>
    <s v="ODB"/>
    <x v="4"/>
    <x v="0"/>
    <n v="6.990793092652793"/>
    <n v="51.879233369697694"/>
    <n v="41.129973537649512"/>
    <n v="1.5071753507032064"/>
    <n v="1.6701744995794967"/>
    <n v="1.1925755767524608"/>
    <n v="-0.10260069338086111"/>
    <n v="1.4566418090117212"/>
    <n v="1.5886749251413517"/>
    <n v="1.5886749251413517"/>
    <n v="1.1687941133311066"/>
    <n v="1.4160466666666667"/>
    <n v="0.12526000000000001"/>
    <n v="1.5464"/>
    <n v="0.13020000000000001"/>
    <n v="0.13035333333333332"/>
    <n v="4.9399999999999999E-3"/>
    <n v="0.14471867449085271"/>
    <m/>
    <n v="5.2272553234161654"/>
    <m/>
    <s v=""/>
    <s v=""/>
    <n v="0.22991092936331106"/>
    <s v=""/>
    <s v=""/>
    <n v="0.1235528563294741"/>
    <n v="0.1322256836275528"/>
    <n v="0.27532327586206889"/>
    <n v="2.635667742139558"/>
    <n v="7.4066430137302417"/>
    <n v="5.117234644396552"/>
    <n v="3.3659770987537163"/>
    <n v="7.7741446002076851"/>
    <n v="8.1036166487068968"/>
    <n v="0.15177041953259479"/>
    <n v="0.1430975922345161"/>
    <n v="2.4815669022569939"/>
    <n v="-2.2894083693336897"/>
    <n v="4.7376395499531805"/>
    <n v="0.32947204849921174"/>
    <n v="0.40050002824854647"/>
    <n v="0.55894561761090311"/>
    <n v="0.37029973389687165"/>
    <n v="0.39997305263558564"/>
    <n v="0.24990009054562357"/>
    <n v="0.22775989054356788"/>
    <n v="0.12039964335124809"/>
    <n v="0.17221316209201776"/>
    <n v="2.1827389281382655E-3"/>
    <n v="6.0631636892729598E-3"/>
    <n v="3.0200294351674817E-2"/>
    <n v="164.62234283363304"/>
    <n v="53.050232881217632"/>
    <n v="0.14730724239043327"/>
    <n v="0.24215816924010283"/>
    <n v="9.0341577009614524E-2"/>
    <n v="0.11445974561876804"/>
    <n v="5.8332050230486591E-2"/>
    <n v="-6.9655487477280182"/>
    <n v="0.23"/>
    <n v="0.4"/>
    <n v="0.17"/>
    <n v="0.25"/>
    <n v="0.36"/>
    <n v="0.11"/>
    <n v="0.19979031761782182"/>
    <n v="0.37050002824854644"/>
    <n v="0.17070971063072463"/>
    <n v="0.13"/>
    <n v="0.26"/>
    <n v="0.13"/>
    <n v="0.10229399311548296"/>
    <n v="0.28496732244610773"/>
    <n v="0.18267332933062477"/>
    <n v="4"/>
    <n v="121.92"/>
    <n v="5"/>
    <n v="152.4"/>
    <n v="15.61815684677445"/>
    <n v="21.412162405400867"/>
    <n v="19.522696058468064"/>
    <n v="26.765203006751083"/>
    <n v="0.18461189502565958"/>
    <n v="0.1603243555182424"/>
    <n v="0.20889943453307677"/>
    <n v="0.15000000000000002"/>
    <n v="75"/>
    <n v="18.939588781211611"/>
  </r>
  <r>
    <s v="ODB"/>
    <x v="4"/>
    <x v="1"/>
    <n v="6.0414700910554702"/>
    <n v="49.512047931663901"/>
    <n v="44.446481977280598"/>
    <n v="1.5596331937191281"/>
    <n v="1.6088612381311025"/>
    <m/>
    <n v="-3.107346121055219E-2"/>
    <n v="1.5842472159251153"/>
    <n v="1.5842472159251153"/>
    <n v="1.5842472159251153"/>
    <n v="1.336072589976651"/>
    <n v="0.47311999999999999"/>
    <n v="4.7699999999999999E-2"/>
    <n v="0.72011999999999998"/>
    <n v="7.7495000000000008E-2"/>
    <n v="0.247"/>
    <n v="2.9795000000000009E-2"/>
    <n v="0.15149596327370574"/>
    <m/>
    <n v="4.2756927738395891"/>
    <m/>
    <s v=""/>
    <s v=""/>
    <n v="0.24000705804026182"/>
    <s v=""/>
    <s v=""/>
    <n v="0.15716143414452893"/>
    <n v="0.158"/>
    <n v="0.27191811303960822"/>
    <n v="1.3066281193881972"/>
    <n v="1.3895999999999999"/>
    <n v="2.5491358848835484"/>
    <n v="1.5018991114000864"/>
    <n v="1.5589575"/>
    <n v="2.7839107699154426"/>
    <n v="0.11475667889507929"/>
    <n v="0.11391811303960822"/>
    <n v="1.2425077654953511"/>
    <n v="1.1595358848835484"/>
    <n v="1.2820116585153563"/>
    <n v="1.2249532699154426"/>
    <n v="0.4021708619150508"/>
    <n v="0.49582166415975437"/>
    <n v="0.37885727682328552"/>
    <n v="0.40833665363395255"/>
    <n v="0.26721107268585298"/>
    <n v="0.25216108998911435"/>
    <n v="0.11164620413743254"/>
    <n v="0.1561755636448382"/>
    <n v="1.2909531024661418E-3"/>
    <n v="3.5859808401837272E-3"/>
    <n v="2.3313585091765288E-2"/>
    <n v="179.84679985351198"/>
    <n v="87.534164795137585"/>
    <n v="0.12746385727464185"/>
    <n v="0.19313053745497044"/>
    <n v="8.9033740097509917E-2"/>
    <n v="0.10886969327378276"/>
    <n v="4.7071895470206133E-2"/>
    <n v="-7.5821070911027455"/>
    <n v="0.25"/>
    <n v="0.42"/>
    <n v="0.16999999999999998"/>
    <n v="0.25"/>
    <n v="0.36"/>
    <n v="0.11"/>
    <n v="0.19876220353781174"/>
    <n v="0.37217086191505078"/>
    <n v="0.17340865837723904"/>
    <n v="0.18"/>
    <n v="0.3"/>
    <n v="0.12"/>
    <n v="0.14113605539257837"/>
    <n v="0.32695422008413938"/>
    <n v="0.18581816469156101"/>
    <n v="4"/>
    <n v="121.92"/>
    <n v="5"/>
    <n v="152.4"/>
    <n v="15.61815684677445"/>
    <n v="21.412162405400867"/>
    <n v="19.522696058468064"/>
    <n v="26.765203006751083"/>
    <n v="0.1523173624708139"/>
    <n v="0.121373412510752"/>
    <n v="0.20003814584988339"/>
    <n v="9.9999999999999992E-2"/>
    <n v="75"/>
    <n v="18.939588781211611"/>
  </r>
  <r>
    <s v="ODB"/>
    <x v="4"/>
    <x v="2"/>
    <n v="9.3445513827911793"/>
    <n v="51.083371105471997"/>
    <n v="39.572077511736815"/>
    <n v="1.59007049211417"/>
    <m/>
    <m/>
    <s v=""/>
    <n v="1.59007049211417"/>
    <n v="1.59007049211417"/>
    <n v="1.59007049211417"/>
    <n v="1.3352252372703746"/>
    <n v="0.30234"/>
    <n v="4.1770000000000002E-2"/>
    <n v="0.33701999999999999"/>
    <n v="4.6530000000000002E-2"/>
    <n v="3.4679999999999989E-2"/>
    <n v="4.7600000000000003E-3"/>
    <m/>
    <n v="0.24268617021276587"/>
    <m/>
    <m/>
    <s v=""/>
    <s v=""/>
    <s v=""/>
    <n v="0.38588811809951584"/>
    <s v=""/>
    <n v="0.17486105173150901"/>
    <n v="0.15123352483947286"/>
    <n v="0.25224856909239551"/>
    <n v="0.71470713980333456"/>
    <n v="2.8972710375126733"/>
    <n v="2.9427841373671288"/>
    <n v="0.84198375374091472"/>
    <n v="2.9553123943899968"/>
    <n v="3.3779405151267361"/>
    <n v="7.7387517360886504E-2"/>
    <n v="0.10101504425292265"/>
    <n v="2.2280769975637944"/>
    <n v="4.5513099854455508E-2"/>
    <n v="2.5359567613858216"/>
    <n v="0.42262812073673928"/>
    <n v="0.39997339920219999"/>
    <n v="0.49614141989797189"/>
    <n v="0.36433052720101955"/>
    <n v="0.38726455493726802"/>
    <n v="0.24047238801698803"/>
    <n v="0.22838529524335699"/>
    <n v="0.12385813918403152"/>
    <n v="0.15887925969391103"/>
    <n v="3.0259182165008939E-3"/>
    <n v="8.4053283791691493E-3"/>
    <n v="3.5642872001180437E-2"/>
    <n v="152.09783183457503"/>
    <n v="73.815664486964053"/>
    <n v="0.1584839016488524"/>
    <n v="0.21908547603310569"/>
    <n v="9.1433589017325151E-2"/>
    <n v="0.10687616571464255"/>
    <n v="6.0150095219782443E-2"/>
    <n v="-6.7367956842773342"/>
    <n v="0.22"/>
    <n v="0.39"/>
    <n v="0.17"/>
    <n v="0.25"/>
    <n v="0.36"/>
    <n v="0.11"/>
    <n v="0.20011436826891024"/>
    <n v="0.36997339920219996"/>
    <n v="0.16985903093328972"/>
    <n v="0.18"/>
    <n v="0.3"/>
    <n v="0.12"/>
    <n v="0.14093930009418096"/>
    <n v="0.32674153455486399"/>
    <n v="0.18580223446068303"/>
    <n v="4"/>
    <n v="121.92"/>
    <n v="5"/>
    <n v="152.4"/>
    <n v="15.61815684677445"/>
    <n v="21.412162405400867"/>
    <n v="19.522696058468064"/>
    <n v="26.765203006751083"/>
    <e v="#N/A"/>
    <e v="#N/A"/>
    <e v="#N/A"/>
    <m/>
    <n v="75"/>
    <n v="18.939588781211611"/>
  </r>
  <r>
    <s v="ODB"/>
    <x v="4"/>
    <x v="3"/>
    <n v="8.2129775766058799"/>
    <n v="62.369924792127698"/>
    <n v="29.417097631266401"/>
    <n v="1.4798599276670144"/>
    <m/>
    <m/>
    <s v=""/>
    <m/>
    <n v="1.4798599276670144"/>
    <n v="1.4798599276670144"/>
    <m/>
    <n v="0.38912999999999998"/>
    <n v="2.9420000000000002E-2"/>
    <m/>
    <m/>
    <s v=""/>
    <s v=""/>
    <m/>
    <m/>
    <m/>
    <m/>
    <s v=""/>
    <s v=""/>
    <s v=""/>
    <s v=""/>
    <s v=""/>
    <n v="0.18496071829405183"/>
    <m/>
    <m/>
    <n v="0.54804433221099891"/>
    <m/>
    <m/>
    <n v="0.54804433221099891"/>
    <m/>
    <m/>
    <s v=""/>
    <s v=""/>
    <s v=""/>
    <s v=""/>
    <s v=""/>
    <s v=""/>
    <n v="0.44156229144640968"/>
    <s v=""/>
    <n v="0.34409060000246927"/>
    <s v=""/>
    <n v="0.18758786598048155"/>
    <s v=""/>
    <n v="0.15650273402198772"/>
    <s v=""/>
    <n v="3.0247994071875617E-2"/>
    <n v="8.4022205755210036E-2"/>
    <n v="9.7471691443940411E-2"/>
    <n v="89.943414867374457"/>
    <s v=""/>
    <n v="0.24880562874151899"/>
    <s v=""/>
    <n v="8.8830919148861737E-2"/>
    <s v=""/>
    <n v="0.13370820967953631"/>
    <n v="-5.130243724646383"/>
    <n v="0.16"/>
    <n v="0.34"/>
    <n v="0.18000000000000002"/>
    <n v="0.22"/>
    <n v="0.33"/>
    <n v="0.11"/>
    <n v="0.17452347520428071"/>
    <n v="0.3630448418444206"/>
    <n v="0.18852136664013988"/>
    <s v=""/>
    <s v=""/>
    <s v=""/>
    <s v=""/>
    <s v=""/>
    <s v=""/>
    <n v="4"/>
    <n v="121.92"/>
    <n v="5"/>
    <n v="152.4"/>
    <n v="15.61815684677445"/>
    <n v="21.412162405400867"/>
    <n v="19.522696058468064"/>
    <n v="26.765203006751083"/>
    <e v="#N/A"/>
    <e v="#N/A"/>
    <e v="#N/A"/>
    <m/>
    <n v="75"/>
    <n v="18.939588781211611"/>
  </r>
  <r>
    <s v="ODB"/>
    <x v="4"/>
    <x v="4"/>
    <m/>
    <m/>
    <m/>
    <m/>
    <m/>
    <m/>
    <s v=""/>
    <m/>
    <e v="#DIV/0!"/>
    <m/>
    <m/>
    <m/>
    <m/>
    <m/>
    <m/>
    <s v=""/>
    <s v=""/>
    <m/>
    <m/>
    <m/>
    <m/>
    <s v=""/>
    <s v=""/>
    <s v=""/>
    <s v=""/>
    <s v=""/>
    <n v="0.1986213939239212"/>
    <m/>
    <m/>
    <n v="0.8989660454429409"/>
    <m/>
    <m/>
    <n v="0.8989660454429409"/>
    <m/>
    <m/>
    <s v=""/>
    <s v=""/>
    <s v=""/>
    <s v=""/>
    <s v=""/>
    <s v=""/>
    <s v=""/>
    <s v=""/>
    <s v=""/>
    <s v=""/>
    <s v=""/>
    <s v=""/>
    <s v=""/>
    <s v=""/>
    <m/>
    <m/>
    <s v=""/>
    <s v=""/>
    <s v=""/>
    <s v=""/>
    <s v=""/>
    <s v=""/>
    <s v=""/>
    <m/>
    <m/>
    <m/>
    <m/>
    <s v=""/>
    <s v=""/>
    <s v=""/>
    <s v=""/>
    <s v=""/>
    <s v=""/>
    <s v=""/>
    <s v=""/>
    <s v=""/>
    <s v=""/>
    <s v=""/>
    <s v=""/>
    <s v=""/>
    <n v="4"/>
    <n v="121.92"/>
    <n v="5"/>
    <n v="152.4"/>
    <n v="15.61815684677445"/>
    <n v="21.412162405400867"/>
    <n v="19.522696058468064"/>
    <n v="26.765203006751083"/>
    <e v="#N/A"/>
    <e v="#N/A"/>
    <e v="#N/A"/>
    <m/>
    <n v="75"/>
    <n v="18.939588781211611"/>
  </r>
  <r>
    <s v="ODB"/>
    <x v="5"/>
    <x v="0"/>
    <n v="8.8914381334584451"/>
    <n v="60.299901987148239"/>
    <n v="30.8086598793933"/>
    <n v="1.4453320469336137"/>
    <n v="1.4339263204368131"/>
    <n v="1.3788777408346826"/>
    <n v="7.9226835813399014E-3"/>
    <n v="1.4193787027350364"/>
    <n v="1.4396291836852133"/>
    <n v="1.4396291836852133"/>
    <n v="1.3333279040367558"/>
    <n v="1.3279300000000001"/>
    <n v="0.11672333333333333"/>
    <n v="1.4036"/>
    <n v="0.13100000000000001"/>
    <n v="7.5669999999999904E-2"/>
    <n v="1.4276666666666674E-2"/>
    <n v="0.11231249524099597"/>
    <n v="0.2334928229665072"/>
    <n v="3.1499728813359162"/>
    <n v="30.442268536269957"/>
    <n v="27.292295654934041"/>
    <n v="0.12118032772551122"/>
    <n v="0.16168834584144443"/>
    <n v="0.33614308212362876"/>
    <n v="0.17445473628218433"/>
    <n v="0.11371428571428598"/>
    <n v="0.1236799713620905"/>
    <n v="0.24397698669543316"/>
    <n v="3.0534333333333339"/>
    <n v="3.7432589045999647"/>
    <n v="2.4724042610571733"/>
    <n v="3.3443911904761912"/>
    <n v="4.3352977895113662"/>
    <n v="2.8559638319549316"/>
    <n v="0.13026270098114717"/>
    <n v="0.12029701533334267"/>
    <n v="-0.58102907227616063"/>
    <n v="-1.2708546435427914"/>
    <n v="-0.48842735852125951"/>
    <n v="-1.4793339575564346"/>
    <n v="0.45674370426973077"/>
    <n v="0.49685739470311097"/>
    <n v="0.35070373793577714"/>
    <n v="0.35543476626431114"/>
    <n v="0.19285561475248578"/>
    <n v="0.19044604146762317"/>
    <n v="0.15784812318329136"/>
    <n v="0.16498872479668797"/>
    <n v="3.7930232806773913E-2"/>
    <n v="0.10536175779659421"/>
    <n v="0.10603996633395363"/>
    <n v="82.21076935335617"/>
    <n v="63.624330911196274"/>
    <n v="0.24753582107646613"/>
    <n v="0.26394434227518027"/>
    <n v="9.2457998095837657E-2"/>
    <n v="9.5541542429214282E-2"/>
    <n v="0.11805587965450809"/>
    <n v="-5.3320236491137205"/>
    <n v="0.17"/>
    <n v="0.35"/>
    <n v="0.17999999999999997"/>
    <n v="0.21"/>
    <n v="0.33"/>
    <n v="0.12"/>
    <n v="0.16518189645170653"/>
    <n v="0.35294692510498854"/>
    <n v="0.18776502865328201"/>
    <n v="0.18"/>
    <n v="0.3"/>
    <n v="0.12"/>
    <n v="0.14049873931733467"/>
    <n v="0.32626530391322567"/>
    <n v="0.185766564595891"/>
    <n v="5"/>
    <n v="152.4"/>
    <n v="5"/>
    <n v="152.4"/>
    <n v="23.382427368945692"/>
    <n v="28.743658036383028"/>
    <n v="23.382427368945692"/>
    <n v="28.743658036383028"/>
    <n v="0.1683189966418086"/>
    <n v="0.14389551473253395"/>
    <n v="0.19274247855108326"/>
    <n v="0.10000000000000003"/>
    <n v="150"/>
    <n v="29.051168611099683"/>
  </r>
  <r>
    <s v="ODB"/>
    <x v="5"/>
    <x v="1"/>
    <n v="8.3981827630718904"/>
    <n v="63.335065631758198"/>
    <n v="28.266751605169897"/>
    <n v="1.5395971090361333"/>
    <n v="1.4390952896835607"/>
    <n v="1.5190791840550386"/>
    <n v="6.7480495398430845E-2"/>
    <n v="1.4992571942582442"/>
    <n v="1.4893461993598471"/>
    <n v="1.4893461993598471"/>
    <n v="1.31647295346626"/>
    <n v="0.71045999999999998"/>
    <n v="7.4050000000000005E-2"/>
    <n v="0.54737000000000002"/>
    <n v="7.1859999999999993E-2"/>
    <n v="-0.16308999999999996"/>
    <n v="-2.1900000000000114E-3"/>
    <n v="0.12665847665847668"/>
    <n v="0.23978919631093545"/>
    <n v="1.5450182416102012"/>
    <n v="17.931507178250865"/>
    <n v="16.386488936640664"/>
    <n v="0.11313071965245877"/>
    <n v="0.18863832082801016"/>
    <n v="0.35712912817324399"/>
    <n v="0.16849080734523383"/>
    <n v="0.14030703320242771"/>
    <n v="0.13826539773747509"/>
    <n v="0.24173341548572594"/>
    <n v="0.98826609544210398"/>
    <n v="1.3232335248698148"/>
    <n v="9.8303895392619967E-2"/>
    <n v="1.1013465429013447"/>
    <n v="1.6741986891722029"/>
    <n v="1.4952539878140616"/>
    <n v="0.10142638228329823"/>
    <n v="0.10346801774825085"/>
    <n v="-0.88996220004948401"/>
    <n v="-1.2249296294771947"/>
    <n v="0.3939074449127169"/>
    <n v="-0.17894470135814133"/>
    <n v="0.43798256627930299"/>
    <n v="0.50321775340895847"/>
    <n v="0.33887491940530934"/>
    <n v="0.34734771669239051"/>
    <n v="0.18221032424159711"/>
    <n v="0.17976618091336505"/>
    <n v="0.15666459516371223"/>
    <n v="0.16758153577902546"/>
    <n v="3.1559226916971904E-2"/>
    <n v="8.766451921381084E-2"/>
    <n v="9.9107646873993649E-2"/>
    <n v="89.708975250049861"/>
    <n v="59.757865132646906"/>
    <n v="0.25458673519422231"/>
    <n v="0.27808080094141058"/>
    <n v="8.6822242156377266E-2"/>
    <n v="9.1111995090521841E-2"/>
    <n v="0.14489464700594396"/>
    <n v="-4.9832589135552343"/>
    <n v="0.16"/>
    <n v="0.34"/>
    <n v="0.18000000000000002"/>
    <n v="0.22"/>
    <n v="0.34"/>
    <n v="0.12"/>
    <n v="0.17672618749135646"/>
    <n v="0.36542589603932163"/>
    <n v="0.18869970854796517"/>
    <n v="0.17"/>
    <n v="0.3"/>
    <n v="0.12999999999999998"/>
    <n v="0.13658501979486556"/>
    <n v="0.32203471132003125"/>
    <n v="0.18544969152516569"/>
    <n v="5"/>
    <n v="152.4"/>
    <n v="5"/>
    <n v="152.4"/>
    <n v="23.382427368945692"/>
    <n v="28.743658036383028"/>
    <n v="23.382427368945692"/>
    <n v="28.743658036383028"/>
    <n v="0.16754991549393605"/>
    <n v="0.12223272102830531"/>
    <n v="0.16961204533056137"/>
    <n v="0.09"/>
    <n v="150"/>
    <n v="29.051168611099683"/>
  </r>
  <r>
    <s v="ODB"/>
    <x v="5"/>
    <x v="2"/>
    <n v="9.5224513214755397"/>
    <n v="58.172121823168503"/>
    <n v="32.305426855355897"/>
    <n v="1.5951536410408387"/>
    <n v="1.3886611255419568"/>
    <n v="1.4061583172248504"/>
    <n v="0.13840840109211394"/>
    <n v="1.4633243612692153"/>
    <n v="1.4919073832913976"/>
    <n v="1.4919073832913976"/>
    <n v="1.3777955004052551"/>
    <n v="0.40893000000000002"/>
    <n v="6.1719999999999997E-2"/>
    <n v="0.52373000000000003"/>
    <n v="6.8029999999999993E-2"/>
    <n v="0.11480000000000001"/>
    <n v="6.3099999999999962E-3"/>
    <n v="0.14142420146546203"/>
    <n v="0.21691302853214173"/>
    <n v="1.4202532459713288"/>
    <n v="11.40423828704929"/>
    <n v="9.9839850410779611"/>
    <n v="7.5488827066679698E-2"/>
    <n v="0.21099181034241291"/>
    <n v="0.32361414879919981"/>
    <n v="0.1126223384567869"/>
    <n v="0.16409888928699412"/>
    <n v="0.12975348748327931"/>
    <n v="0.22197445773363039"/>
    <n v="1.2756583661769978"/>
    <n v="0.68726670488566155"/>
    <n v="2.3013852287316707"/>
    <n v="1.6258581153708351"/>
    <n v="1.1048047646346904"/>
    <n v="3.2127745117913369"/>
    <n v="5.7875568446636272E-2"/>
    <n v="9.2220970250351086E-2"/>
    <n v="1.0257268625546729"/>
    <n v="1.6141185238460092"/>
    <n v="1.5869163964205018"/>
    <n v="2.1079697471566465"/>
    <n v="0.43701608177683104"/>
    <n v="0.48007716965839431"/>
    <n v="0.35198337386142464"/>
    <n v="0.35836001608080059"/>
    <n v="0.20079809262883122"/>
    <n v="0.19768754680674971"/>
    <n v="0.15118528123259342"/>
    <n v="0.16067246927405088"/>
    <n v="2.1629950245794088E-2"/>
    <n v="6.00831951272058E-2"/>
    <n v="8.5032707915406402E-2"/>
    <n v="95.766011656885425"/>
    <n v="71.417279947680072"/>
    <n v="0.22930565198362007"/>
    <n v="0.24968773031538347"/>
    <n v="9.2757695549155028E-2"/>
    <n v="9.6854029426008778E-2"/>
    <n v="0.10326658817743012"/>
    <n v="-5.5589411048814981"/>
    <n v="0.18"/>
    <n v="0.35"/>
    <n v="0.16999999999999998"/>
    <n v="0.22"/>
    <n v="0.34"/>
    <n v="0.12"/>
    <n v="0.17732089440026252"/>
    <n v="0.3660687532061408"/>
    <n v="0.18874785880587827"/>
    <n v="0.19"/>
    <n v="0.31"/>
    <n v="0.12"/>
    <n v="0.15082411519410024"/>
    <n v="0.33742667060171899"/>
    <n v="0.18660255540761875"/>
    <n v="5"/>
    <n v="152.4"/>
    <n v="5"/>
    <n v="152.4"/>
    <n v="23.382427368945692"/>
    <n v="28.743658036383028"/>
    <n v="23.382427368945692"/>
    <n v="28.743658036383028"/>
    <n v="0.14168800634107354"/>
    <n v="9.3557167210593248E-2"/>
    <n v="0.14253101912771296"/>
    <n v="7.9999999999999988E-2"/>
    <n v="150"/>
    <n v="29.051168611099683"/>
  </r>
  <r>
    <s v="ODB"/>
    <x v="5"/>
    <x v="3"/>
    <n v="9.5376228628066801"/>
    <n v="58.379449905014098"/>
    <n v="32.082927232179301"/>
    <n v="1.5874750599259757"/>
    <n v="1.4563197927061851"/>
    <m/>
    <n v="8.6178782453996502E-2"/>
    <m/>
    <n v="1.5218974263160803"/>
    <n v="1.5218974263160803"/>
    <m/>
    <n v="0.34666999999999998"/>
    <n v="4.2349999999999999E-2"/>
    <n v="0.46289000000000002"/>
    <n v="6.6489999999999994E-2"/>
    <n v="0.11622000000000005"/>
    <n v="2.4139999999999995E-2"/>
    <n v="0.1489041854577102"/>
    <m/>
    <n v="2.6135728685108375"/>
    <m/>
    <s v=""/>
    <s v=""/>
    <n v="0.22661689661578147"/>
    <s v=""/>
    <s v=""/>
    <n v="0.19606038291605313"/>
    <n v="0.14166342790516889"/>
    <n v="0.24271431610295671"/>
    <n v="2.5316611438389791"/>
    <n v="0.75635202098717436"/>
    <n v="1.5948167056654614"/>
    <n v="2.7195422956553759"/>
    <n v="0.94948341754113208"/>
    <n v="1.8599290931007588"/>
    <n v="4.6653933186903584E-2"/>
    <n v="0.10105088819778782"/>
    <n v="-0.9368444381735177"/>
    <n v="0.83846468467828705"/>
    <n v="-0.85961320255461704"/>
    <n v="0.91044567555962674"/>
    <n v="0.42569908440902626"/>
    <s v=""/>
    <n v="0.34883376946324951"/>
    <s v=""/>
    <n v="0.20041254813096809"/>
    <s v=""/>
    <n v="0.14842122133228142"/>
    <s v=""/>
    <n v="1.6938175385651524E-2"/>
    <n v="4.7050487182365347E-2"/>
    <n v="7.6865314945776753E-2"/>
    <n v="103.36144593954231"/>
    <s v=""/>
    <n v="0.22497840818174372"/>
    <s v=""/>
    <n v="9.1282394741503917E-2"/>
    <s v=""/>
    <n v="0.10495676188023463"/>
    <n v="-5.5267568388855901"/>
    <n v="0.18"/>
    <n v="0.35"/>
    <n v="0.16999999999999998"/>
    <n v="0.23"/>
    <n v="0.34"/>
    <n v="0.11"/>
    <n v="0.18428458239059384"/>
    <n v="0.37359625400533614"/>
    <n v="0.1893116716147423"/>
    <s v=""/>
    <s v=""/>
    <s v=""/>
    <s v=""/>
    <s v=""/>
    <s v=""/>
    <n v="5"/>
    <n v="152.4"/>
    <n v="5"/>
    <n v="152.4"/>
    <n v="23.382427368945692"/>
    <n v="28.743658036383028"/>
    <n v="23.382427368945692"/>
    <n v="28.743658036383028"/>
    <n v="0.13059791674203486"/>
    <n v="9.4050416593780287E-2"/>
    <n v="0.14815167774124055"/>
    <n v="7.0000000000000007E-2"/>
    <n v="150"/>
    <n v="29.051168611099683"/>
  </r>
  <r>
    <s v="ODB"/>
    <x v="5"/>
    <x v="4"/>
    <n v="10.7388228140502"/>
    <n v="58.558573444413199"/>
    <n v="30.7026037415365"/>
    <m/>
    <n v="1.479209176698532"/>
    <m/>
    <s v=""/>
    <m/>
    <n v="1.479209176698532"/>
    <n v="1.479209176698532"/>
    <m/>
    <n v="0.34697"/>
    <n v="6.6390000000000005E-2"/>
    <m/>
    <m/>
    <s v=""/>
    <s v=""/>
    <n v="0.16586110404477236"/>
    <m/>
    <n v="4.9827874464947488"/>
    <m/>
    <s v=""/>
    <s v=""/>
    <n v="0.2453432671603773"/>
    <s v=""/>
    <s v=""/>
    <n v="0.25203898945693259"/>
    <n v="0.16977611940298534"/>
    <n v="0.23710122095313099"/>
    <n v="2.8796896757509454"/>
    <n v="1.2770055970149259"/>
    <n v="1.3968934619929103"/>
    <n v="2.9010265068629404"/>
    <n v="1.3998320895522394"/>
    <n v="1.6948286727057893"/>
    <n v="-1.4937768503801602E-2"/>
    <n v="6.732510155014565E-2"/>
    <n v="-1.4827962137580351"/>
    <n v="0.11988786497798443"/>
    <n v="-1.2061978341571511"/>
    <n v="0.29499658315354993"/>
    <n v="0.44180785784961052"/>
    <s v=""/>
    <n v="0.34511649191373317"/>
    <s v=""/>
    <n v="0.19209570728277392"/>
    <s v=""/>
    <n v="0.15302078463095925"/>
    <s v=""/>
    <n v="3.009521440963683E-2"/>
    <n v="8.359781780454674E-2"/>
    <n v="9.6691365935877349E-2"/>
    <n v="87.074936139792896"/>
    <s v=""/>
    <n v="0.24258249355600517"/>
    <s v=""/>
    <n v="9.1692154600133052E-2"/>
    <s v=""/>
    <n v="0.11146305733305677"/>
    <n v="-5.3560405519590741"/>
    <n v="0.17"/>
    <n v="0.35"/>
    <n v="0.17999999999999997"/>
    <n v="0.22"/>
    <n v="0.33"/>
    <n v="0.11"/>
    <n v="0.17437237082939913"/>
    <n v="0.36288150335133151"/>
    <n v="0.18850913252193238"/>
    <s v=""/>
    <s v=""/>
    <s v=""/>
    <s v=""/>
    <s v=""/>
    <s v=""/>
    <n v="5"/>
    <n v="152.4"/>
    <n v="5"/>
    <n v="152.4"/>
    <n v="23.382427368945692"/>
    <n v="28.743658036383028"/>
    <n v="23.382427368945692"/>
    <n v="28.743658036383028"/>
    <n v="0.10528745881772476"/>
    <n v="7.8858194569781784E-2"/>
    <n v="9.0277514517833141E-2"/>
    <n v="8.0000000000000016E-2"/>
    <n v="150"/>
    <n v="29.051168611099683"/>
  </r>
  <r>
    <s v="ODB"/>
    <x v="6"/>
    <x v="0"/>
    <n v="9.7414978894509776"/>
    <n v="61.427589561793802"/>
    <n v="28.830912548755265"/>
    <n v="1.3959975020170949"/>
    <n v="1.3616854107635854"/>
    <n v="1.229467664233679"/>
    <n v="2.4884725574856829E-2"/>
    <n v="1.3290501923381199"/>
    <n v="1.3788414563903402"/>
    <n v="1.3788414563903402"/>
    <n v="1.2559056556785109"/>
    <n v="1.8186"/>
    <n v="0.14893000000000001"/>
    <n v="1.9963"/>
    <n v="0.15909000000000001"/>
    <n v="0.17769999999999997"/>
    <n v="1.0160000000000002E-2"/>
    <n v="0.121618308132407"/>
    <n v="0.24588576960309769"/>
    <n v="6.7161639944488538"/>
    <n v="21.067904414351066"/>
    <n v="14.351740419902212"/>
    <n v="0.12426746147069069"/>
    <n v="0.16769236510901722"/>
    <n v="0.33903749266519484"/>
    <n v="0.17134512755617762"/>
    <n v="0.12434006917895501"/>
    <n v="0.13915924622074963"/>
    <n v="0.26874746655857323"/>
    <n v="24.665210267613329"/>
    <n v="10.632152964726997"/>
    <n v="7.9296716659910826"/>
    <n v="27.722009830693615"/>
    <n v="11.01756850969835"/>
    <n v="8.5957640859343343"/>
    <n v="0.14440739737961822"/>
    <n v="0.12958822033782361"/>
    <n v="-16.735538601622245"/>
    <n v="-2.7024812987359139"/>
    <n v="-19.126245744759281"/>
    <n v="-2.4218044237640157"/>
    <n v="0.47968246928666403"/>
    <n v="0.52607333747980722"/>
    <n v="0.34472364271573097"/>
    <n v="0.34917937040051844"/>
    <n v="0.18235192085062127"/>
    <n v="0.18066148470967167"/>
    <n v="0.1623717218651097"/>
    <n v="0.16851788569084677"/>
    <n v="7.3994526375398356E-2"/>
    <n v="0.20554035104277321"/>
    <n v="0.13495882657093305"/>
    <n v="67.16054614011027"/>
    <n v="51.212876106614978"/>
    <n v="0.26814545316268462"/>
    <n v="0.28244002798306145"/>
    <n v="9.1271789032160128E-2"/>
    <n v="9.3741664079294462E-2"/>
    <n v="0.13321570657065604"/>
    <n v="-5.0806326450342434"/>
    <n v="0.16"/>
    <n v="0.34"/>
    <n v="0.18000000000000002"/>
    <n v="0.19"/>
    <n v="0.31"/>
    <n v="0.12"/>
    <n v="0.15106698617383699"/>
    <n v="0.33768920555397536"/>
    <n v="0.18662221938013837"/>
    <n v="0.16"/>
    <n v="0.28000000000000003"/>
    <n v="0.12000000000000002"/>
    <n v="0.12252129324855018"/>
    <n v="0.30683231957530621"/>
    <n v="0.18431102632675603"/>
    <n v="5"/>
    <n v="152.4"/>
    <n v="5"/>
    <n v="152.4"/>
    <n v="26.208305135889084"/>
    <n v="27.598879816357105"/>
    <n v="26.208305135889084"/>
    <n v="27.598879816357105"/>
    <n v="0.18535474603066623"/>
    <n v="0.17698408176133193"/>
    <n v="0.19372541030000054"/>
    <n v="0.12"/>
    <n v="150"/>
    <n v="25.733455084563563"/>
  </r>
  <r>
    <s v="ODB"/>
    <x v="6"/>
    <x v="1"/>
    <n v="10.971427765853701"/>
    <n v="57.905736650489203"/>
    <n v="31.122835583657199"/>
    <n v="1.2673895550369643"/>
    <n v="0.96606873837788443"/>
    <n v="1.0281439169492768"/>
    <n v="0.26982444001528683"/>
    <n v="1.0872007367880416"/>
    <n v="1.1167291467074243"/>
    <n v="1.1167291467074243"/>
    <n v="1.2247193919453423"/>
    <n v="1.7085999999999999"/>
    <n v="0.13685"/>
    <n v="1.8775999999999999"/>
    <n v="0.14651"/>
    <n v="0.16900000000000004"/>
    <n v="9.6600000000000019E-3"/>
    <n v="0.14356624665903017"/>
    <n v="0.28756157635467988"/>
    <n v="3.6066046515365935"/>
    <n v="21.302960568495681"/>
    <n v="17.696355916959089"/>
    <n v="0.14399532969564971"/>
    <n v="0.16032461212752636"/>
    <n v="0.32112839378840352"/>
    <n v="0.16080378166087717"/>
    <n v="0.13434414668547259"/>
    <n v="0.15841584158415864"/>
    <n v="0.30377598642341946"/>
    <n v="2.4435663493182891"/>
    <n v="2.7946782178217826"/>
    <n v="13.363703860840051"/>
    <n v="2.6675993182886701"/>
    <n v="3.0707673267326738"/>
    <n v="13.687474897468533"/>
    <n v="0.16943183973794687"/>
    <n v="0.14536014483926082"/>
    <n v="10.920137511521762"/>
    <n v="10.569025643018268"/>
    <n v="11.019875579179864"/>
    <n v="10.616707570735858"/>
    <n v="0.57859277482738702"/>
    <n v="0.53784173888855014"/>
    <n v="0.35976135256214303"/>
    <n v="0.35637580893576498"/>
    <n v="0.18788932482043016"/>
    <n v="0.18876523267140993"/>
    <n v="0.17187202774171287"/>
    <n v="0.16761057626435505"/>
    <n v="0.38318259692316248"/>
    <n v="1.0643961025643403"/>
    <n v="0.21883142226524399"/>
    <n v="38.532085243080992"/>
    <n v="47.757721727768498"/>
    <n v="0.28497737383058119"/>
    <n v="0.27611306731012925"/>
    <n v="0.10052811113884727"/>
    <n v="9.9069533207421734E-2"/>
    <n v="0.10695102784854681"/>
    <n v="-5.4208825506603731"/>
    <n v="0.17"/>
    <n v="0.35"/>
    <n v="0.17999999999999997"/>
    <n v="0.12"/>
    <n v="0.25"/>
    <n v="0.13"/>
    <n v="9.0204507865463884E-2"/>
    <n v="0.27189901582356346"/>
    <n v="0.18169450795809958"/>
    <n v="0.15"/>
    <n v="0.28000000000000003"/>
    <n v="0.13000000000000003"/>
    <n v="0.11527984280970846"/>
    <n v="0.29900456737828091"/>
    <n v="0.18372472456857245"/>
    <n v="5"/>
    <n v="152.4"/>
    <n v="5"/>
    <n v="152.4"/>
    <n v="26.208305135889084"/>
    <n v="27.598879816357105"/>
    <n v="26.208305135889084"/>
    <n v="27.598879816357105"/>
    <n v="0.18514889280106978"/>
    <n v="0.14146101054348423"/>
    <n v="0.17645914046315056"/>
    <n v="9.9999999999999978E-2"/>
    <n v="150"/>
    <n v="25.733455084563563"/>
  </r>
  <r>
    <s v="ODB"/>
    <x v="6"/>
    <x v="2"/>
    <n v="12.724869693394099"/>
    <n v="61.087311626785798"/>
    <n v="26.187818679820204"/>
    <m/>
    <n v="0.94790375482545208"/>
    <n v="0.91453240261553992"/>
    <s v=""/>
    <n v="0.94790375482545208"/>
    <n v="0.94790375482545208"/>
    <n v="0.94790375482545208"/>
    <n v="0.94465090181002065"/>
    <n v="1.5887"/>
    <n v="0.13108"/>
    <n v="1.7177"/>
    <n v="0.13900000000000001"/>
    <n v="0.129"/>
    <n v="7.9200000000000104E-3"/>
    <n v="0.14956011730205293"/>
    <n v="0.29556650246305416"/>
    <n v="2.777765754273732"/>
    <n v="28.611793656378811"/>
    <n v="25.834027902105078"/>
    <n v="0.14600638516100123"/>
    <n v="0.14176859676275103"/>
    <n v="0.28016859748535528"/>
    <n v="0.13840000072260425"/>
    <n v="0.15411868910540283"/>
    <n v="0.14018009247992225"/>
    <n v="0.29900181488203281"/>
    <n v="1.9956635665780926"/>
    <n v="2.6366664638598212"/>
    <n v="10.987390350877194"/>
    <n v="2.2942917773841156"/>
    <n v="2.8053181025391432"/>
    <n v="11.8858666061706"/>
    <n v="0.14488312577662998"/>
    <n v="0.15882172240211057"/>
    <n v="8.9917267842991002"/>
    <n v="8.3507238870173719"/>
    <n v="9.5915748287864844"/>
    <n v="9.0805485036314568"/>
    <n v="0.64230046987718792"/>
    <n v="0.64352796158112424"/>
    <n v="0.34953394225168677"/>
    <n v="0.3497799831651528"/>
    <n v="0.17151703317702971"/>
    <n v="0.17159462218029578"/>
    <n v="0.17801690907465706"/>
    <n v="0.17818536098485702"/>
    <m/>
    <m/>
    <n v="0.29276652762550115"/>
    <n v="27.375429821306167"/>
    <n v="27.255297992047712"/>
    <n v="0.3033270477596503"/>
    <n v="0.30328827085201815"/>
    <n v="8.9956812741068509E-2"/>
    <n v="8.9939603309462809E-2"/>
    <m/>
    <m/>
    <m/>
    <m/>
    <s v=""/>
    <n v="7.0000000000000007E-2"/>
    <n v="0.21"/>
    <n v="0.14000000000000001"/>
    <n v="5.1003251870469973E-2"/>
    <n v="0.22952384246118848"/>
    <n v="0.17852059059071851"/>
    <n v="7.0000000000000007E-2"/>
    <n v="0.21"/>
    <n v="0.13999999999999999"/>
    <n v="5.0247939400286795E-2"/>
    <n v="0.22870737635431521"/>
    <n v="0.17845943695402841"/>
    <n v="5"/>
    <n v="152.4"/>
    <n v="5"/>
    <n v="152.4"/>
    <n v="26.208305135889084"/>
    <n v="27.598879816357105"/>
    <n v="26.208305135889084"/>
    <n v="27.598879816357105"/>
    <n v="0.16221497006254204"/>
    <n v="0.10880577393791535"/>
    <n v="0.137707735438302"/>
    <m/>
    <n v="150"/>
    <n v="25.733455084563563"/>
  </r>
  <r>
    <s v="ODB"/>
    <x v="6"/>
    <x v="3"/>
    <n v="15.7626957959823"/>
    <n v="58.883633720624701"/>
    <n v="25.353670483393"/>
    <m/>
    <n v="0.95961048091980483"/>
    <n v="0.79274822615647877"/>
    <s v=""/>
    <m/>
    <n v="0.95961048091980483"/>
    <n v="0.95961048091980483"/>
    <m/>
    <n v="1.2758"/>
    <n v="0.10463"/>
    <n v="1.3724000000000001"/>
    <n v="0.13225999999999999"/>
    <n v="9.6600000000000019E-2"/>
    <n v="2.7629999999999988E-2"/>
    <n v="0.17746523388116342"/>
    <n v="0.29583512237011594"/>
    <n v="2.990692002763649"/>
    <n v="18.217930034059833"/>
    <n v="15.227238031296185"/>
    <n v="0.11836988848895252"/>
    <n v="0.17029749843124886"/>
    <n v="0.28388648405055628"/>
    <n v="0.11358898561930741"/>
    <n v="0.16984924623115574"/>
    <n v="0.13087774294670859"/>
    <n v="0.30137795275590556"/>
    <n v="2.2519597989949749"/>
    <n v="2.379555250783699"/>
    <n v="7.9709399606299209"/>
    <n v="2.5054271356783921"/>
    <n v="2.4384551332288402"/>
    <n v="8.1905474901574795"/>
    <n v="0.13152870652474982"/>
    <n v="0.17050020980919697"/>
    <n v="5.7189801616349456"/>
    <n v="5.5913847098462224"/>
    <n v="5.6851203544790874"/>
    <n v="5.7520923569286388"/>
    <n v="0.63788283738875284"/>
    <s v=""/>
    <n v="0.3404055381003635"/>
    <s v=""/>
    <n v="0.16744532625714403"/>
    <s v=""/>
    <n v="0.17296021184321947"/>
    <s v=""/>
    <n v="1.2681380922222687"/>
    <n v="3.5226058117285239"/>
    <n v="0.29747729928838934"/>
    <n v="25.377439811532323"/>
    <s v=""/>
    <n v="0.30394227649944783"/>
    <s v=""/>
    <n v="8.8472600819724703E-2"/>
    <s v=""/>
    <n v="0.1360411418660516"/>
    <n v="-4.7865075395845524"/>
    <n v="0.14000000000000001"/>
    <n v="0.32"/>
    <n v="0.18"/>
    <n v="7.0000000000000007E-2"/>
    <n v="0.22"/>
    <n v="0.15"/>
    <n v="5.3721553669578676E-2"/>
    <n v="0.23246223071087102"/>
    <n v="0.17874067704129235"/>
    <s v=""/>
    <s v=""/>
    <s v=""/>
    <s v=""/>
    <s v=""/>
    <s v=""/>
    <n v="5"/>
    <n v="152.4"/>
    <n v="5"/>
    <n v="152.4"/>
    <n v="26.208305135889084"/>
    <n v="27.598879816357105"/>
    <n v="26.208305135889084"/>
    <n v="27.598879816357105"/>
    <n v="0.13927790978236451"/>
    <n v="8.5781456872556117E-2"/>
    <n v="0.13404033047593089"/>
    <n v="0.12"/>
    <n v="150"/>
    <n v="25.733455084563563"/>
  </r>
  <r>
    <s v="ODB"/>
    <x v="6"/>
    <x v="4"/>
    <n v="14.2141539185853"/>
    <n v="65.358798339720096"/>
    <n v="20.4270477416947"/>
    <m/>
    <n v="1.021120458591469"/>
    <n v="0.86814391196052887"/>
    <s v=""/>
    <m/>
    <n v="1.021120458591469"/>
    <n v="1.021120458591469"/>
    <m/>
    <n v="0.97018000000000004"/>
    <n v="9.6290000000000001E-2"/>
    <n v="1.0658000000000001"/>
    <n v="0.11201999999999999"/>
    <n v="9.5620000000000038E-2"/>
    <n v="1.5729999999999994E-2"/>
    <n v="0.21817718940936881"/>
    <n v="0.31287267625394571"/>
    <n v="3.7096172366929507"/>
    <n v="12.121552702122601"/>
    <n v="8.4119354654296501"/>
    <n v="9.4695486844576904E-2"/>
    <n v="0.22278519170389249"/>
    <n v="0.31948069065716928"/>
    <n v="9.6695498953276782E-2"/>
    <n v="0.22771767130345172"/>
    <n v="0.11887456037514636"/>
    <n v="0.31805929919137482"/>
    <n v="2.1638523956723335"/>
    <n v="2.6899609222352474"/>
    <n v="5.3820754716981138"/>
    <n v="2.3567063798729171"/>
    <n v="2.7701469323954662"/>
    <n v="6.0301212938005397"/>
    <n v="9.0341627887923104E-2"/>
    <n v="0.19918473881622845"/>
    <n v="3.2182230760257804"/>
    <n v="2.6921145494628664"/>
    <n v="3.6734149139276226"/>
    <n v="3.2599743614050736"/>
    <n v="0.61467152505982292"/>
    <s v=""/>
    <n v="0.32320989122721694"/>
    <s v=""/>
    <n v="0.14857823104689361"/>
    <s v=""/>
    <n v="0.17463166018032333"/>
    <s v=""/>
    <n v="1.00995907330654"/>
    <n v="2.8054418702959447"/>
    <n v="0.29146163383260598"/>
    <n v="28.899096735889891"/>
    <s v=""/>
    <n v="0.3191249043328947"/>
    <s v=""/>
    <n v="7.5217379494318171E-2"/>
    <s v=""/>
    <n v="0.21722803661973605"/>
    <n v="-4.2101157383403791"/>
    <n v="0.12"/>
    <n v="0.3"/>
    <n v="0.18"/>
    <n v="0.09"/>
    <n v="0.23"/>
    <n v="0.14000000000000001"/>
    <n v="6.8004170484939092E-2"/>
    <n v="0.24790123510645876"/>
    <n v="0.17989706462151966"/>
    <s v=""/>
    <s v=""/>
    <s v=""/>
    <s v=""/>
    <s v=""/>
    <s v=""/>
    <n v="5"/>
    <n v="152.4"/>
    <n v="5"/>
    <n v="152.4"/>
    <n v="26.208305135889084"/>
    <n v="27.598879816357105"/>
    <n v="26.208305135889084"/>
    <n v="27.598879816357105"/>
    <n v="0.16349630831588843"/>
    <n v="0.10220133713032914"/>
    <n v="0.12411844832742902"/>
    <n v="5.0000000000000017E-2"/>
    <n v="150"/>
    <n v="25.733455084563563"/>
  </r>
  <r>
    <s v="ODB"/>
    <x v="7"/>
    <x v="0"/>
    <n v="9.1463446595658677"/>
    <n v="56.032976884302137"/>
    <n v="34.820678456131994"/>
    <n v="1.3790714158394604"/>
    <n v="1.3138479777503751"/>
    <n v="1.2795396082409491"/>
    <n v="4.8440690979716414E-2"/>
    <n v="1.3241530006102613"/>
    <n v="1.3464596967949176"/>
    <n v="1.3464596967949176"/>
    <n v="1.149139214687698"/>
    <n v="1.7397333333333336"/>
    <n v="0.13911333333333334"/>
    <n v="2.0005000000000002"/>
    <n v="0.15748000000000001"/>
    <n v="0.26076666666666659"/>
    <n v="1.836666666666667E-2"/>
    <n v="0.13206517502143914"/>
    <n v="0.27208804646896967"/>
    <n v="8.6286386886918578"/>
    <n v="15.528586169272927"/>
    <n v="6.8999474805810692"/>
    <n v="0.14002287144753053"/>
    <n v="0.17782043551653468"/>
    <n v="0.36635558855013034"/>
    <n v="0.18853515303359566"/>
    <n v="0.14486528699726672"/>
    <n v="0.14912833438353273"/>
    <n v="0.26466351101049596"/>
    <n v="7.4416243654822329"/>
    <n v="9.6718301477280662"/>
    <n v="4.7582964601769913"/>
    <n v="7.8103663933359355"/>
    <n v="9.8667031611006077"/>
    <n v="6.0124211085957331"/>
    <n v="0.11979822401322923"/>
    <n v="0.11553517662696322"/>
    <n v="-2.6833279053052417"/>
    <n v="-4.9135336875510749"/>
    <n v="-1.7979452847402024"/>
    <n v="-3.8542820525048747"/>
    <n v="0.49190200120946503"/>
    <n v="0.56636256049520828"/>
    <n v="0.36961984789759217"/>
    <n v="0.37482334561204711"/>
    <n v="0.20796803076237641"/>
    <n v="0.20251686925960674"/>
    <n v="0.16165181713521576"/>
    <n v="0.17230647635244037"/>
    <n v="5.8757490410227708E-2"/>
    <n v="0.1632152511395214"/>
    <n v="0.12228215331187287"/>
    <n v="69.75664385481393"/>
    <n v="44.621851084950116"/>
    <n v="0.24156517362247582"/>
    <n v="0.26924688537239683"/>
    <n v="0.10121614719254864"/>
    <n v="0.10649539030454205"/>
    <n v="8.6626285673102307E-2"/>
    <n v="-5.9331918389550147"/>
    <n v="0.19"/>
    <n v="0.37"/>
    <n v="0.18"/>
    <n v="0.18"/>
    <n v="0.3"/>
    <n v="0.12"/>
    <n v="0.14354794159577985"/>
    <n v="0.32956138389552431"/>
    <n v="0.18601344229974445"/>
    <n v="0.13"/>
    <n v="0.26"/>
    <n v="0.13"/>
    <n v="9.7730125650483474E-2"/>
    <n v="0.28003394288661215"/>
    <n v="0.18230381723612868"/>
    <n v="5"/>
    <n v="152.4"/>
    <n v="5"/>
    <n v="152.4"/>
    <n v="21.547922910211955"/>
    <n v="25.107171404313537"/>
    <n v="21.547922910211955"/>
    <n v="25.107171404313537"/>
    <n v="0.16275689185824824"/>
    <n v="0.14010207833518404"/>
    <n v="0.18541170538131244"/>
    <n v="0.12999999999999998"/>
    <n v="37"/>
    <n v="7.6262403525976312"/>
  </r>
  <r>
    <s v="ODB"/>
    <x v="7"/>
    <x v="1"/>
    <n v="9.3063641118376896"/>
    <n v="57.190519979079397"/>
    <n v="33.503115909082901"/>
    <n v="1.5995360570503898"/>
    <n v="1.2257236550588062"/>
    <n v="1.5561439334121439"/>
    <n v="0.26462162072350803"/>
    <n v="1.4604678818404466"/>
    <n v="1.412629856054598"/>
    <n v="1.412629856054598"/>
    <n v="1.2539530603118743"/>
    <n v="0.69150999999999996"/>
    <n v="7.0940000000000003E-2"/>
    <n v="0.87314000000000003"/>
    <n v="9.1929999999999998E-2"/>
    <n v="0.18163000000000007"/>
    <n v="2.0989999999999995E-2"/>
    <m/>
    <n v="0.22704225352112703"/>
    <m/>
    <n v="9.0967535804623267"/>
    <s v=""/>
    <s v=""/>
    <s v=""/>
    <n v="0.32072666590986121"/>
    <s v=""/>
    <n v="0.17262321887409485"/>
    <n v="0.14192258767944763"/>
    <n v="0.21011029411764723"/>
    <n v="1.4608930935139766"/>
    <n v="1.6319976982252109"/>
    <n v="1.0538043811274509"/>
    <n v="1.6362979833372266"/>
    <n v="1.917002544066873"/>
    <n v="1.3704499080882353"/>
    <n v="3.7487075243552381E-2"/>
    <n v="6.8187706438199602E-2"/>
    <n v="-0.40708871238652566"/>
    <n v="-0.57819331709776001"/>
    <n v="-0.26584807524899134"/>
    <n v="-0.54655263597863768"/>
    <n v="0.46693212979071774"/>
    <n v="0.52681016592004748"/>
    <n v="0.36158256136046407"/>
    <n v="0.36721434913663442"/>
    <n v="0.20426117748614422"/>
    <n v="0.19950473282669484"/>
    <n v="0.15732138387431985"/>
    <n v="0.16770961630993958"/>
    <n v="3.7988637999496561E-2"/>
    <n v="0.105523994443046"/>
    <n v="0.10534956843025367"/>
    <n v="80.084162138601343"/>
    <n v="54.753758380248378"/>
    <n v="0.23684551141629009"/>
    <n v="0.26235682706894747"/>
    <n v="9.7195425262092461E-2"/>
    <n v="0.10210834948718014"/>
    <n v="9.5092680157868342E-2"/>
    <n v="-5.7329520270583476"/>
    <n v="0.19"/>
    <n v="0.36"/>
    <n v="0.16999999999999998"/>
    <n v="0.2"/>
    <n v="0.32"/>
    <n v="0.12"/>
    <n v="0.15891265257587764"/>
    <n v="0.3461700938697041"/>
    <n v="0.18725744129382646"/>
    <n v="0.16"/>
    <n v="0.28000000000000003"/>
    <n v="0.12000000000000002"/>
    <n v="0.12206790060441716"/>
    <n v="0.30634221813828044"/>
    <n v="0.18427431753386328"/>
    <n v="5"/>
    <n v="152.4"/>
    <n v="5"/>
    <n v="152.4"/>
    <n v="21.547922910211955"/>
    <n v="25.107171404313537"/>
    <n v="21.547922910211955"/>
    <n v="25.107171404313537"/>
    <e v="#N/A"/>
    <e v="#N/A"/>
    <e v="#N/A"/>
    <m/>
    <n v="37"/>
    <n v="7.6262403525976312"/>
  </r>
  <r>
    <s v="ODB"/>
    <x v="7"/>
    <x v="2"/>
    <n v="8.74015825882333"/>
    <n v="54.543596977197303"/>
    <n v="36.716244763979297"/>
    <n v="1.6399105164242849"/>
    <n v="1.5773406615524519"/>
    <m/>
    <n v="3.8896468699830815E-2"/>
    <n v="1.6086255889883683"/>
    <n v="1.6086255889883683"/>
    <n v="1.6086255889883683"/>
    <n v="1.4116343465232888"/>
    <n v="0.42049999999999998"/>
    <n v="4.4119999999999999E-2"/>
    <n v="0.46843000000000001"/>
    <n v="6.5710000000000005E-2"/>
    <n v="4.7930000000000028E-2"/>
    <n v="2.1590000000000005E-2"/>
    <n v="0.1387149469098829"/>
    <m/>
    <n v="1.4714130139993569"/>
    <m/>
    <s v=""/>
    <s v=""/>
    <n v="0.22314041317440061"/>
    <s v=""/>
    <s v=""/>
    <n v="0.17764471057884246"/>
    <n v="0.13781575037147079"/>
    <n v="0.21221115115539518"/>
    <n v="1.0255322687957418"/>
    <n v="0.6589849554234769"/>
    <n v="1.2526181895272419"/>
    <n v="1.0255322687957418"/>
    <n v="0.6589849554234769"/>
    <n v="1.2526181895272419"/>
    <n v="3.4566440576552726E-2"/>
    <n v="7.4395400783924398E-2"/>
    <n v="0.22708592073150013"/>
    <n v="0.59363323410376501"/>
    <n v="0.22708592073150013"/>
    <n v="0.59363323410376501"/>
    <n v="0.39297147585344594"/>
    <n v="0.4673077937647967"/>
    <n v="0.35459416063269605"/>
    <n v="0.37418091352020716"/>
    <n v="0.22638442332835557"/>
    <n v="0.2194551196076529"/>
    <n v="0.12820973730434049"/>
    <n v="0.15472579391255425"/>
    <n v="3.6940873782468496E-3"/>
    <n v="1.0261353828463471E-2"/>
    <n v="3.8377315220749886E-2"/>
    <n v="151.16826361568553"/>
    <n v="86.280003700761497"/>
    <n v="0.17319936504021385"/>
    <n v="0.21833569515310502"/>
    <n v="8.9529457633322776E-2"/>
    <n v="0.10052273060384231"/>
    <n v="7.6267826847873935E-2"/>
    <n v="-6.2304615335080946"/>
    <n v="0.2"/>
    <n v="0.38"/>
    <n v="0.18"/>
    <n v="0.26"/>
    <n v="0.36"/>
    <n v="0.1"/>
    <n v="0.20442286176309912"/>
    <n v="0.36297147585344591"/>
    <n v="0.15854861409034679"/>
    <n v="0.2"/>
    <n v="0.32"/>
    <n v="0.12"/>
    <n v="0.15868149526270767"/>
    <n v="0.34592022097734548"/>
    <n v="0.18723872571463782"/>
    <n v="5"/>
    <n v="152.4"/>
    <n v="5"/>
    <n v="152.4"/>
    <n v="21.547922910211955"/>
    <n v="25.107171404313537"/>
    <n v="21.547922910211955"/>
    <n v="25.107171404313537"/>
    <n v="0.14254326423180536"/>
    <n v="9.4039682206445693E-2"/>
    <n v="0.1413117938515259"/>
    <n v="0.06"/>
    <n v="37"/>
    <n v="7.6262403525976312"/>
  </r>
  <r>
    <s v="ODB"/>
    <x v="7"/>
    <x v="3"/>
    <n v="9.6112457393734498"/>
    <n v="54.979023337158402"/>
    <n v="35.409730923468196"/>
    <n v="1.6947660568686582"/>
    <n v="1.5779421901302495"/>
    <m/>
    <n v="7.139277804279491E-2"/>
    <m/>
    <n v="1.6363541234994539"/>
    <n v="1.6363541234994539"/>
    <m/>
    <n v="0.32839000000000002"/>
    <n v="4.2360000000000002E-2"/>
    <n v="0.39365"/>
    <n v="4.9090000000000002E-2"/>
    <n v="6.5259999999999985E-2"/>
    <n v="6.7299999999999999E-3"/>
    <n v="0.16377342831454442"/>
    <m/>
    <n v="2.7952499254008898"/>
    <m/>
    <s v=""/>
    <s v=""/>
    <n v="0.26799132474214699"/>
    <s v=""/>
    <s v=""/>
    <n v="0.15746572804742498"/>
    <n v="0.14827856025039118"/>
    <n v="0.21085409252669057"/>
    <n v="0.62696060269235521"/>
    <n v="0.66743691314553988"/>
    <n v="1.8919595195729542"/>
    <n v="0.62696060269235521"/>
    <n v="0.66743691314553988"/>
    <n v="1.9984137752075923"/>
    <n v="5.3388364479265593E-2"/>
    <n v="6.2575532276299389E-2"/>
    <n v="1.2649989168805988"/>
    <n v="1.2245226064274144"/>
    <n v="1.371453172515237"/>
    <n v="1.3309768620620526"/>
    <n v="0.3825078779247344"/>
    <s v=""/>
    <n v="0.34605875018150511"/>
    <s v=""/>
    <n v="0.21936237901414504"/>
    <s v=""/>
    <n v="0.12669637116736007"/>
    <s v=""/>
    <n v="3.4454373120508209E-3"/>
    <n v="9.5706592001411697E-3"/>
    <n v="3.6449127743229282E-2"/>
    <n v="156.33268238605811"/>
    <s v=""/>
    <n v="0.17670094435730557"/>
    <s v=""/>
    <n v="8.7782801376766612E-2"/>
    <s v=""/>
    <n v="8.144169599837256E-2"/>
    <n v="-6.0375068970838512"/>
    <n v="0.2"/>
    <n v="0.37"/>
    <n v="0.16999999999999998"/>
    <n v="0.26"/>
    <n v="0.35"/>
    <n v="0.09"/>
    <n v="0.21086142747657319"/>
    <n v="0.35250787792473437"/>
    <n v="0.14164645044816118"/>
    <s v=""/>
    <s v=""/>
    <s v=""/>
    <s v=""/>
    <s v=""/>
    <s v=""/>
    <n v="5"/>
    <n v="152.4"/>
    <n v="5"/>
    <n v="152.4"/>
    <n v="21.547922910211955"/>
    <n v="25.107171404313537"/>
    <n v="21.547922910211955"/>
    <n v="25.107171404313537"/>
    <n v="0.11232871513365351"/>
    <n v="7.7685283234724636E-2"/>
    <n v="0.11579136581726812"/>
    <n v="7.0000000000000007E-2"/>
    <n v="37"/>
    <n v="7.6262403525976312"/>
  </r>
  <r>
    <s v="ODB"/>
    <x v="7"/>
    <x v="4"/>
    <n v="8.1131579217034702"/>
    <n v="57.965767064377502"/>
    <n v="33.921075013919001"/>
    <n v="1.6582345125204623"/>
    <n v="1.5862116480827444"/>
    <m/>
    <n v="4.4397632675974137E-2"/>
    <m/>
    <n v="1.6222230803016033"/>
    <n v="1.6222230803016033"/>
    <m/>
    <n v="0.31402000000000002"/>
    <n v="3.9780000000000003E-2"/>
    <m/>
    <m/>
    <s v=""/>
    <s v=""/>
    <n v="0.16423284656931403"/>
    <m/>
    <n v="4.3523127242147499"/>
    <m/>
    <s v=""/>
    <s v=""/>
    <n v="0.2664223142483732"/>
    <s v=""/>
    <s v=""/>
    <n v="0.15888514113261146"/>
    <n v="0.16427340608845487"/>
    <n v="0.22958893729873095"/>
    <n v="4.5920823717379733"/>
    <n v="0.98963239517518675"/>
    <n v="1.5574793205783926"/>
    <n v="4.9962435647079717"/>
    <n v="1.0827742676622631"/>
    <n v="1.7198875260466"/>
    <n v="7.0703796166119492E-2"/>
    <n v="6.5315531210276084E-2"/>
    <n v="-3.0346030511595807"/>
    <n v="0.5678469254032058"/>
    <n v="-3.2763560386613717"/>
    <n v="0.63711325838433686"/>
    <n v="0.38784034705599868"/>
    <s v=""/>
    <n v="0.34551579839533592"/>
    <s v=""/>
    <n v="0.21244225649166551"/>
    <s v=""/>
    <n v="0.13307354190367041"/>
    <s v=""/>
    <n v="4.7273346285101117E-3"/>
    <n v="1.3131485079194755E-2"/>
    <n v="4.2324548660662764E-2"/>
    <n v="148.30697227499829"/>
    <s v=""/>
    <n v="0.18977168045883791"/>
    <s v=""/>
    <n v="8.7290161501298702E-2"/>
    <s v=""/>
    <n v="9.594464536523567E-2"/>
    <n v="-5.7722100008627422"/>
    <n v="0.19"/>
    <n v="0.36"/>
    <n v="0.16999999999999998"/>
    <n v="0.26"/>
    <n v="0.36"/>
    <n v="0.1"/>
    <n v="0.2075801992460323"/>
    <n v="0.35784034705599865"/>
    <n v="0.15026014780996635"/>
    <s v=""/>
    <s v=""/>
    <s v=""/>
    <s v=""/>
    <s v=""/>
    <s v=""/>
    <n v="5"/>
    <n v="152.4"/>
    <n v="5"/>
    <n v="152.4"/>
    <n v="21.547922910211955"/>
    <n v="25.107171404313537"/>
    <n v="21.547922910211955"/>
    <n v="25.107171404313537"/>
    <n v="8.9569308053458335E-2"/>
    <n v="7.0207696164085232E-2"/>
    <n v="8.6277154914648546E-2"/>
    <n v="7.0000000000000007E-2"/>
    <n v="37"/>
    <n v="7.6262403525976312"/>
  </r>
  <r>
    <s v="ODB"/>
    <x v="8"/>
    <x v="0"/>
    <n v="8.4400228829865167"/>
    <n v="52.508163060183428"/>
    <n v="39.051814056830032"/>
    <n v="1.4795579927411822"/>
    <n v="1.4694284099366739"/>
    <n v="1.3535539990379022"/>
    <n v="6.8698742017324977E-3"/>
    <n v="1.4341801339052527"/>
    <n v="1.474493201338928"/>
    <n v="1.474493201338928"/>
    <n v="1.1625679130110766"/>
    <n v="1.3190266666666668"/>
    <n v="0.12946333333333335"/>
    <n v="1.7426999999999999"/>
    <n v="0.13868"/>
    <n v="0.42367333333333312"/>
    <n v="9.2166666666666508E-3"/>
    <n v="0.14361001317523059"/>
    <m/>
    <n v="5.3275786153971643"/>
    <m/>
    <s v=""/>
    <s v=""/>
    <n v="0.21175198807107137"/>
    <s v=""/>
    <s v=""/>
    <n v="0.13365664403491759"/>
    <n v="0.13438170121515361"/>
    <n v="0.23472397808680992"/>
    <n v="2.7585645004849662"/>
    <n v="6.144567548248749"/>
    <n v="2.3768436578171093"/>
    <n v="2.7585645004849662"/>
    <n v="6.6739456754824875"/>
    <n v="2.6634025143980899"/>
    <n v="0.10106733405189233"/>
    <n v="0.10034227687165631"/>
    <n v="-0.38172084266785689"/>
    <n v="-3.7677238904316397"/>
    <n v="-9.5161986086876205E-2"/>
    <n v="-4.0105431610843976"/>
    <n v="0.44358747119285735"/>
    <n v="0.56129512716563146"/>
    <n v="0.37795113547153208"/>
    <n v="0.39064785557833481"/>
    <n v="0.23392152525687165"/>
    <n v="0.21906924702282998"/>
    <n v="0.14402961021466043"/>
    <n v="0.17157860855550483"/>
    <n v="1.1487735431167618E-2"/>
    <n v="3.1910376197687829E-2"/>
    <n v="6.5636335721325267E-2"/>
    <n v="108.64332871618207"/>
    <n v="49.173005982770604"/>
    <n v="0.19001995912659125"/>
    <n v="0.25125046643023397"/>
    <n v="9.8714280120500167E-2"/>
    <n v="0.11242965980712828"/>
    <n v="6.4764508337085941E-2"/>
    <n v="-6.6225165650007245"/>
    <n v="0.22"/>
    <n v="0.39"/>
    <n v="0.17"/>
    <n v="0.22"/>
    <n v="0.33"/>
    <n v="0.11"/>
    <n v="0.1732773213508991"/>
    <n v="0.3616977935360709"/>
    <n v="0.1884204721851718"/>
    <n v="0.13"/>
    <n v="0.26"/>
    <n v="0.13"/>
    <n v="0.100848269401172"/>
    <n v="0.2834045461657802"/>
    <n v="0.1825562767646082"/>
    <n v="4"/>
    <n v="121.92"/>
    <n v="4"/>
    <n v="121.92"/>
    <n v="14.890128679606349"/>
    <n v="19.588043186978275"/>
    <n v="14.890128679606349"/>
    <n v="19.588043186978275"/>
    <n v="0.17682655758766724"/>
    <n v="0.1933600637435971"/>
    <n v="0.16029305143173736"/>
    <n v="0.18999999999999997"/>
    <n v="55"/>
    <n v="13.038477542694924"/>
  </r>
  <r>
    <s v="ODB"/>
    <x v="8"/>
    <x v="1"/>
    <n v="7.26397117184713"/>
    <n v="52.277819268109802"/>
    <n v="40.458209560043109"/>
    <n v="1.4378602272627914"/>
    <n v="1.459803381901198"/>
    <n v="1.3778417695793594"/>
    <n v="-1.5145412027131358E-2"/>
    <n v="1.4251684595811163"/>
    <n v="1.4488318045819946"/>
    <n v="1.4488318045819946"/>
    <n v="1.2405243619884956"/>
    <n v="0.68010000000000004"/>
    <n v="8.054E-2"/>
    <n v="0.91469999999999996"/>
    <n v="8.5400000000000004E-2"/>
    <n v="0.23459999999999992"/>
    <n v="4.8600000000000032E-3"/>
    <n v="0.163872169676125"/>
    <n v="0.23428193249503634"/>
    <n v="4.543258285515245"/>
    <n v="18.055654944295259"/>
    <n v="13.512396658780014"/>
    <n v="7.0409762818911342E-2"/>
    <n v="0.237423211312627"/>
    <n v="0.33943511503774054"/>
    <n v="0.10201190372511354"/>
    <n v="0.15020576131687238"/>
    <n v="0.15850562205295629"/>
    <n v="0.23804591748662163"/>
    <n v="0.905787037037037"/>
    <n v="1.1922953693628342"/>
    <n v="1.3515334599228954"/>
    <n v="1.1262431412894376"/>
    <n v="1.2844931084512152"/>
    <n v="1.4129199033316071"/>
    <n v="8.7840156169749245E-2"/>
    <n v="7.9540295433665337E-2"/>
    <n v="0.44574642288585842"/>
    <n v="0.15923809056006122"/>
    <n v="0.28667676204216952"/>
    <n v="0.12842679488039188"/>
    <n v="0.45327101713886997"/>
    <n v="0.5318775992496243"/>
    <n v="0.38609141931800489"/>
    <n v="0.39598408218268938"/>
    <n v="0.2402049308411256"/>
    <n v="0.22816410971569578"/>
    <n v="0.14588648847687929"/>
    <n v="0.16781997246699359"/>
    <n v="1.2186821607370104E-2"/>
    <n v="3.3852282242694737E-2"/>
    <n v="6.7179597820865078E-2"/>
    <n v="106.8462059369641"/>
    <n v="61.908143530534623"/>
    <n v="0.18732157225034748"/>
    <n v="0.23311714582243212"/>
    <n v="0.10047894525731728"/>
    <n v="0.11117559219949408"/>
    <n v="6.0760404367002474E-2"/>
    <n v="-6.84822015646815"/>
    <n v="0.23"/>
    <n v="0.4"/>
    <n v="0.17"/>
    <n v="0.21"/>
    <n v="0.33"/>
    <n v="0.12"/>
    <n v="0.16731874502393915"/>
    <n v="0.35525678295008062"/>
    <n v="0.18793803792614147"/>
    <n v="0.15"/>
    <n v="0.28000000000000003"/>
    <n v="0.13000000000000003"/>
    <n v="0.11894975685372869"/>
    <n v="0.30297161485911239"/>
    <n v="0.1840218580053837"/>
    <n v="4"/>
    <n v="121.92"/>
    <n v="4"/>
    <n v="121.92"/>
    <n v="14.890128679606349"/>
    <n v="19.588043186978275"/>
    <n v="14.890128679606349"/>
    <n v="19.588043186978275"/>
    <n v="0.14583096622634531"/>
    <n v="0.11149213692463167"/>
    <n v="0.1659483346188628"/>
    <n v="0.16000000000000003"/>
    <n v="55"/>
    <n v="13.038477542694924"/>
  </r>
  <r>
    <s v="ODB"/>
    <x v="8"/>
    <x v="2"/>
    <n v="7.1331294459558601"/>
    <n v="49.101938056536802"/>
    <n v="43.764932497507402"/>
    <n v="1.6377707959321197"/>
    <n v="1.608372866839997"/>
    <m/>
    <n v="1.8112524981114157E-2"/>
    <n v="1.6230718313860584"/>
    <n v="1.6230718313860584"/>
    <n v="1.6230718313860584"/>
    <n v="1.224479922702264"/>
    <n v="0.40444999999999998"/>
    <n v="5.5169999999999997E-2"/>
    <n v="0.48343999999999998"/>
    <n v="6.0139999999999999E-2"/>
    <n v="7.8990000000000005E-2"/>
    <n v="4.9700000000000022E-3"/>
    <n v="0.17144689285297904"/>
    <n v="0.22583826429980267"/>
    <n v="5.27305220911893"/>
    <n v="17.849352496852688"/>
    <n v="12.576300287733758"/>
    <n v="5.4391371446823628E-2"/>
    <n v="0.278270622368334"/>
    <n v="0.36655172523412938"/>
    <n v="8.828110286579538E-2"/>
    <n v="0.14133178023684723"/>
    <n v="0.16390423572743995"/>
    <n v="0.24344497607655499"/>
    <n v="0.6990657153950689"/>
    <n v="1.2851442602823815"/>
    <n v="2.3159162679425838"/>
    <n v="1.0975807286611015"/>
    <n v="1.2851442602823815"/>
    <n v="2.6625265550239234"/>
    <n v="0.10211319583970777"/>
    <n v="7.9540740349115041E-2"/>
    <n v="1.6168505525475148"/>
    <n v="1.0307720076602023"/>
    <n v="1.564945826362822"/>
    <n v="1.3773822947415419"/>
    <n v="0.38752006362790248"/>
    <n v="0.53793210464065511"/>
    <n v="0.36899116878706617"/>
    <n v="0.40824811156977792"/>
    <n v="0.26372379637370374"/>
    <n v="0.24093446151035935"/>
    <n v="0.10526737241336243"/>
    <n v="0.16731365005941856"/>
    <n v="8.8727828414882776E-4"/>
    <n v="2.4646619004134104E-3"/>
    <n v="1.8528894840836307E-2"/>
    <n v="196.14255204775554"/>
    <n v="63.130325336800773"/>
    <n v="0.12197857415918588"/>
    <n v="0.2213563814197391"/>
    <n v="8.6177653297355522E-2"/>
    <n v="0.11491085263009469"/>
    <n v="4.7821869993334078E-2"/>
    <n v="-7.4697025344629839"/>
    <n v="0.25"/>
    <n v="0.42"/>
    <n v="0.16999999999999998"/>
    <n v="0.26"/>
    <n v="0.36"/>
    <n v="0.1"/>
    <n v="0.20777727924784276"/>
    <n v="0.35752006362790245"/>
    <n v="0.1497427843800597"/>
    <n v="0.15"/>
    <n v="0.28000000000000003"/>
    <n v="0.13000000000000003"/>
    <n v="0.11522423805146567"/>
    <n v="0.29894446059826824"/>
    <n v="0.18372022254680256"/>
    <n v="4"/>
    <n v="121.92"/>
    <n v="4"/>
    <n v="121.92"/>
    <n v="14.890128679606349"/>
    <n v="19.588043186978275"/>
    <n v="14.890128679606349"/>
    <n v="19.588043186978275"/>
    <n v="8.32637630480354E-2"/>
    <n v="6.6237378229324961E-2"/>
    <n v="0.11278695487821883"/>
    <n v="0.1"/>
    <n v="55"/>
    <n v="13.038477542694924"/>
  </r>
  <r>
    <s v="ODB"/>
    <x v="8"/>
    <x v="3"/>
    <n v="7.3809202069236699"/>
    <n v="48.855025311059897"/>
    <n v="43.764054482016498"/>
    <n v="1.7303925208590492"/>
    <n v="1.6246553532540582"/>
    <m/>
    <n v="6.3031689306634497E-2"/>
    <m/>
    <n v="1.6775239370565536"/>
    <n v="1.6775239370565536"/>
    <m/>
    <n v="0.35358000000000001"/>
    <n v="3.1570000000000001E-2"/>
    <n v="0.36073"/>
    <n v="3.4389999999999997E-2"/>
    <n v="7.1499999999999897E-3"/>
    <n v="2.8199999999999961E-3"/>
    <n v="0.20673915961874062"/>
    <m/>
    <n v="12.191145935973335"/>
    <m/>
    <s v=""/>
    <s v=""/>
    <n v="0.34680988898739301"/>
    <s v=""/>
    <s v=""/>
    <n v="0.13740740740740745"/>
    <n v="0.17131877022653721"/>
    <n v="0.23941210597563323"/>
    <n v="0.50235493827160493"/>
    <n v="1.2347652036138081"/>
    <n v="3.2586209952942697"/>
    <n v="0.93030447530864202"/>
    <n v="1.2347652036138081"/>
    <n v="3.574154660607233"/>
    <n v="0.10200469856822578"/>
    <n v="6.8093335749096012E-2"/>
    <n v="2.7562660570226649"/>
    <n v="2.0238557916804618"/>
    <n v="2.6438501852985912"/>
    <n v="2.339389456993425"/>
    <n v="0.36697209922394203"/>
    <s v=""/>
    <n v="0.35633696677983151"/>
    <s v=""/>
    <n v="0.26299915574541777"/>
    <s v=""/>
    <n v="9.3337811034413742E-2"/>
    <s v=""/>
    <n v="4.1124709027262678E-4"/>
    <n v="1.1423530285350745E-3"/>
    <n v="1.0635132444110518E-2"/>
    <n v="232.67084768271252"/>
    <s v=""/>
    <n v="0.10836216683360783"/>
    <s v=""/>
    <n v="8.0781615953849306E-2"/>
    <s v=""/>
    <n v="4.7420200617706486E-2"/>
    <n v="-7.4750140129751665"/>
    <n v="0.25"/>
    <n v="0.42"/>
    <n v="0.16999999999999998"/>
    <n v="0.27"/>
    <n v="0.34"/>
    <n v="7.0000000000000007E-2"/>
    <n v="0.2204210581845317"/>
    <n v="0.336972099223942"/>
    <n v="0.1165510410394103"/>
    <s v=""/>
    <s v=""/>
    <s v=""/>
    <s v=""/>
    <s v=""/>
    <s v=""/>
    <n v="4"/>
    <n v="121.92"/>
    <n v="4"/>
    <n v="121.92"/>
    <n v="14.890128679606349"/>
    <n v="19.588043186978275"/>
    <n v="14.890128679606349"/>
    <n v="19.588043186978275"/>
    <n v="8.4526775914525176E-2"/>
    <n v="6.4467000130091615E-2"/>
    <n v="4.7864119768976199E-2"/>
    <n v="0.12000000000000002"/>
    <n v="55"/>
    <n v="13.038477542694924"/>
  </r>
  <r>
    <s v="ODB"/>
    <x v="8"/>
    <x v="4"/>
    <n v="7.4646830228329497"/>
    <n v="52.204079590374"/>
    <n v="40.331237386793099"/>
    <n v="1.6691003276244336"/>
    <n v="1.5609645047934566"/>
    <m/>
    <n v="6.6955821905302804E-2"/>
    <m/>
    <n v="1.6150324162089451"/>
    <n v="1.6150324162089451"/>
    <m/>
    <n v="0.28876000000000002"/>
    <n v="4.0910000000000002E-2"/>
    <m/>
    <m/>
    <s v=""/>
    <s v=""/>
    <n v="0.2115678985348789"/>
    <m/>
    <n v="14.646541271578124"/>
    <m/>
    <s v=""/>
    <s v=""/>
    <n v="0.34168901436303439"/>
    <s v=""/>
    <s v=""/>
    <n v="0.16239151398264229"/>
    <n v="0.17630057803468221"/>
    <n v="0.24404873477038413"/>
    <n v="0.41991393442622948"/>
    <n v="2.303588631984586"/>
    <n v="3.4470517025929395"/>
    <n v="0.41991393442622948"/>
    <n v="2.303588631984586"/>
    <n v="4.7895876288659789"/>
    <n v="8.1657220787741847E-2"/>
    <n v="6.774815673570192E-2"/>
    <n v="3.02713776816671"/>
    <n v="1.1434630706083535"/>
    <n v="4.369673694439749"/>
    <n v="2.4859989968813929"/>
    <n v="0.3905538052041716"/>
    <s v=""/>
    <n v="0.36348567228384987"/>
    <s v=""/>
    <n v="0.24601496578012505"/>
    <s v=""/>
    <n v="0.11747070650372482"/>
    <s v=""/>
    <n v="1.8227513423840092E-3"/>
    <n v="5.063198173288915E-3"/>
    <n v="2.706813292032173E-2"/>
    <n v="173.47844257787295"/>
    <s v=""/>
    <n v="0.14604023260337773"/>
    <s v=""/>
    <n v="8.8571915280476657E-2"/>
    <s v=""/>
    <n v="6.0931627860951833E-2"/>
    <n v="-6.8293678497733641"/>
    <n v="0.23"/>
    <n v="0.4"/>
    <n v="0.17"/>
    <n v="0.26"/>
    <n v="0.36"/>
    <n v="0.1"/>
    <n v="0.20591052704371701"/>
    <n v="0.36055380520417157"/>
    <n v="0.15464327816045456"/>
    <s v=""/>
    <s v=""/>
    <s v=""/>
    <s v=""/>
    <s v=""/>
    <s v=""/>
    <n v="4"/>
    <n v="121.92"/>
    <n v="4"/>
    <n v="121.92"/>
    <n v="14.890128679606349"/>
    <n v="19.588043186978275"/>
    <n v="14.890128679606349"/>
    <n v="19.588043186978275"/>
    <e v="#N/A"/>
    <e v="#N/A"/>
    <e v="#N/A"/>
    <m/>
    <n v="55"/>
    <n v="13.038477542694924"/>
  </r>
  <r>
    <s v="ODB"/>
    <x v="9"/>
    <x v="0"/>
    <n v="9.6838118719314004"/>
    <n v="52.914320354210439"/>
    <n v="37.401867773858164"/>
    <n v="1.349543396974332"/>
    <n v="1.2767367905555822"/>
    <n v="1.4067338568111405"/>
    <n v="5.5444660295157877E-2"/>
    <n v="1.3443380147803516"/>
    <n v="1.3131400937649571"/>
    <n v="1.3131400937649571"/>
    <n v="1.1428393315236436"/>
    <n v="1.3626633333333331"/>
    <n v="0.12310333333333334"/>
    <n v="1.9176"/>
    <n v="0.14385000000000001"/>
    <n v="0.55493666666666686"/>
    <n v="2.0746666666666663E-2"/>
    <n v="0.12023937996664379"/>
    <n v="0.25258358662613989"/>
    <n v="2.2572234823894295"/>
    <n v="17.434256257966467"/>
    <n v="15.177032775577038"/>
    <n v="0.13234420665949609"/>
    <n v="0.15789115068363893"/>
    <n v="0.33167763462573852"/>
    <n v="0.17378648394209958"/>
    <n v="0.12317244141798531"/>
    <n v="0.11511492014024176"/>
    <n v="0.25828117844603876"/>
    <n v="22.791040790439954"/>
    <n v="6.1331320607713291"/>
    <n v="8.1263992774639995"/>
    <n v="32.150811135589834"/>
    <n v="6.3580135696662783"/>
    <n v="9.0124389406197523"/>
    <n v="0.13510873702805345"/>
    <n v="0.14316625830579699"/>
    <n v="-14.664641512975955"/>
    <n v="1.9932672166926704"/>
    <n v="-23.138372194970081"/>
    <n v="2.654425370953474"/>
    <n v="0.50447543631511049"/>
    <n v="0.56873987489673827"/>
    <n v="0.37952724244378672"/>
    <n v="0.3832590961428709"/>
    <n v="0.21759124245690903"/>
    <n v="0.21190890325911227"/>
    <n v="0.16193599998687769"/>
    <n v="0.17135019288375863"/>
    <n v="6.5616006420865944E-2"/>
    <n v="0.18226668450240541"/>
    <n v="0.12494819387132378"/>
    <n v="66.435953688232601"/>
    <n v="44.722246337471972"/>
    <n v="0.23455451265371144"/>
    <n v="0.25987103519856991"/>
    <n v="0.10574864093542709"/>
    <n v="0.11089042645254796"/>
    <n v="6.9870030006287706E-2"/>
    <n v="-6.3677553702612837"/>
    <n v="0.21"/>
    <n v="0.38"/>
    <n v="0.17"/>
    <n v="0.17"/>
    <n v="0.3"/>
    <n v="0.13"/>
    <n v="0.13581112977222301"/>
    <n v="0.32119816353500419"/>
    <n v="0.18538703376278118"/>
    <n v="0.12"/>
    <n v="0.26"/>
    <n v="0.14000000000000001"/>
    <n v="9.6267292779790042E-2"/>
    <n v="0.27845267221243453"/>
    <n v="0.18218537943264448"/>
    <n v="3"/>
    <n v="91.44"/>
    <n v="2"/>
    <n v="60.96"/>
    <n v="11.389685767955024"/>
    <n v="13.746025598144607"/>
    <n v="8.5727633313721761"/>
    <n v="9.9622702571548665"/>
    <n v="0.21289434301837012"/>
    <n v="0.22618464480379646"/>
    <n v="0.19960404123294381"/>
    <n v="0.09"/>
    <n v="45"/>
    <n v="10.198179104035928"/>
  </r>
  <r>
    <s v="ODB"/>
    <x v="9"/>
    <x v="1"/>
    <n v="7.49047359825801"/>
    <n v="54.225859132176197"/>
    <n v="38.283667269565797"/>
    <n v="1.6766940506800496"/>
    <n v="1.5966288942291607"/>
    <n v="1.5089496873363266"/>
    <n v="4.8919802780479804E-2"/>
    <n v="1.594090877415179"/>
    <n v="1.6366614724546051"/>
    <n v="1.6366614724546051"/>
    <n v="1.2306508608892763"/>
    <n v="0.47887999999999997"/>
    <n v="5.7700000000000001E-2"/>
    <n v="0.61351"/>
    <n v="7.2050000000000003E-2"/>
    <n v="0.13463000000000003"/>
    <n v="1.4350000000000002E-2"/>
    <n v="0.17238017037873363"/>
    <n v="0.23496835443037997"/>
    <n v="2.7996397761523077"/>
    <n v="16.727206640740206"/>
    <n v="13.927566864587899"/>
    <n v="6.2588184051646345E-2"/>
    <n v="0.28212798347403389"/>
    <n v="0.38456365294226125"/>
    <n v="0.10243566946822735"/>
    <n v="0.13980392156862737"/>
    <n v="0.12792127921279214"/>
    <n v="0.26842189757585483"/>
    <n v="0.85485294117647048"/>
    <n v="0.98693111931119315"/>
    <n v="5.1899595975812058"/>
    <n v="0.8955059477124182"/>
    <n v="1.2317840303403034"/>
    <n v="5.3886790282014232"/>
    <n v="0.12861797600722746"/>
    <n v="0.14050061836306268"/>
    <n v="4.3351066564047356"/>
    <n v="4.2030284782700127"/>
    <n v="4.4931730804890053"/>
    <n v="4.1568949978611194"/>
    <n v="0.38239189718694144"/>
    <n v="0.53560344872102772"/>
    <n v="0.35498380166074678"/>
    <n v="0.38803439911345394"/>
    <n v="0.23566116216691002"/>
    <n v="0.21879231944572641"/>
    <n v="0.11932263949383676"/>
    <n v="0.16924207966772753"/>
    <n v="1.9728313295236358E-3"/>
    <n v="5.4800870264545441E-3"/>
    <n v="2.7408095526194665E-2"/>
    <n v="175.65723824094076"/>
    <n v="58.117885903991564"/>
    <n v="0.15452281805624749"/>
    <n v="0.24451765086525354"/>
    <n v="8.7170898137464162E-2"/>
    <n v="0.10909211349279405"/>
    <n v="7.0825677255502081E-2"/>
    <n v="-6.4685549215606875"/>
    <n v="0.21"/>
    <n v="0.39"/>
    <n v="0.18000000000000002"/>
    <n v="0.26"/>
    <n v="0.35"/>
    <n v="0.09"/>
    <n v="0.21093279390395928"/>
    <n v="0.35239189718694142"/>
    <n v="0.14145910328298214"/>
    <n v="0.15"/>
    <n v="0.28000000000000003"/>
    <n v="0.13000000000000003"/>
    <n v="0.11665712989848995"/>
    <n v="0.30049336608320837"/>
    <n v="0.18383623618471842"/>
    <n v="3"/>
    <n v="91.44"/>
    <n v="2"/>
    <n v="60.96"/>
    <n v="11.389685767955024"/>
    <n v="13.746025598144607"/>
    <n v="8.5727633313721761"/>
    <n v="9.9622702571548665"/>
    <n v="0.17289668705344469"/>
    <n v="0.13222186980475684"/>
    <n v="0.15395954766236752"/>
    <m/>
    <n v="45"/>
    <n v="10.198179104035928"/>
  </r>
  <r>
    <s v="ODB"/>
    <x v="9"/>
    <x v="2"/>
    <n v="8.5953797554894393"/>
    <n v="46.560060023210397"/>
    <n v="44.844560221300199"/>
    <n v="1.7203579582498421"/>
    <n v="1.6097934905491831"/>
    <n v="1.4645180312747028"/>
    <n v="6.6402065732195203E-2"/>
    <n v="1.598223160024576"/>
    <n v="1.6650757243995127"/>
    <n v="1.6650757243995127"/>
    <n v="1.1550496313904821"/>
    <n v="0.36266999999999999"/>
    <n v="3.9570000000000001E-2"/>
    <n v="0.55955999999999995"/>
    <n v="6.9830000000000003E-2"/>
    <n v="0.19688999999999995"/>
    <n v="3.0260000000000002E-2"/>
    <n v="0.17577322303598725"/>
    <n v="0.26411657559198565"/>
    <n v="5.8869704577899711"/>
    <n v="12.670121075783721"/>
    <n v="6.7831506179937495"/>
    <n v="8.83433525559984E-2"/>
    <n v="0.29267572667668357"/>
    <n v="0.43977409842974413"/>
    <n v="0.14709837175306056"/>
    <n v="0.16583397386625692"/>
    <n v="0.18791683012946248"/>
    <n v="0.25617229907196631"/>
    <n v="0.76750736612861914"/>
    <n v="1.8214724728651757"/>
    <n v="2.2558760870834065"/>
    <n v="0.82482753651037677"/>
    <n v="1.8214724728651757"/>
    <n v="2.9415368003268547"/>
    <n v="9.0338325205709391E-2"/>
    <n v="6.8255468942503839E-2"/>
    <n v="1.4883687209547873"/>
    <n v="0.43440361421823082"/>
    <n v="2.1167092638164782"/>
    <n v="1.1200643274616791"/>
    <n v="0.37166953796244806"/>
    <n v="0.56413221456962936"/>
    <n v="0.36029472716951094"/>
    <n v="0.41111897788511237"/>
    <n v="0.26787601205852507"/>
    <n v="0.24108084693065437"/>
    <n v="9.2418715110985872E-2"/>
    <n v="0.17003813095445799"/>
    <n v="4.1558838646740717E-4"/>
    <n v="1.1544121846316867E-3"/>
    <n v="1.1374810792937118E-2"/>
    <n v="225.90798704330223"/>
    <n v="52.33219888164912"/>
    <n v="0.10556652873863381"/>
    <n v="0.22888139166629798"/>
    <n v="8.1616636473877097E-2"/>
    <n v="0.11922973990056403"/>
    <n v="4.1784172145977259E-2"/>
    <n v="-7.7199266002626494"/>
    <n v="0.26"/>
    <n v="0.42"/>
    <n v="0.15999999999999998"/>
    <n v="0.27"/>
    <n v="0.34"/>
    <n v="7.0000000000000007E-2"/>
    <n v="0.21753058320556681"/>
    <n v="0.34166953796244803"/>
    <n v="0.12413895475688122"/>
    <n v="0.13"/>
    <n v="0.26"/>
    <n v="0.13"/>
    <n v="9.9102524408869935E-2"/>
    <n v="0.28151745747901097"/>
    <n v="0.18241493307014103"/>
    <n v="3"/>
    <n v="91.44"/>
    <n v="2"/>
    <n v="60.96"/>
    <n v="11.389685767955024"/>
    <n v="13.746025598144607"/>
    <n v="8.5727633313721761"/>
    <n v="9.9622702571548665"/>
    <n v="0.13390877717198132"/>
    <n v="0.11126125988781549"/>
    <n v="0.14119239208921303"/>
    <n v="0.17"/>
    <n v="45"/>
    <n v="10.198179104035928"/>
  </r>
  <r>
    <s v="ODB"/>
    <x v="9"/>
    <x v="3"/>
    <n v="8.4249581466900203"/>
    <n v="51.442155419352602"/>
    <n v="40.132886433957403"/>
    <n v="1.6785895381404434"/>
    <n v="1.693342409426394"/>
    <m/>
    <n v="-8.7503968142632095E-3"/>
    <m/>
    <n v="1.6859659737834187"/>
    <n v="1.6859659737834187"/>
    <m/>
    <n v="0.27953"/>
    <n v="4.734E-2"/>
    <m/>
    <m/>
    <s v=""/>
    <s v=""/>
    <n v="0.19765252621544316"/>
    <m/>
    <n v="10.478430524475213"/>
    <m/>
    <s v=""/>
    <s v=""/>
    <n v="0.33323543383157234"/>
    <s v=""/>
    <s v=""/>
    <n v="0.19188345473465168"/>
    <n v="0.21743272207668518"/>
    <n v="0.22087931336486247"/>
    <n v="2.0510327783558799"/>
    <n v="3.190688259109312"/>
    <n v="1.6431000759035443"/>
    <n v="2.0612631113423525"/>
    <n v="3.370259585615623"/>
    <n v="1.9060978279908918"/>
    <n v="2.8995858630210786E-2"/>
    <n v="3.4465912881772864E-3"/>
    <n v="-0.40793270245233559"/>
    <n v="-1.5475881832057676"/>
    <n v="-0.15516528335146074"/>
    <n v="-1.4641617576247312"/>
    <n v="0.36378642498738911"/>
    <s v=""/>
    <n v="0.34818123807558188"/>
    <s v=""/>
    <n v="0.24438795867890206"/>
    <s v=""/>
    <n v="0.10379327939667982"/>
    <s v=""/>
    <n v="7.8566211541603102E-4"/>
    <n v="2.1823947650445306E-3"/>
    <n v="1.5605186911807234E-2"/>
    <n v="212.65627405366314"/>
    <s v=""/>
    <n v="0.13017942385587603"/>
    <s v=""/>
    <n v="8.3105136296514823E-2"/>
    <s v=""/>
    <n v="5.9783047186416326E-2"/>
    <n v="-6.8148860696445652"/>
    <n v="0.23"/>
    <n v="0.4"/>
    <n v="0.17"/>
    <n v="0.28000000000000003"/>
    <n v="0.33"/>
    <n v="0.05"/>
    <n v="0.22238129911250978"/>
    <n v="0.33378642498738909"/>
    <n v="0.1114051258748793"/>
    <s v=""/>
    <s v=""/>
    <s v=""/>
    <s v=""/>
    <s v=""/>
    <s v=""/>
    <n v="3"/>
    <n v="91.44"/>
    <n v="2"/>
    <n v="60.96"/>
    <n v="11.389685767955024"/>
    <n v="13.746025598144607"/>
    <n v="8.5727633313721761"/>
    <n v="9.9622702571548665"/>
    <n v="5.7557265718429257E-2"/>
    <n v="4.3417976145955106E-2"/>
    <n v="3.066559422492332E-2"/>
    <m/>
    <n v="45"/>
    <n v="10.198179104035928"/>
  </r>
  <r>
    <s v="ODB"/>
    <x v="9"/>
    <x v="4"/>
    <n v="8.4653575907505498"/>
    <n v="56.486110395299598"/>
    <n v="35.048532013949803"/>
    <m/>
    <n v="1.6397924772316235"/>
    <m/>
    <s v=""/>
    <m/>
    <n v="1.6397924772316235"/>
    <n v="1.6397924772316235"/>
    <m/>
    <n v="0.25402999999999998"/>
    <n v="3.7220000000000003E-2"/>
    <m/>
    <m/>
    <s v=""/>
    <s v=""/>
    <n v="0.21383189251119672"/>
    <m/>
    <n v="8.5926710222046641"/>
    <m/>
    <s v=""/>
    <s v=""/>
    <n v="0.35063992873206151"/>
    <s v=""/>
    <s v=""/>
    <n v="0.20399999999999999"/>
    <n v="0.20646006110868603"/>
    <n v="0.21554924656038413"/>
    <n v="3.1053166666666665"/>
    <n v="3.3278190018914588"/>
    <n v="2.0461745650433136"/>
    <n v="3.5573183333333334"/>
    <n v="3.3278190018914588"/>
    <n v="2.0461745650433136"/>
    <n v="1.1549246560384141E-2"/>
    <n v="9.0891854516980952E-3"/>
    <n v="-1.0591421016233529"/>
    <n v="-1.2816444368481452"/>
    <n v="-1.5111437682900197"/>
    <n v="-1.2816444368481452"/>
    <n v="0.38121038595033074"/>
    <s v=""/>
    <n v="0.34568202344268811"/>
    <s v=""/>
    <n v="0.21823824439407574"/>
    <s v=""/>
    <n v="0.12744377904861237"/>
    <s v=""/>
    <n v="3.3474398019079001E-3"/>
    <n v="9.298443894188612E-3"/>
    <n v="3.552836250764263E-2"/>
    <n v="159.99419147670179"/>
    <s v=""/>
    <n v="0.17771797319655019"/>
    <s v=""/>
    <n v="8.6923567515720793E-2"/>
    <s v=""/>
    <n v="8.7213549408349522E-2"/>
    <n v="-5.954553257590617"/>
    <n v="0.19"/>
    <n v="0.37"/>
    <n v="0.18"/>
    <n v="0.26"/>
    <n v="0.35"/>
    <n v="0.09"/>
    <n v="0.21165981321318297"/>
    <n v="0.35121038595033072"/>
    <n v="0.13955057273714774"/>
    <s v=""/>
    <s v=""/>
    <s v=""/>
    <s v=""/>
    <s v=""/>
    <s v=""/>
    <n v="3"/>
    <n v="91.44"/>
    <n v="2"/>
    <n v="60.96"/>
    <n v="11.389685767955024"/>
    <n v="13.746025598144607"/>
    <n v="8.5727633313721761"/>
    <n v="9.9622702571548665"/>
    <e v="#N/A"/>
    <e v="#N/A"/>
    <e v="#N/A"/>
    <m/>
    <n v="45"/>
    <n v="10.198179104035928"/>
  </r>
  <r>
    <s v="ODB"/>
    <x v="10"/>
    <x v="0"/>
    <n v="10.13313848500958"/>
    <n v="60.861121340104368"/>
    <n v="29.005740174885965"/>
    <n v="1.5138815076595336"/>
    <n v="1.4754987622217655"/>
    <m/>
    <n v="2.5679399723402989E-2"/>
    <n v="1.4946901349406496"/>
    <n v="1.4946901349406496"/>
    <n v="1.4946901349406496"/>
    <n v="1.2598108464117843"/>
    <n v="1.8146666666666667"/>
    <n v="0.14445666666666668"/>
    <n v="1.9358"/>
    <n v="0.16002"/>
    <n v="0.12113333333333332"/>
    <n v="1.5563333333333318E-2"/>
    <n v="0.13908372827804102"/>
    <n v="0.25419436530547646"/>
    <n v="7.7698106641753046"/>
    <n v="29.588112547759213"/>
    <n v="21.818301883583906"/>
    <n v="0.11511063702743543"/>
    <n v="0.20788707658795377"/>
    <n v="0.37994181017959539"/>
    <n v="0.17205473359164161"/>
    <n v="0.13876040703052731"/>
    <n v="0.14000000000000001"/>
    <n v="0.26911890504704883"/>
    <n v="4.2513721862473028"/>
    <n v="11.352500000000003"/>
    <n v="5.7110350727117201"/>
    <n v="5.5158707215541174"/>
    <n v="11.605675000000003"/>
    <n v="6.3085785571713719"/>
    <n v="0.13035849801652152"/>
    <n v="0.12911890504704882"/>
    <n v="1.4596628864644172"/>
    <n v="-5.6414649272882826"/>
    <n v="0.79270783561725455"/>
    <n v="-5.2970964428286313"/>
    <n v="0.43596598681484922"/>
    <n v="0.52459968059932671"/>
    <n v="0.3386423162201031"/>
    <n v="0.34899765348711154"/>
    <n v="0.18469693169348728"/>
    <n v="0.18121971206228882"/>
    <n v="0.15394538452661582"/>
    <n v="0.16777794142482272"/>
    <n v="3.0416830465827906E-2"/>
    <n v="8.4491195738410851E-2"/>
    <n v="9.7323670594746114E-2"/>
    <n v="88.814978873750249"/>
    <n v="51.225890085860982"/>
    <n v="0.25038459383046863"/>
    <n v="0.28137458797518666"/>
    <n v="8.8502115118159877E-2"/>
    <n v="9.4145920495993268E-2"/>
    <n v="0.12970800215933764"/>
    <n v="-5.1115239783922179"/>
    <n v="0.16"/>
    <n v="0.34"/>
    <n v="0.18000000000000002"/>
    <n v="0.22"/>
    <n v="0.34"/>
    <n v="0.12"/>
    <n v="0.1779670493332188"/>
    <n v="0.36676722387010302"/>
    <n v="0.18880017453688422"/>
    <n v="0.16"/>
    <n v="0.28000000000000003"/>
    <n v="0.12000000000000002"/>
    <n v="0.12342807853681628"/>
    <n v="0.30781252244935786"/>
    <n v="0.18438444391254158"/>
    <n v="4"/>
    <n v="121.92"/>
    <n v="5"/>
    <n v="152.4"/>
    <n v="18.453505937153533"/>
    <n v="18.861045416919733"/>
    <n v="23.066882421441914"/>
    <n v="23.576306771149667"/>
    <n v="0.21383786227499033"/>
    <n v="0.22708248799258265"/>
    <n v="0.200593236557398"/>
    <n v="0.12"/>
    <n v="150"/>
    <n v="27.522005802982498"/>
  </r>
  <r>
    <s v="ODB"/>
    <x v="10"/>
    <x v="1"/>
    <n v="9.6360655402434503"/>
    <n v="59.036666132655498"/>
    <n v="31.327268327100999"/>
    <n v="1.3791365750449205"/>
    <n v="1.5262865310008578"/>
    <n v="1.3337554372695106"/>
    <n v="-0.1012933060590995"/>
    <n v="1.4130595144384295"/>
    <n v="1.4527115530228891"/>
    <n v="1.4527115530228891"/>
    <n v="1.2396585885712135"/>
    <n v="1.8617999999999999"/>
    <n v="0.13166"/>
    <n v="1.9393"/>
    <n v="0.13766999999999999"/>
    <n v="7.7500000000000124E-2"/>
    <n v="6.0099999999999876E-3"/>
    <n v="0.15574131104267494"/>
    <m/>
    <n v="7.0554901438894921"/>
    <m/>
    <s v=""/>
    <s v=""/>
    <n v="0.22624720183462516"/>
    <s v=""/>
    <s v=""/>
    <n v="0.15596330275229378"/>
    <n v="0.15260211486626579"/>
    <n v="0.32338200043582488"/>
    <n v="1.05"/>
    <n v="1.7096931370516275"/>
    <n v="5.447922568460811"/>
    <n v="1.1294724770642202"/>
    <n v="1.7289031722993986"/>
    <n v="5.6899911927071969"/>
    <n v="0.1674186976835311"/>
    <n v="0.17077988556955909"/>
    <n v="4.3979225684608112"/>
    <n v="3.7382294314091835"/>
    <n v="4.560518715642977"/>
    <n v="3.9610880204077983"/>
    <n v="0.4518069611234381"/>
    <n v="0.53220430619954207"/>
    <n v="0.35076678723155902"/>
    <n v="0.35903023993358901"/>
    <n v="0.19511976009961907"/>
    <n v="0.19038159606897775"/>
    <n v="0.15564702713193995"/>
    <n v="0.16864864386461126"/>
    <n v="3.3602001584190286E-2"/>
    <n v="9.3338893289417468E-2"/>
    <n v="0.10104017389187908"/>
    <n v="84.42994390529627"/>
    <n v="51.146439013961945"/>
    <n v="0.24264380142009542"/>
    <n v="0.27358675907244684"/>
    <n v="9.3032582478236966E-2"/>
    <n v="9.8781011911553807E-2"/>
    <n v="0.11072711205459054"/>
    <n v="-5.4200474798437206"/>
    <n v="0.17"/>
    <n v="0.35"/>
    <n v="0.17999999999999997"/>
    <n v="0.21"/>
    <n v="0.33"/>
    <n v="0.12"/>
    <n v="0.16821962261191484"/>
    <n v="0.35623059980874516"/>
    <n v="0.18801097719683033"/>
    <n v="0.15"/>
    <n v="0.28000000000000003"/>
    <n v="0.13000000000000003"/>
    <n v="0.11874872426623576"/>
    <n v="0.30275430573137457"/>
    <n v="0.18400558146513882"/>
    <n v="4"/>
    <n v="121.92"/>
    <n v="5"/>
    <n v="152.4"/>
    <n v="18.453505937153533"/>
    <n v="18.861045416919733"/>
    <n v="23.066882421441914"/>
    <n v="23.576306771149667"/>
    <n v="0.21738664862059956"/>
    <n v="0.15660698759187375"/>
    <n v="0.22609870994745893"/>
    <n v="0.15"/>
    <n v="150"/>
    <n v="27.522005802982498"/>
  </r>
  <r>
    <s v="ODB"/>
    <x v="10"/>
    <x v="2"/>
    <n v="9.1743246187742091"/>
    <n v="59.661124811072497"/>
    <n v="31.164550570153299"/>
    <n v="1.3145509478971136"/>
    <n v="1.3609278796223963"/>
    <n v="1.4905324205750317"/>
    <n v="-3.4668135847877118E-2"/>
    <n v="1.3377394137597549"/>
    <n v="1.3377394137597549"/>
    <n v="1.3377394137597549"/>
    <n v="1.0143364515457429"/>
    <n v="1.7977000000000001"/>
    <n v="0.12723000000000001"/>
    <n v="1.7922"/>
    <n v="0.13627"/>
    <n v="-5.5000000000000604E-3"/>
    <n v="9.0399999999999925E-3"/>
    <n v="0.164210679894952"/>
    <n v="0.32292490118577083"/>
    <n v="5.9566056213544183"/>
    <n v="24.661327755234126"/>
    <n v="18.704722133879706"/>
    <n v="0.15871422129081883"/>
    <n v="0.21967109865576387"/>
    <n v="0.43198936800067983"/>
    <n v="0.21231826934491596"/>
    <n v="0.13251389122747945"/>
    <n v="0.15640973216111206"/>
    <n v="0.37262643354013897"/>
    <n v="0.49547482741202226"/>
    <n v="1.1130443672050703"/>
    <n v="4.3580889264899421"/>
    <n v="0.58277277319414045"/>
    <n v="1.235431063858788"/>
    <n v="4.7904662530550857"/>
    <n v="0.24011254231265952"/>
    <n v="0.2162167013790269"/>
    <n v="3.8626140990779199"/>
    <n v="3.2450445592848718"/>
    <n v="4.2076934798609456"/>
    <n v="3.5550351891962979"/>
    <n v="0.49519267405292267"/>
    <n v="0.61723152771858758"/>
    <n v="0.3561508994428032"/>
    <n v="0.36755788555206187"/>
    <n v="0.19190807956310224"/>
    <n v="0.189033047409082"/>
    <n v="0.16424281987970096"/>
    <n v="0.17852483814297987"/>
    <n v="8.2303081946554849E-2"/>
    <n v="0.22861967207376346"/>
    <n v="0.13904177461011946"/>
    <n v="64.201597807090309"/>
    <n v="33.810397502584934"/>
    <n v="0.26165140203247411"/>
    <n v="0.29000256831456317"/>
    <n v="9.6117883018454156E-2"/>
    <n v="0.10086544650939805"/>
    <n v="0.11388482846545614"/>
    <n v="-5.387516440270864"/>
    <n v="0.17"/>
    <n v="0.35"/>
    <n v="0.17999999999999997"/>
    <n v="0.18"/>
    <n v="0.3"/>
    <n v="0.12"/>
    <n v="0.14152309187501508"/>
    <n v="0.32737259285369846"/>
    <n v="0.18584950097868339"/>
    <n v="0.09"/>
    <n v="0.23"/>
    <n v="0.14000000000000001"/>
    <n v="6.6428924048921506E-2"/>
    <n v="0.24619844933798149"/>
    <n v="0.17976952528905998"/>
    <n v="4"/>
    <n v="121.92"/>
    <n v="5"/>
    <n v="152.4"/>
    <n v="18.453505937153533"/>
    <n v="18.861045416919733"/>
    <n v="23.066882421441914"/>
    <n v="23.576306771149667"/>
    <e v="#N/A"/>
    <e v="#N/A"/>
    <e v="#N/A"/>
    <m/>
    <n v="150"/>
    <n v="27.522005802982498"/>
  </r>
  <r>
    <s v="ODB"/>
    <x v="10"/>
    <x v="3"/>
    <n v="10.5489605671428"/>
    <n v="64.571601409699198"/>
    <n v="24.879438023158002"/>
    <m/>
    <n v="1.7766300803256982"/>
    <n v="1.349410114016611"/>
    <s v=""/>
    <m/>
    <n v="1.7766300803256982"/>
    <n v="1.7766300803256982"/>
    <m/>
    <n v="0.96962000000000004"/>
    <n v="7.5770000000000004E-2"/>
    <n v="1.0382"/>
    <n v="9.2350000000000002E-2"/>
    <n v="6.8579999999999974E-2"/>
    <n v="1.6579999999999998E-2"/>
    <n v="0.17856898126998622"/>
    <n v="0.35032626427406216"/>
    <n v="14.039319563874434"/>
    <n v="28.052475933840224"/>
    <n v="14.01315636996579"/>
    <n v="0.17175728300407594"/>
    <n v="0.31725102353737372"/>
    <n v="0.62240017903742884"/>
    <n v="0.30514915550005511"/>
    <n v="0.16966625895509335"/>
    <n v="0.15502183406113557"/>
    <n v="0.428900041823505"/>
    <n v="0.41913040945890839"/>
    <n v="1.4389647016011649"/>
    <n v="2.3219625679631957"/>
    <n v="0.55412939017997542"/>
    <n v="1.5029721615720528"/>
    <n v="2.9292450857381853"/>
    <n v="0.25923378286841164"/>
    <n v="0.27387820776236943"/>
    <n v="1.9028321585042873"/>
    <n v="0.88299786636203081"/>
    <n v="2.3751156955582098"/>
    <n v="1.4262729241661325"/>
    <n v="0.32957355459407611"/>
    <s v=""/>
    <n v="0.29379013666648307"/>
    <s v=""/>
    <n v="0.16219538338999143"/>
    <s v=""/>
    <n v="0.13159475327649164"/>
    <s v=""/>
    <n v="4.6206371457874753E-3"/>
    <n v="1.2835103182742986E-2"/>
    <n v="3.5783417927593042E-2"/>
    <n v="175.43857906088294"/>
    <s v=""/>
    <n v="0.23808015929718884"/>
    <s v=""/>
    <n v="7.3343305652307109E-2"/>
    <s v=""/>
    <n v="0.17505606664280748"/>
    <n v="-4.6106078437372373"/>
    <n v="0.14000000000000001"/>
    <n v="0.32"/>
    <n v="0.18"/>
    <n v="0.3"/>
    <n v="0.3"/>
    <n v="0"/>
    <n v="0.24343350465162714"/>
    <n v="0.29957355459407609"/>
    <n v="5.614004994244895E-2"/>
    <s v=""/>
    <s v=""/>
    <s v=""/>
    <s v=""/>
    <s v=""/>
    <s v=""/>
    <n v="4"/>
    <n v="121.92"/>
    <n v="5"/>
    <n v="152.4"/>
    <n v="18.453505937153533"/>
    <n v="18.861045416919733"/>
    <n v="23.066882421441914"/>
    <n v="23.576306771149667"/>
    <n v="0.22850943805715976"/>
    <n v="0.19574075947694491"/>
    <n v="0.28826113151940813"/>
    <n v="0.11999999999999997"/>
    <n v="150"/>
    <n v="27.522005802982498"/>
  </r>
  <r>
    <s v="ODB"/>
    <x v="10"/>
    <x v="4"/>
    <n v="12.5560298290945"/>
    <n v="68.990644146658497"/>
    <n v="18.453326024247001"/>
    <m/>
    <m/>
    <m/>
    <s v=""/>
    <m/>
    <e v="#DIV/0!"/>
    <m/>
    <m/>
    <n v="0.50863000000000003"/>
    <n v="3.8199999999999998E-2"/>
    <n v="0.6321"/>
    <n v="5.638E-2"/>
    <n v="0.12346999999999997"/>
    <n v="1.8180000000000002E-2"/>
    <n v="0.19117506909368154"/>
    <m/>
    <m/>
    <m/>
    <s v=""/>
    <s v=""/>
    <s v=""/>
    <s v=""/>
    <s v=""/>
    <n v="0.14412136536030346"/>
    <n v="0.16200000000000001"/>
    <n v="0.33948397185301005"/>
    <n v="0.87715971344289934"/>
    <n v="1.6848999999999998"/>
    <n v="2.3217722178785509"/>
    <n v="1.0907290349768226"/>
    <n v="1.8093308333333331"/>
    <n v="3.047326035965598"/>
    <n v="0.19536260649270659"/>
    <n v="0.17748397185301004"/>
    <n v="1.4446125044356517"/>
    <n v="0.63687221787855108"/>
    <n v="1.9565970009887754"/>
    <n v="1.2379952026322649"/>
    <s v=""/>
    <s v=""/>
    <s v=""/>
    <s v=""/>
    <s v=""/>
    <s v=""/>
    <s v=""/>
    <s v=""/>
    <m/>
    <m/>
    <s v=""/>
    <s v=""/>
    <s v=""/>
    <s v=""/>
    <s v=""/>
    <s v=""/>
    <s v=""/>
    <m/>
    <m/>
    <m/>
    <m/>
    <s v=""/>
    <s v=""/>
    <s v=""/>
    <s v=""/>
    <s v=""/>
    <s v=""/>
    <s v=""/>
    <s v=""/>
    <s v=""/>
    <s v=""/>
    <s v=""/>
    <s v=""/>
    <s v=""/>
    <n v="4"/>
    <n v="121.92"/>
    <n v="5"/>
    <n v="152.4"/>
    <n v="18.453505937153533"/>
    <n v="18.861045416919733"/>
    <n v="23.066882421441914"/>
    <n v="23.576306771149667"/>
    <e v="#N/A"/>
    <e v="#N/A"/>
    <e v="#N/A"/>
    <n v="0.15"/>
    <n v="150"/>
    <n v="27.522005802982498"/>
  </r>
  <r>
    <s v="ODB"/>
    <x v="11"/>
    <x v="0"/>
    <n v="7.5228428700930863"/>
    <n v="60.1404712513934"/>
    <n v="32.336685878513499"/>
    <n v="1.3152157686865273"/>
    <n v="1.2931978186603454"/>
    <n v="1.2889784574561129"/>
    <n v="1.6882253744566082E-2"/>
    <n v="1.2991306816009953"/>
    <n v="1.3042067936734365"/>
    <n v="1.3042067936734365"/>
    <n v="1.2328981876320091"/>
    <n v="1.2111366666666668"/>
    <n v="0.10285333333333334"/>
    <n v="1.4038999999999999"/>
    <n v="0.11871"/>
    <n v="0.19276333333333318"/>
    <n v="1.5856666666666658E-2"/>
    <n v="0.12371439141694413"/>
    <m/>
    <n v="6.9155379995448065"/>
    <m/>
    <s v=""/>
    <s v=""/>
    <n v="0.16134914976115322"/>
    <s v=""/>
    <s v=""/>
    <m/>
    <n v="0.11887044457164643"/>
    <n v="0.26045662100456635"/>
    <m/>
    <n v="6.247026648858359"/>
    <n v="4.9052770167427715"/>
    <m/>
    <n v="6.9183489156013467"/>
    <n v="6.8537328767123302"/>
    <s v=""/>
    <n v="0.14158617643291993"/>
    <s v=""/>
    <n v="-1.3417496321155875"/>
    <s v=""/>
    <n v="-6.4616038889016458E-2"/>
    <n v="0.5078464929534201"/>
    <n v="0.53475540089358153"/>
    <n v="0.36434597798375495"/>
    <n v="0.3664421246833468"/>
    <n v="0.19686884706926608"/>
    <n v="0.1951749607556279"/>
    <n v="0.16747713091448888"/>
    <n v="0.1712671639277189"/>
    <n v="9.0014626448629037E-2"/>
    <n v="0.25004062902396956"/>
    <n v="0.14350051496966515"/>
    <n v="62.885297086326602"/>
    <n v="53.75394319345358"/>
    <n v="0.2602769552741247"/>
    <n v="0.26989405789413434"/>
    <n v="9.8376450895700254E-2"/>
    <n v="0.10009883017086502"/>
    <n v="0.10981728547015425"/>
    <n v="-5.5251264161511724"/>
    <n v="0.18"/>
    <n v="0.36"/>
    <n v="0.18"/>
    <n v="0.17"/>
    <n v="0.28999999999999998"/>
    <n v="0.12"/>
    <n v="0.13373681749097197"/>
    <n v="0.31895590521203254"/>
    <n v="0.18521908772106058"/>
    <n v="0.15"/>
    <n v="0.28000000000000003"/>
    <n v="0.13000000000000003"/>
    <n v="0.11717895916815249"/>
    <n v="0.30105744509563426"/>
    <n v="0.18387848592748177"/>
    <n v="5"/>
    <n v="152.4"/>
    <n v="5"/>
    <n v="152.4"/>
    <n v="23.620176004880857"/>
    <n v="28.446521676601446"/>
    <n v="23.620176004880857"/>
    <n v="28.446521676601446"/>
    <n v="0.16587367534901443"/>
    <n v="0.15889469993525288"/>
    <n v="0.17285265076277595"/>
    <n v="0.06"/>
    <n v="110"/>
    <n v="24.148882529762332"/>
  </r>
  <r>
    <s v="ODB"/>
    <x v="11"/>
    <x v="1"/>
    <n v="7.4437633474437099"/>
    <n v="53.0609560663586"/>
    <n v="39.495280586197701"/>
    <n v="1.3529364326726183"/>
    <n v="1.0686258098688146"/>
    <n v="1.518618752386006"/>
    <n v="0.23481587035765747"/>
    <n v="1.2107811212707165"/>
    <n v="1.2107811212707165"/>
    <n v="1.2107811212707165"/>
    <n v="1.2431401029513485"/>
    <n v="0.51383000000000001"/>
    <n v="4.8579999999999998E-2"/>
    <n v="0.48953999999999998"/>
    <n v="5.525E-2"/>
    <n v="-2.4290000000000034E-2"/>
    <n v="6.6700000000000023E-3"/>
    <n v="0.15356732384404539"/>
    <n v="0.22977725674091454"/>
    <n v="1.3073751593711793"/>
    <n v="6.2525009476668547"/>
    <n v="4.945125788295675"/>
    <n v="7.6209932896869143E-2"/>
    <n v="0.18593641655443652"/>
    <n v="0.27820996455927377"/>
    <n v="9.2273548004837253E-2"/>
    <m/>
    <n v="0.14181204276871137"/>
    <n v="0.24801362088535753"/>
    <m/>
    <n v="1.1513271431251171"/>
    <n v="4.5656498297389332"/>
    <m/>
    <n v="1.1513271431251171"/>
    <n v="5.5848609534619751"/>
    <s v=""/>
    <n v="0.10620157811664616"/>
    <s v=""/>
    <n v="3.4143226866138159"/>
    <s v=""/>
    <n v="4.4335338103368578"/>
    <n v="0.54310146367142775"/>
    <n v="0.53089052718817031"/>
    <n v="0.39283956613223986"/>
    <n v="0.39221665419007784"/>
    <n v="0.22285965588946532"/>
    <n v="0.22426545182041446"/>
    <n v="0.16997991024277453"/>
    <n v="0.16795120236966338"/>
    <n v="0.11797907240991146"/>
    <n v="0.32771964558308742"/>
    <n v="0.15026189753918789"/>
    <n v="56.565010289696886"/>
    <n v="61.082406455385907"/>
    <n v="0.24245343088500981"/>
    <n v="0.23700208329139832"/>
    <n v="0.11123744778158119"/>
    <n v="0.11008023883105411"/>
    <n v="6.4857936908802649E-2"/>
    <n v="-6.6791718488676626"/>
    <n v="0.22"/>
    <n v="0.39"/>
    <n v="0.17"/>
    <n v="0.14000000000000001"/>
    <n v="0.27"/>
    <n v="0.13"/>
    <n v="0.11204337635906034"/>
    <n v="0.29550606143894981"/>
    <n v="0.18346268507988947"/>
    <n v="0.15"/>
    <n v="0.28000000000000003"/>
    <n v="0.13000000000000003"/>
    <n v="0.11955713190530312"/>
    <n v="0.30362816584078844"/>
    <n v="0.18407103393548532"/>
    <n v="5"/>
    <n v="152.4"/>
    <n v="5"/>
    <n v="152.4"/>
    <n v="23.620176004880857"/>
    <n v="28.446521676601446"/>
    <n v="23.620176004880857"/>
    <n v="28.446521676601446"/>
    <n v="0.12470867497949382"/>
    <n v="0.1074271129418894"/>
    <n v="0.12751133863157124"/>
    <n v="0.1"/>
    <n v="110"/>
    <n v="24.148882529762332"/>
  </r>
  <r>
    <s v="ODB"/>
    <x v="11"/>
    <x v="2"/>
    <n v="7.0225519069109898"/>
    <n v="54.913943585052301"/>
    <n v="38.063504508036701"/>
    <n v="1.4522995343865917"/>
    <n v="0.9060200985895297"/>
    <n v="1.5112518456814883"/>
    <n v="0.46327853795431068"/>
    <n v="1.48177569003404"/>
    <n v="1.1791598164880606"/>
    <n v="1.48177569003404"/>
    <n v="1.3201202542454495"/>
    <n v="0.33473000000000003"/>
    <n v="3.456E-2"/>
    <n v="0.36990000000000001"/>
    <n v="5.2319999999999998E-2"/>
    <n v="3.5169999999999979E-2"/>
    <n v="1.7759999999999998E-2"/>
    <n v="0.15562221616216684"/>
    <n v="0.23052520267888638"/>
    <n v="2.8286074775096375"/>
    <n v="5.3331775896933999"/>
    <n v="2.5045701121837625"/>
    <n v="7.4902986516719533E-2"/>
    <n v="0.23059721673832131"/>
    <n v="0.34158664126974381"/>
    <n v="0.11098942453142249"/>
    <m/>
    <n v="0.13359956434924669"/>
    <n v="0.23231197771587725"/>
    <m/>
    <n v="0.79351969504447273"/>
    <n v="3.085914577530176"/>
    <m/>
    <n v="1.1340718975010589"/>
    <n v="3.3205673166202407"/>
    <s v=""/>
    <n v="9.8712413366630558E-2"/>
    <s v=""/>
    <n v="2.292394882485703"/>
    <s v=""/>
    <n v="2.1864954191191819"/>
    <n v="0.4408393622513056"/>
    <n v="0.50184141349228317"/>
    <n v="0.37568761653808219"/>
    <n v="0.38553598955429047"/>
    <n v="0.23020799029846328"/>
    <n v="0.22211012560855437"/>
    <n v="0.14547962623961891"/>
    <n v="0.16342586394573611"/>
    <n v="1.1245637930125891E-2"/>
    <n v="3.1237883139238583E-2"/>
    <n v="6.5151745713223408E-2"/>
    <n v="111.42347092551817"/>
    <n v="72.607364128263839"/>
    <n v="0.19362025084318685"/>
    <n v="0.22930145380328301"/>
    <n v="9.7207257470211528E-2"/>
    <n v="0.10531912457043494"/>
    <n v="7.3030907805765724E-2"/>
    <n v="-6.4218032957064333"/>
    <n v="0.21"/>
    <n v="0.39"/>
    <n v="0.18000000000000002"/>
    <n v="0.22"/>
    <n v="0.33"/>
    <n v="0.11"/>
    <n v="0.17496831522590409"/>
    <n v="0.36352569819854402"/>
    <n v="0.18855738297263994"/>
    <n v="0.17"/>
    <n v="0.3"/>
    <n v="0.12999999999999998"/>
    <n v="0.13743192303579335"/>
    <n v="0.32295018381560781"/>
    <n v="0.18551826077981445"/>
    <n v="5"/>
    <n v="152.4"/>
    <n v="5"/>
    <n v="152.4"/>
    <n v="23.620176004880857"/>
    <n v="28.446521676601446"/>
    <n v="23.620176004880857"/>
    <n v="28.446521676601446"/>
    <n v="0.12735837377059067"/>
    <n v="9.4350551821787601E-2"/>
    <n v="0.12619112588163964"/>
    <n v="0.1"/>
    <n v="110"/>
    <n v="24.148882529762332"/>
  </r>
  <r>
    <s v="ODB"/>
    <x v="11"/>
    <x v="3"/>
    <n v="6.81608800742461"/>
    <n v="54.188749545311097"/>
    <n v="38.995162447264299"/>
    <n v="1.5852135841911683"/>
    <n v="1.1259455385062458"/>
    <m/>
    <n v="0.33879829615311019"/>
    <m/>
    <n v="1.3555795613487072"/>
    <n v="1.3555795613487072"/>
    <m/>
    <m/>
    <m/>
    <n v="0.30002000000000001"/>
    <n v="4.3580000000000001E-2"/>
    <s v=""/>
    <s v=""/>
    <n v="0.14560118858113127"/>
    <n v="0.22207534699272963"/>
    <n v="5.7145675755764538"/>
    <n v="8.0261945230337002"/>
    <n v="2.3116269474572464"/>
    <n v="7.6474158411598353E-2"/>
    <n v="0.19737399534866032"/>
    <n v="0.30104080146276635"/>
    <n v="0.10366680611410603"/>
    <m/>
    <n v="0.16657276995305145"/>
    <n v="0.22248017024569547"/>
    <m/>
    <n v="1.3658622848200312"/>
    <n v="0.83026778229186826"/>
    <m/>
    <n v="1.4864081377151799"/>
    <n v="0.89648545818017678"/>
    <s v=""/>
    <n v="5.5907400292644016E-2"/>
    <s v=""/>
    <n v="-0.53559450252816299"/>
    <s v=""/>
    <n v="-0.5899226795350031"/>
    <n v="0.48846054288728025"/>
    <s v=""/>
    <n v="0.38772102475223991"/>
    <s v=""/>
    <n v="0.22820468964325369"/>
    <s v=""/>
    <n v="0.15951633510898622"/>
    <s v=""/>
    <n v="3.4787952157757526E-2"/>
    <n v="9.6633200438215341E-2"/>
    <n v="0.10073951813504034"/>
    <n v="81.212049227929512"/>
    <s v=""/>
    <n v="0.21708119896601022"/>
    <s v=""/>
    <n v="0.10454527457615115"/>
    <s v=""/>
    <n v="6.8612100429665271E-2"/>
    <n v="-6.5789012576524613"/>
    <n v="0.22"/>
    <n v="0.39"/>
    <n v="0.17"/>
    <n v="0.18"/>
    <n v="0.31"/>
    <n v="0.13"/>
    <n v="0.14566557414516981"/>
    <n v="0.33185046989852546"/>
    <n v="0.18618489575335564"/>
    <s v=""/>
    <s v=""/>
    <s v=""/>
    <s v=""/>
    <s v=""/>
    <s v=""/>
    <n v="5"/>
    <n v="152.4"/>
    <n v="5"/>
    <n v="152.4"/>
    <n v="23.620176004880857"/>
    <n v="28.446521676601446"/>
    <n v="23.620176004880857"/>
    <n v="28.446521676601446"/>
    <n v="9.93896145188706E-2"/>
    <n v="5.8720582924006004E-2"/>
    <n v="0.10366680611410606"/>
    <n v="0.22999999999999998"/>
    <n v="110"/>
    <n v="24.148882529762332"/>
  </r>
  <r>
    <s v="ODB"/>
    <x v="11"/>
    <x v="4"/>
    <n v="8.2118354077715203"/>
    <n v="52.815276434130901"/>
    <n v="38.972888158097597"/>
    <n v="1.7315468345646017"/>
    <n v="1.3706638444301393"/>
    <m/>
    <n v="0.23266181924910725"/>
    <m/>
    <n v="1.5511053394973704"/>
    <n v="1.5511053394973704"/>
    <m/>
    <n v="0.24253"/>
    <n v="2.1080000000000002E-2"/>
    <m/>
    <m/>
    <s v=""/>
    <s v=""/>
    <n v="0.15751934235976794"/>
    <n v="0.2139973082099596"/>
    <n v="6.3188830663079614"/>
    <n v="5.8636068725221193"/>
    <n v="-0.45527619378584205"/>
    <n v="5.6477965850191658E-2"/>
    <n v="0.24432909300835037"/>
    <n v="0.33193236740253279"/>
    <n v="8.7603274394182418E-2"/>
    <m/>
    <n v="0.18603833304026723"/>
    <m/>
    <m/>
    <n v="1.3935950413223139"/>
    <m/>
    <m/>
    <n v="1.4696991676923978"/>
    <m/>
    <s v=""/>
    <s v=""/>
    <s v=""/>
    <s v=""/>
    <s v=""/>
    <s v=""/>
    <n v="0.4146772303783508"/>
    <s v=""/>
    <n v="0.3694071227825248"/>
    <s v=""/>
    <n v="0.23691996764794532"/>
    <s v=""/>
    <n v="0.13248715513457948"/>
    <s v=""/>
    <n v="4.9656897990458058E-3"/>
    <n v="1.3793582775127237E-2"/>
    <n v="4.5270107595826004E-2"/>
    <n v="136.05882967233148"/>
    <s v=""/>
    <n v="0.17157063150055452"/>
    <s v=""/>
    <n v="9.36637393133785E-2"/>
    <s v=""/>
    <n v="6.5683099958596766E-2"/>
    <n v="-6.6034901974485285"/>
    <n v="0.22"/>
    <n v="0.39"/>
    <n v="0.17"/>
    <n v="0.24"/>
    <n v="0.35"/>
    <n v="0.11"/>
    <n v="0.19106665983128937"/>
    <n v="0.38092744021383995"/>
    <n v="0.18986078038255058"/>
    <s v=""/>
    <s v=""/>
    <s v=""/>
    <s v=""/>
    <s v=""/>
    <s v=""/>
    <n v="5"/>
    <n v="152.4"/>
    <n v="5"/>
    <n v="152.4"/>
    <n v="23.620176004880857"/>
    <n v="28.446521676601446"/>
    <n v="23.620176004880857"/>
    <n v="28.446521676601446"/>
    <e v="#N/A"/>
    <e v="#N/A"/>
    <e v="#N/A"/>
    <m/>
    <n v="110"/>
    <n v="24.14888252976233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26">
  <r>
    <x v="0"/>
    <x v="0"/>
    <x v="0"/>
    <n v="39.1"/>
    <n v="466413.66"/>
    <n v="5182371.3600000003"/>
  </r>
  <r>
    <x v="0"/>
    <x v="0"/>
    <x v="1"/>
    <n v="41.246499999999997"/>
    <n v="466493.66"/>
    <n v="5182421.3600000003"/>
  </r>
  <r>
    <x v="0"/>
    <x v="0"/>
    <x v="2"/>
    <n v="17.642600000000002"/>
    <n v="466373.66"/>
    <n v="5182241.3600000003"/>
  </r>
  <r>
    <x v="0"/>
    <x v="0"/>
    <x v="3"/>
    <n v="30.5152"/>
    <n v="466233.66"/>
    <n v="5182211.3600000003"/>
  </r>
  <r>
    <x v="0"/>
    <x v="0"/>
    <x v="4"/>
    <n v="17.4221"/>
    <n v="466273.66"/>
    <n v="5182151.3600000003"/>
  </r>
  <r>
    <x v="0"/>
    <x v="0"/>
    <x v="5"/>
    <n v="20.7699"/>
    <n v="466363.66"/>
    <n v="5182131.3600000003"/>
  </r>
  <r>
    <x v="0"/>
    <x v="0"/>
    <x v="6"/>
    <n v="26.6892"/>
    <n v="466393.66"/>
    <n v="5182061.3600000003"/>
  </r>
  <r>
    <x v="0"/>
    <x v="0"/>
    <x v="7"/>
    <n v="32.1006"/>
    <n v="466423.66"/>
    <n v="5182161.3600000003"/>
  </r>
  <r>
    <x v="0"/>
    <x v="0"/>
    <x v="8"/>
    <n v="29.983699999999999"/>
    <n v="466463.66"/>
    <n v="5182181.3600000003"/>
  </r>
  <r>
    <x v="0"/>
    <x v="0"/>
    <x v="9"/>
    <n v="23.362400000000001"/>
    <n v="466493.66"/>
    <n v="5182251.3600000003"/>
  </r>
  <r>
    <x v="0"/>
    <x v="0"/>
    <x v="10"/>
    <n v="23.506699999999999"/>
    <n v="466493.66"/>
    <n v="5182281.3600000003"/>
  </r>
  <r>
    <x v="0"/>
    <x v="0"/>
    <x v="11"/>
    <n v="17.7301"/>
    <n v="466553.66"/>
    <n v="5182171.3600000003"/>
  </r>
  <r>
    <x v="0"/>
    <x v="0"/>
    <x v="12"/>
    <n v="18.890499999999999"/>
    <n v="466323.66"/>
    <n v="5182201.3600000003"/>
  </r>
  <r>
    <x v="0"/>
    <x v="0"/>
    <x v="13"/>
    <n v="23.834599999999998"/>
    <n v="466603.66"/>
    <n v="5182231.3600000003"/>
  </r>
  <r>
    <x v="0"/>
    <x v="0"/>
    <x v="14"/>
    <n v="18.323"/>
    <n v="466483.66"/>
    <n v="5182081.3600000003"/>
  </r>
  <r>
    <x v="0"/>
    <x v="0"/>
    <x v="15"/>
    <n v="24.743400000000001"/>
    <n v="466153.66"/>
    <n v="5182151.3600000003"/>
  </r>
  <r>
    <x v="0"/>
    <x v="0"/>
    <x v="16"/>
    <n v="0"/>
    <n v="466193.66"/>
    <n v="5182091.3600000003"/>
  </r>
  <r>
    <x v="0"/>
    <x v="0"/>
    <x v="17"/>
    <n v="32.672199999999997"/>
    <n v="466533.66"/>
    <n v="5182351.3600000003"/>
  </r>
  <r>
    <x v="0"/>
    <x v="0"/>
    <x v="18"/>
    <n v="34.330199999999998"/>
    <n v="466303.66"/>
    <n v="5182261.3600000003"/>
  </r>
  <r>
    <x v="0"/>
    <x v="0"/>
    <x v="19"/>
    <n v="25.3886"/>
    <n v="466313.66"/>
    <n v="5182341.3600000003"/>
  </r>
  <r>
    <x v="0"/>
    <x v="0"/>
    <x v="20"/>
    <n v="26.181699999999999"/>
    <n v="466213.66"/>
    <n v="5182281.3600000003"/>
  </r>
  <r>
    <x v="0"/>
    <x v="0"/>
    <x v="21"/>
    <n v="20.462199999999999"/>
    <n v="466153.66"/>
    <n v="5182231.3600000003"/>
  </r>
  <r>
    <x v="0"/>
    <x v="0"/>
    <x v="22"/>
    <n v="0"/>
    <n v="466593.66"/>
    <n v="5182311.3600000003"/>
  </r>
  <r>
    <x v="0"/>
    <x v="0"/>
    <x v="23"/>
    <n v="27.546600000000002"/>
    <n v="466283.66"/>
    <n v="5182051.3600000003"/>
  </r>
  <r>
    <x v="0"/>
    <x v="0"/>
    <x v="24"/>
    <n v="21.829899999999999"/>
    <n v="466413.66"/>
    <n v="5182441.3600000003"/>
  </r>
  <r>
    <x v="0"/>
    <x v="0"/>
    <x v="25"/>
    <n v="21.5472"/>
    <n v="466493.66"/>
    <n v="5182501.3600000003"/>
  </r>
  <r>
    <x v="0"/>
    <x v="0"/>
    <x v="26"/>
    <n v="27.835100000000001"/>
    <n v="466423.66"/>
    <n v="5182291.3600000003"/>
  </r>
  <r>
    <x v="0"/>
    <x v="0"/>
    <x v="27"/>
    <n v="19.1861"/>
    <n v="466613.66"/>
    <n v="5182171.3600000003"/>
  </r>
  <r>
    <x v="0"/>
    <x v="0"/>
    <x v="28"/>
    <n v="17.707100000000001"/>
    <n v="466643.66"/>
    <n v="5182271.3600000003"/>
  </r>
  <r>
    <x v="0"/>
    <x v="0"/>
    <x v="29"/>
    <n v="26.211600000000001"/>
    <n v="466333.66"/>
    <n v="5182021.3600000003"/>
  </r>
  <r>
    <x v="0"/>
    <x v="0"/>
    <x v="30"/>
    <n v="19.756799999999998"/>
    <n v="466463.66"/>
    <n v="5182341.3600000003"/>
  </r>
  <r>
    <x v="0"/>
    <x v="0"/>
    <x v="31"/>
    <n v="24.7454"/>
    <n v="466123.66"/>
    <n v="5182111.3600000003"/>
  </r>
  <r>
    <x v="0"/>
    <x v="0"/>
    <x v="32"/>
    <n v="35.6096"/>
    <n v="466333.66"/>
    <n v="5182081.3600000003"/>
  </r>
  <r>
    <x v="0"/>
    <x v="0"/>
    <x v="33"/>
    <n v="24.832100000000001"/>
    <n v="466543.66"/>
    <n v="5182241.3600000003"/>
  </r>
  <r>
    <x v="0"/>
    <x v="0"/>
    <x v="34"/>
    <n v="38.491100000000003"/>
    <n v="466363.66"/>
    <n v="5182331.3600000003"/>
  </r>
  <r>
    <x v="0"/>
    <x v="0"/>
    <x v="35"/>
    <n v="23.8154"/>
    <n v="466353.66"/>
    <n v="5182391.3600000003"/>
  </r>
  <r>
    <x v="0"/>
    <x v="1"/>
    <x v="0"/>
    <n v="6.7"/>
    <n v="466413.66"/>
    <n v="5182371.3600000003"/>
  </r>
  <r>
    <x v="0"/>
    <x v="1"/>
    <x v="1"/>
    <n v="5.4"/>
    <n v="466493.66"/>
    <n v="5182421.3600000003"/>
  </r>
  <r>
    <x v="0"/>
    <x v="1"/>
    <x v="2"/>
    <n v="4.4000000000000004"/>
    <n v="466373.66"/>
    <n v="5182241.3600000003"/>
  </r>
  <r>
    <x v="0"/>
    <x v="1"/>
    <x v="3"/>
    <n v="8.4"/>
    <n v="466233.66"/>
    <n v="5182211.3600000003"/>
  </r>
  <r>
    <x v="0"/>
    <x v="1"/>
    <x v="4"/>
    <n v="4.0999999999999996"/>
    <n v="466273.66"/>
    <n v="5182151.3600000003"/>
  </r>
  <r>
    <x v="0"/>
    <x v="1"/>
    <x v="5"/>
    <n v="3.2"/>
    <n v="466363.66"/>
    <n v="5182131.3600000003"/>
  </r>
  <r>
    <x v="0"/>
    <x v="1"/>
    <x v="6"/>
    <n v="9"/>
    <n v="466393.66"/>
    <n v="5182061.3600000003"/>
  </r>
  <r>
    <x v="0"/>
    <x v="1"/>
    <x v="7"/>
    <n v="25"/>
    <n v="466423.66"/>
    <n v="5182161.3600000003"/>
  </r>
  <r>
    <x v="0"/>
    <x v="1"/>
    <x v="8"/>
    <n v="11.4"/>
    <n v="466463.66"/>
    <n v="5182181.3600000003"/>
  </r>
  <r>
    <x v="0"/>
    <x v="1"/>
    <x v="9"/>
    <n v="2.1"/>
    <n v="466493.66"/>
    <n v="5182251.3600000003"/>
  </r>
  <r>
    <x v="0"/>
    <x v="1"/>
    <x v="10"/>
    <n v="6.3"/>
    <n v="466493.66"/>
    <n v="5182281.3600000003"/>
  </r>
  <r>
    <x v="0"/>
    <x v="1"/>
    <x v="11"/>
    <n v="1"/>
    <n v="466553.66"/>
    <n v="5182171.3600000003"/>
  </r>
  <r>
    <x v="0"/>
    <x v="1"/>
    <x v="12"/>
    <n v="3.3"/>
    <n v="466323.66"/>
    <n v="5182201.3600000003"/>
  </r>
  <r>
    <x v="0"/>
    <x v="1"/>
    <x v="13"/>
    <n v="3.9"/>
    <n v="466603.66"/>
    <n v="5182231.3600000003"/>
  </r>
  <r>
    <x v="0"/>
    <x v="1"/>
    <x v="14"/>
    <n v="2.4"/>
    <n v="466483.66"/>
    <n v="5182081.3600000003"/>
  </r>
  <r>
    <x v="0"/>
    <x v="1"/>
    <x v="15"/>
    <n v="6"/>
    <n v="466153.66"/>
    <n v="5182151.3600000003"/>
  </r>
  <r>
    <x v="0"/>
    <x v="1"/>
    <x v="16"/>
    <n v="0"/>
    <n v="466193.66"/>
    <n v="5182091.3600000003"/>
  </r>
  <r>
    <x v="0"/>
    <x v="1"/>
    <x v="17"/>
    <n v="11.4"/>
    <n v="466533.66"/>
    <n v="5182351.3600000003"/>
  </r>
  <r>
    <x v="0"/>
    <x v="1"/>
    <x v="18"/>
    <n v="8"/>
    <n v="466303.66"/>
    <n v="5182261.3600000003"/>
  </r>
  <r>
    <x v="0"/>
    <x v="1"/>
    <x v="19"/>
    <n v="6.3"/>
    <n v="466313.66"/>
    <n v="5182341.3600000003"/>
  </r>
  <r>
    <x v="0"/>
    <x v="1"/>
    <x v="20"/>
    <n v="6.3"/>
    <n v="466213.66"/>
    <n v="5182281.3600000003"/>
  </r>
  <r>
    <x v="0"/>
    <x v="1"/>
    <x v="21"/>
    <n v="6.2"/>
    <n v="466153.66"/>
    <n v="5182231.3600000003"/>
  </r>
  <r>
    <x v="0"/>
    <x v="1"/>
    <x v="22"/>
    <n v="0"/>
    <n v="466593.66"/>
    <n v="5182311.3600000003"/>
  </r>
  <r>
    <x v="0"/>
    <x v="1"/>
    <x v="23"/>
    <n v="8.5"/>
    <n v="466283.66"/>
    <n v="5182051.3600000003"/>
  </r>
  <r>
    <x v="0"/>
    <x v="1"/>
    <x v="24"/>
    <n v="3.5"/>
    <n v="466413.66"/>
    <n v="5182441.3600000003"/>
  </r>
  <r>
    <x v="0"/>
    <x v="1"/>
    <x v="25"/>
    <n v="4.4000000000000004"/>
    <n v="466493.66"/>
    <n v="5182501.3600000003"/>
  </r>
  <r>
    <x v="0"/>
    <x v="1"/>
    <x v="26"/>
    <n v="7.6"/>
    <n v="466423.66"/>
    <n v="5182291.3600000003"/>
  </r>
  <r>
    <x v="0"/>
    <x v="1"/>
    <x v="27"/>
    <n v="5.0999999999999996"/>
    <n v="466613.66"/>
    <n v="5182171.3600000003"/>
  </r>
  <r>
    <x v="0"/>
    <x v="1"/>
    <x v="28"/>
    <n v="5.6"/>
    <n v="466643.66"/>
    <n v="5182271.3600000003"/>
  </r>
  <r>
    <x v="0"/>
    <x v="1"/>
    <x v="29"/>
    <n v="6.7"/>
    <n v="466333.66"/>
    <n v="5182021.3600000003"/>
  </r>
  <r>
    <x v="0"/>
    <x v="1"/>
    <x v="30"/>
    <n v="3.1"/>
    <n v="466463.66"/>
    <n v="5182341.3600000003"/>
  </r>
  <r>
    <x v="0"/>
    <x v="1"/>
    <x v="31"/>
    <n v="5.3"/>
    <n v="466123.66"/>
    <n v="5182111.3600000003"/>
  </r>
  <r>
    <x v="0"/>
    <x v="1"/>
    <x v="32"/>
    <n v="10.7"/>
    <n v="466333.66"/>
    <n v="5182081.3600000003"/>
  </r>
  <r>
    <x v="0"/>
    <x v="1"/>
    <x v="33"/>
    <n v="3.5"/>
    <n v="466543.66"/>
    <n v="5182241.3600000003"/>
  </r>
  <r>
    <x v="0"/>
    <x v="1"/>
    <x v="34"/>
    <n v="13.7"/>
    <n v="466363.66"/>
    <n v="5182331.3600000003"/>
  </r>
  <r>
    <x v="0"/>
    <x v="1"/>
    <x v="35"/>
    <n v="4.4000000000000004"/>
    <n v="466353.66"/>
    <n v="5182391.3600000003"/>
  </r>
  <r>
    <x v="0"/>
    <x v="2"/>
    <x v="0"/>
    <n v="32.4"/>
    <n v="466413.66"/>
    <n v="5182371.3600000003"/>
  </r>
  <r>
    <x v="0"/>
    <x v="2"/>
    <x v="1"/>
    <n v="35.846499999999999"/>
    <n v="466493.66"/>
    <n v="5182421.3600000003"/>
  </r>
  <r>
    <x v="0"/>
    <x v="2"/>
    <x v="2"/>
    <n v="13.242599999999999"/>
    <n v="466373.66"/>
    <n v="5182241.3600000003"/>
  </r>
  <r>
    <x v="0"/>
    <x v="2"/>
    <x v="3"/>
    <n v="22.115200000000002"/>
    <n v="466233.66"/>
    <n v="5182211.3600000003"/>
  </r>
  <r>
    <x v="0"/>
    <x v="2"/>
    <x v="4"/>
    <n v="13.322100000000001"/>
    <n v="466273.66"/>
    <n v="5182151.3600000003"/>
  </r>
  <r>
    <x v="0"/>
    <x v="2"/>
    <x v="5"/>
    <n v="17.569900000000001"/>
    <n v="466363.66"/>
    <n v="5182131.3600000003"/>
  </r>
  <r>
    <x v="0"/>
    <x v="2"/>
    <x v="6"/>
    <n v="17.6892"/>
    <n v="466393.66"/>
    <n v="5182061.3600000003"/>
  </r>
  <r>
    <x v="0"/>
    <x v="2"/>
    <x v="7"/>
    <n v="7.1006"/>
    <n v="466423.66"/>
    <n v="5182161.3600000003"/>
  </r>
  <r>
    <x v="0"/>
    <x v="2"/>
    <x v="8"/>
    <n v="18.5837"/>
    <n v="466463.66"/>
    <n v="5182181.3600000003"/>
  </r>
  <r>
    <x v="0"/>
    <x v="2"/>
    <x v="9"/>
    <n v="21.2624"/>
    <n v="466493.66"/>
    <n v="5182251.3600000003"/>
  </r>
  <r>
    <x v="0"/>
    <x v="2"/>
    <x v="10"/>
    <n v="17.206700000000001"/>
    <n v="466493.66"/>
    <n v="5182281.3600000003"/>
  </r>
  <r>
    <x v="0"/>
    <x v="2"/>
    <x v="11"/>
    <n v="16.7301"/>
    <n v="466553.66"/>
    <n v="5182171.3600000003"/>
  </r>
  <r>
    <x v="0"/>
    <x v="2"/>
    <x v="12"/>
    <n v="15.5905"/>
    <n v="466323.66"/>
    <n v="5182201.3600000003"/>
  </r>
  <r>
    <x v="0"/>
    <x v="2"/>
    <x v="13"/>
    <n v="19.9346"/>
    <n v="466603.66"/>
    <n v="5182231.3600000003"/>
  </r>
  <r>
    <x v="0"/>
    <x v="2"/>
    <x v="14"/>
    <n v="15.923"/>
    <n v="466483.66"/>
    <n v="5182081.3600000003"/>
  </r>
  <r>
    <x v="0"/>
    <x v="2"/>
    <x v="15"/>
    <n v="18.743400000000001"/>
    <n v="466153.66"/>
    <n v="5182151.3600000003"/>
  </r>
  <r>
    <x v="0"/>
    <x v="2"/>
    <x v="16"/>
    <n v="0"/>
    <n v="466193.66"/>
    <n v="5182091.3600000003"/>
  </r>
  <r>
    <x v="0"/>
    <x v="2"/>
    <x v="17"/>
    <n v="21.272200000000002"/>
    <n v="466533.66"/>
    <n v="5182351.3600000003"/>
  </r>
  <r>
    <x v="0"/>
    <x v="2"/>
    <x v="18"/>
    <n v="26.330200000000001"/>
    <n v="466303.66"/>
    <n v="5182261.3600000003"/>
  </r>
  <r>
    <x v="0"/>
    <x v="2"/>
    <x v="19"/>
    <n v="19.0886"/>
    <n v="466313.66"/>
    <n v="5182341.3600000003"/>
  </r>
  <r>
    <x v="0"/>
    <x v="2"/>
    <x v="20"/>
    <n v="19.881699999999999"/>
    <n v="466213.66"/>
    <n v="5182281.3600000003"/>
  </r>
  <r>
    <x v="0"/>
    <x v="2"/>
    <x v="21"/>
    <n v="14.2622"/>
    <n v="466153.66"/>
    <n v="5182231.3600000003"/>
  </r>
  <r>
    <x v="0"/>
    <x v="2"/>
    <x v="22"/>
    <n v="0"/>
    <n v="466593.66"/>
    <n v="5182311.3600000003"/>
  </r>
  <r>
    <x v="0"/>
    <x v="2"/>
    <x v="23"/>
    <n v="19.046600000000002"/>
    <n v="466283.66"/>
    <n v="5182051.3600000003"/>
  </r>
  <r>
    <x v="0"/>
    <x v="2"/>
    <x v="24"/>
    <n v="18.329899999999999"/>
    <n v="466413.66"/>
    <n v="5182441.3600000003"/>
  </r>
  <r>
    <x v="0"/>
    <x v="2"/>
    <x v="25"/>
    <n v="17.147200000000002"/>
    <n v="466493.66"/>
    <n v="5182501.3600000003"/>
  </r>
  <r>
    <x v="0"/>
    <x v="2"/>
    <x v="26"/>
    <n v="20.235099999999999"/>
    <n v="466423.66"/>
    <n v="5182291.3600000003"/>
  </r>
  <r>
    <x v="0"/>
    <x v="2"/>
    <x v="27"/>
    <n v="14.0861"/>
    <n v="466613.66"/>
    <n v="5182171.3600000003"/>
  </r>
  <r>
    <x v="0"/>
    <x v="2"/>
    <x v="28"/>
    <n v="12.107100000000001"/>
    <n v="466643.66"/>
    <n v="5182271.3600000003"/>
  </r>
  <r>
    <x v="0"/>
    <x v="2"/>
    <x v="29"/>
    <n v="19.511600000000001"/>
    <n v="466333.66"/>
    <n v="5182021.3600000003"/>
  </r>
  <r>
    <x v="0"/>
    <x v="2"/>
    <x v="30"/>
    <n v="16.6568"/>
    <n v="466463.66"/>
    <n v="5182341.3600000003"/>
  </r>
  <r>
    <x v="0"/>
    <x v="2"/>
    <x v="31"/>
    <n v="19.445399999999999"/>
    <n v="466123.66"/>
    <n v="5182111.3600000003"/>
  </r>
  <r>
    <x v="0"/>
    <x v="2"/>
    <x v="32"/>
    <n v="24.909600000000001"/>
    <n v="466333.66"/>
    <n v="5182081.3600000003"/>
  </r>
  <r>
    <x v="0"/>
    <x v="2"/>
    <x v="33"/>
    <n v="21.332100000000001"/>
    <n v="466543.66"/>
    <n v="5182241.3600000003"/>
  </r>
  <r>
    <x v="0"/>
    <x v="2"/>
    <x v="34"/>
    <n v="24.7911"/>
    <n v="466363.66"/>
    <n v="5182331.3600000003"/>
  </r>
  <r>
    <x v="0"/>
    <x v="2"/>
    <x v="35"/>
    <n v="19.415400000000002"/>
    <n v="466353.66"/>
    <n v="5182391.3600000003"/>
  </r>
  <r>
    <x v="1"/>
    <x v="0"/>
    <x v="0"/>
    <n v="35.808900000000001"/>
    <n v="517227.65"/>
    <n v="5169180.78"/>
  </r>
  <r>
    <x v="1"/>
    <x v="0"/>
    <x v="1"/>
    <n v="48.008800000000001"/>
    <n v="517437.65"/>
    <n v="5169220.78"/>
  </r>
  <r>
    <x v="1"/>
    <x v="0"/>
    <x v="2"/>
    <n v="40.240699999999997"/>
    <n v="517327.65"/>
    <n v="5169270.78"/>
  </r>
  <r>
    <x v="1"/>
    <x v="0"/>
    <x v="3"/>
    <n v="29.3383"/>
    <n v="516947.65"/>
    <n v="5169210.78"/>
  </r>
  <r>
    <x v="1"/>
    <x v="0"/>
    <x v="4"/>
    <n v="41.069099999999999"/>
    <n v="517147.65"/>
    <n v="5169230.78"/>
  </r>
  <r>
    <x v="1"/>
    <x v="0"/>
    <x v="5"/>
    <n v="31.454799999999999"/>
    <n v="517057.65"/>
    <n v="5169320.78"/>
  </r>
  <r>
    <x v="1"/>
    <x v="0"/>
    <x v="6"/>
    <n v="51.566200000000002"/>
    <n v="517097.65"/>
    <n v="5169400.78"/>
  </r>
  <r>
    <x v="1"/>
    <x v="0"/>
    <x v="7"/>
    <n v="32.517600000000002"/>
    <n v="517087.65"/>
    <n v="5169460.78"/>
  </r>
  <r>
    <x v="1"/>
    <x v="0"/>
    <x v="8"/>
    <n v="48.796399999999998"/>
    <n v="517257.65"/>
    <n v="5169450.78"/>
  </r>
  <r>
    <x v="1"/>
    <x v="0"/>
    <x v="9"/>
    <n v="26.0611"/>
    <n v="517237.65"/>
    <n v="5169520.78"/>
  </r>
  <r>
    <x v="1"/>
    <x v="0"/>
    <x v="10"/>
    <n v="52.778599999999997"/>
    <n v="517217.65"/>
    <n v="5169370.78"/>
  </r>
  <r>
    <x v="1"/>
    <x v="0"/>
    <x v="11"/>
    <n v="43.019500000000001"/>
    <n v="517127.65"/>
    <n v="5169250.78"/>
  </r>
  <r>
    <x v="1"/>
    <x v="0"/>
    <x v="12"/>
    <n v="34.019500000000001"/>
    <n v="517457.65"/>
    <n v="5169080.78"/>
  </r>
  <r>
    <x v="1"/>
    <x v="0"/>
    <x v="13"/>
    <n v="26.783899999999999"/>
    <n v="517037.65"/>
    <n v="5169220.78"/>
  </r>
  <r>
    <x v="1"/>
    <x v="0"/>
    <x v="14"/>
    <n v="31.480399999999999"/>
    <n v="516887.65"/>
    <n v="5169320.78"/>
  </r>
  <r>
    <x v="1"/>
    <x v="0"/>
    <x v="15"/>
    <n v="21.636199999999999"/>
    <n v="517327.65"/>
    <n v="5169530.78"/>
  </r>
  <r>
    <x v="1"/>
    <x v="0"/>
    <x v="16"/>
    <n v="38.939500000000002"/>
    <n v="517397.65"/>
    <n v="5169360.78"/>
  </r>
  <r>
    <x v="1"/>
    <x v="0"/>
    <x v="17"/>
    <n v="0"/>
    <n v="516847.65"/>
    <n v="5169190.78"/>
  </r>
  <r>
    <x v="1"/>
    <x v="0"/>
    <x v="18"/>
    <n v="26.643799999999999"/>
    <n v="517147.65"/>
    <n v="5169560.78"/>
  </r>
  <r>
    <x v="1"/>
    <x v="0"/>
    <x v="19"/>
    <n v="32.430300000000003"/>
    <n v="517347.65"/>
    <n v="5169170.78"/>
  </r>
  <r>
    <x v="1"/>
    <x v="0"/>
    <x v="20"/>
    <n v="38.531700000000001"/>
    <n v="516957.65"/>
    <n v="5169460.78"/>
  </r>
  <r>
    <x v="1"/>
    <x v="0"/>
    <x v="21"/>
    <n v="32.148099999999999"/>
    <n v="517237.65"/>
    <n v="5169280.78"/>
  </r>
  <r>
    <x v="1"/>
    <x v="0"/>
    <x v="22"/>
    <n v="32.960500000000003"/>
    <n v="517367.65"/>
    <n v="5169070.78"/>
  </r>
  <r>
    <x v="1"/>
    <x v="0"/>
    <x v="23"/>
    <n v="43.013399999999997"/>
    <n v="516877.65"/>
    <n v="5169420.78"/>
  </r>
  <r>
    <x v="1"/>
    <x v="0"/>
    <x v="24"/>
    <n v="34.8459"/>
    <n v="516977.65"/>
    <n v="5169290.78"/>
  </r>
  <r>
    <x v="1"/>
    <x v="0"/>
    <x v="25"/>
    <n v="51.701500000000003"/>
    <n v="517317.65"/>
    <n v="5169390.78"/>
  </r>
  <r>
    <x v="1"/>
    <x v="0"/>
    <x v="26"/>
    <n v="28.8186"/>
    <n v="517177.65"/>
    <n v="5169460.78"/>
  </r>
  <r>
    <x v="1"/>
    <x v="0"/>
    <x v="27"/>
    <n v="51.4499"/>
    <n v="517457.65"/>
    <n v="5169310.78"/>
  </r>
  <r>
    <x v="1"/>
    <x v="0"/>
    <x v="28"/>
    <n v="0"/>
    <n v="517287.65"/>
    <n v="5169080.78"/>
  </r>
  <r>
    <x v="1"/>
    <x v="0"/>
    <x v="29"/>
    <n v="41.438299999999998"/>
    <n v="516997.65"/>
    <n v="5169380.78"/>
  </r>
  <r>
    <x v="1"/>
    <x v="0"/>
    <x v="30"/>
    <n v="29.916699999999999"/>
    <n v="517287.65"/>
    <n v="5169590.78"/>
  </r>
  <r>
    <x v="1"/>
    <x v="0"/>
    <x v="31"/>
    <n v="41.851399999999998"/>
    <n v="517147.65"/>
    <n v="5169330.78"/>
  </r>
  <r>
    <x v="1"/>
    <x v="0"/>
    <x v="32"/>
    <n v="52.823900000000002"/>
    <n v="517387.65"/>
    <n v="5169440.78"/>
  </r>
  <r>
    <x v="1"/>
    <x v="0"/>
    <x v="33"/>
    <n v="41.371299999999998"/>
    <n v="517467.65"/>
    <n v="5169160.78"/>
  </r>
  <r>
    <x v="1"/>
    <x v="0"/>
    <x v="34"/>
    <n v="31.747399999999999"/>
    <n v="517077.65"/>
    <n v="5169530.78"/>
  </r>
  <r>
    <x v="1"/>
    <x v="0"/>
    <x v="35"/>
    <n v="33.048999999999999"/>
    <n v="517317.65"/>
    <n v="5169020.78"/>
  </r>
  <r>
    <x v="1"/>
    <x v="1"/>
    <x v="0"/>
    <n v="6.6"/>
    <n v="517227.65"/>
    <n v="5169180.78"/>
  </r>
  <r>
    <x v="1"/>
    <x v="1"/>
    <x v="1"/>
    <n v="10.4"/>
    <n v="517437.65"/>
    <n v="5169220.78"/>
  </r>
  <r>
    <x v="1"/>
    <x v="1"/>
    <x v="2"/>
    <n v="6.4"/>
    <n v="517327.65"/>
    <n v="5169270.78"/>
  </r>
  <r>
    <x v="1"/>
    <x v="1"/>
    <x v="3"/>
    <n v="9.6999999999999993"/>
    <n v="516947.65"/>
    <n v="5169210.78"/>
  </r>
  <r>
    <x v="1"/>
    <x v="1"/>
    <x v="4"/>
    <n v="14"/>
    <n v="517147.65"/>
    <n v="5169230.78"/>
  </r>
  <r>
    <x v="1"/>
    <x v="1"/>
    <x v="5"/>
    <n v="11.3"/>
    <n v="517057.65"/>
    <n v="5169320.78"/>
  </r>
  <r>
    <x v="1"/>
    <x v="1"/>
    <x v="6"/>
    <n v="13"/>
    <n v="517097.65"/>
    <n v="5169400.78"/>
  </r>
  <r>
    <x v="1"/>
    <x v="1"/>
    <x v="7"/>
    <n v="6.4"/>
    <n v="517087.65"/>
    <n v="5169460.78"/>
  </r>
  <r>
    <x v="1"/>
    <x v="1"/>
    <x v="8"/>
    <n v="15.2"/>
    <n v="517257.65"/>
    <n v="5169450.78"/>
  </r>
  <r>
    <x v="1"/>
    <x v="1"/>
    <x v="9"/>
    <n v="4.8"/>
    <n v="517237.65"/>
    <n v="5169520.78"/>
  </r>
  <r>
    <x v="1"/>
    <x v="1"/>
    <x v="10"/>
    <n v="18.600000000000001"/>
    <n v="517217.65"/>
    <n v="5169370.78"/>
  </r>
  <r>
    <x v="1"/>
    <x v="1"/>
    <x v="11"/>
    <n v="11.2"/>
    <n v="517127.65"/>
    <n v="5169250.78"/>
  </r>
  <r>
    <x v="1"/>
    <x v="1"/>
    <x v="12"/>
    <n v="5.8"/>
    <n v="517457.65"/>
    <n v="5169080.78"/>
  </r>
  <r>
    <x v="1"/>
    <x v="1"/>
    <x v="13"/>
    <n v="8"/>
    <n v="517037.65"/>
    <n v="5169220.78"/>
  </r>
  <r>
    <x v="1"/>
    <x v="1"/>
    <x v="14"/>
    <n v="6.7"/>
    <n v="516887.65"/>
    <n v="5169320.78"/>
  </r>
  <r>
    <x v="1"/>
    <x v="1"/>
    <x v="15"/>
    <n v="3"/>
    <n v="517327.65"/>
    <n v="5169530.78"/>
  </r>
  <r>
    <x v="1"/>
    <x v="1"/>
    <x v="16"/>
    <n v="11.8"/>
    <n v="517397.65"/>
    <n v="5169360.78"/>
  </r>
  <r>
    <x v="1"/>
    <x v="1"/>
    <x v="17"/>
    <n v="0"/>
    <n v="516847.65"/>
    <n v="5169190.78"/>
  </r>
  <r>
    <x v="1"/>
    <x v="1"/>
    <x v="18"/>
    <n v="3.8"/>
    <n v="517147.65"/>
    <n v="5169560.78"/>
  </r>
  <r>
    <x v="1"/>
    <x v="1"/>
    <x v="19"/>
    <n v="5.6"/>
    <n v="517347.65"/>
    <n v="5169170.78"/>
  </r>
  <r>
    <x v="1"/>
    <x v="1"/>
    <x v="20"/>
    <n v="6.9"/>
    <n v="516957.65"/>
    <n v="5169460.78"/>
  </r>
  <r>
    <x v="1"/>
    <x v="1"/>
    <x v="21"/>
    <n v="9.3000000000000007"/>
    <n v="517237.65"/>
    <n v="5169280.78"/>
  </r>
  <r>
    <x v="1"/>
    <x v="1"/>
    <x v="22"/>
    <n v="7.3"/>
    <n v="517367.65"/>
    <n v="5169070.78"/>
  </r>
  <r>
    <x v="1"/>
    <x v="1"/>
    <x v="23"/>
    <n v="13.2"/>
    <n v="516877.65"/>
    <n v="5169420.78"/>
  </r>
  <r>
    <x v="1"/>
    <x v="1"/>
    <x v="24"/>
    <n v="12.1"/>
    <n v="516977.65"/>
    <n v="5169290.78"/>
  </r>
  <r>
    <x v="1"/>
    <x v="1"/>
    <x v="25"/>
    <n v="21.7"/>
    <n v="517317.65"/>
    <n v="5169390.78"/>
  </r>
  <r>
    <x v="1"/>
    <x v="1"/>
    <x v="26"/>
    <n v="9.8000000000000007"/>
    <n v="517177.65"/>
    <n v="5169460.78"/>
  </r>
  <r>
    <x v="1"/>
    <x v="1"/>
    <x v="27"/>
    <n v="7.1"/>
    <n v="517457.65"/>
    <n v="5169310.78"/>
  </r>
  <r>
    <x v="1"/>
    <x v="1"/>
    <x v="28"/>
    <n v="0"/>
    <n v="517287.65"/>
    <n v="5169080.78"/>
  </r>
  <r>
    <x v="1"/>
    <x v="1"/>
    <x v="29"/>
    <n v="13.5"/>
    <n v="516997.65"/>
    <n v="5169380.78"/>
  </r>
  <r>
    <x v="1"/>
    <x v="1"/>
    <x v="30"/>
    <n v="8.8000000000000007"/>
    <n v="517287.65"/>
    <n v="5169590.78"/>
  </r>
  <r>
    <x v="1"/>
    <x v="1"/>
    <x v="31"/>
    <n v="14.1"/>
    <n v="517147.65"/>
    <n v="5169330.78"/>
  </r>
  <r>
    <x v="1"/>
    <x v="1"/>
    <x v="32"/>
    <n v="16.399999999999999"/>
    <n v="517387.65"/>
    <n v="5169440.78"/>
  </r>
  <r>
    <x v="1"/>
    <x v="1"/>
    <x v="33"/>
    <n v="9.6999999999999993"/>
    <n v="517467.65"/>
    <n v="5169160.78"/>
  </r>
  <r>
    <x v="1"/>
    <x v="1"/>
    <x v="34"/>
    <n v="5.4"/>
    <n v="517077.65"/>
    <n v="5169530.78"/>
  </r>
  <r>
    <x v="1"/>
    <x v="1"/>
    <x v="35"/>
    <n v="5.0999999999999996"/>
    <n v="517317.65"/>
    <n v="5169020.78"/>
  </r>
  <r>
    <x v="1"/>
    <x v="2"/>
    <x v="0"/>
    <n v="29.2089"/>
    <n v="517227.65"/>
    <n v="5169180.78"/>
  </r>
  <r>
    <x v="1"/>
    <x v="2"/>
    <x v="1"/>
    <n v="37.608800000000002"/>
    <n v="517437.65"/>
    <n v="5169220.78"/>
  </r>
  <r>
    <x v="1"/>
    <x v="2"/>
    <x v="2"/>
    <n v="33.840699999999998"/>
    <n v="517327.65"/>
    <n v="5169270.78"/>
  </r>
  <r>
    <x v="1"/>
    <x v="2"/>
    <x v="3"/>
    <n v="19.638300000000001"/>
    <n v="516947.65"/>
    <n v="5169210.78"/>
  </r>
  <r>
    <x v="1"/>
    <x v="2"/>
    <x v="4"/>
    <n v="27.069099999999999"/>
    <n v="517147.65"/>
    <n v="5169230.78"/>
  </r>
  <r>
    <x v="1"/>
    <x v="2"/>
    <x v="5"/>
    <n v="20.154800000000002"/>
    <n v="517057.65"/>
    <n v="5169320.78"/>
  </r>
  <r>
    <x v="1"/>
    <x v="2"/>
    <x v="6"/>
    <n v="38.566200000000002"/>
    <n v="517097.65"/>
    <n v="5169400.78"/>
  </r>
  <r>
    <x v="1"/>
    <x v="2"/>
    <x v="7"/>
    <n v="26.117599999999999"/>
    <n v="517087.65"/>
    <n v="5169460.78"/>
  </r>
  <r>
    <x v="1"/>
    <x v="2"/>
    <x v="8"/>
    <n v="33.596400000000003"/>
    <n v="517257.65"/>
    <n v="5169450.78"/>
  </r>
  <r>
    <x v="1"/>
    <x v="2"/>
    <x v="9"/>
    <n v="21.261099999999999"/>
    <n v="517237.65"/>
    <n v="5169520.78"/>
  </r>
  <r>
    <x v="1"/>
    <x v="2"/>
    <x v="10"/>
    <n v="34.178600000000003"/>
    <n v="517217.65"/>
    <n v="5169370.78"/>
  </r>
  <r>
    <x v="1"/>
    <x v="2"/>
    <x v="11"/>
    <n v="31.819500000000001"/>
    <n v="517127.65"/>
    <n v="5169250.78"/>
  </r>
  <r>
    <x v="1"/>
    <x v="2"/>
    <x v="12"/>
    <n v="28.2195"/>
    <n v="517457.65"/>
    <n v="5169080.78"/>
  </r>
  <r>
    <x v="1"/>
    <x v="2"/>
    <x v="13"/>
    <n v="18.783899999999999"/>
    <n v="517037.65"/>
    <n v="5169220.78"/>
  </r>
  <r>
    <x v="1"/>
    <x v="2"/>
    <x v="14"/>
    <n v="24.7804"/>
    <n v="516887.65"/>
    <n v="5169320.78"/>
  </r>
  <r>
    <x v="1"/>
    <x v="2"/>
    <x v="15"/>
    <n v="18.636199999999999"/>
    <n v="517327.65"/>
    <n v="5169530.78"/>
  </r>
  <r>
    <x v="1"/>
    <x v="2"/>
    <x v="16"/>
    <n v="27.139500000000002"/>
    <n v="517397.65"/>
    <n v="5169360.78"/>
  </r>
  <r>
    <x v="1"/>
    <x v="2"/>
    <x v="17"/>
    <n v="0"/>
    <n v="516847.65"/>
    <n v="5169190.78"/>
  </r>
  <r>
    <x v="1"/>
    <x v="2"/>
    <x v="18"/>
    <n v="22.843800000000002"/>
    <n v="517147.65"/>
    <n v="5169560.78"/>
  </r>
  <r>
    <x v="1"/>
    <x v="2"/>
    <x v="19"/>
    <n v="26.830300000000001"/>
    <n v="517347.65"/>
    <n v="5169170.78"/>
  </r>
  <r>
    <x v="1"/>
    <x v="2"/>
    <x v="20"/>
    <n v="31.631699999999999"/>
    <n v="516957.65"/>
    <n v="5169460.78"/>
  </r>
  <r>
    <x v="1"/>
    <x v="2"/>
    <x v="21"/>
    <n v="22.848099999999999"/>
    <n v="517237.65"/>
    <n v="5169280.78"/>
  </r>
  <r>
    <x v="1"/>
    <x v="2"/>
    <x v="22"/>
    <n v="25.660499999999999"/>
    <n v="517367.65"/>
    <n v="5169070.78"/>
  </r>
  <r>
    <x v="1"/>
    <x v="2"/>
    <x v="23"/>
    <n v="29.813400000000001"/>
    <n v="516877.65"/>
    <n v="5169420.78"/>
  </r>
  <r>
    <x v="1"/>
    <x v="2"/>
    <x v="24"/>
    <n v="22.745899999999999"/>
    <n v="516977.65"/>
    <n v="5169290.78"/>
  </r>
  <r>
    <x v="1"/>
    <x v="2"/>
    <x v="25"/>
    <n v="30.0015"/>
    <n v="517317.65"/>
    <n v="5169390.78"/>
  </r>
  <r>
    <x v="1"/>
    <x v="2"/>
    <x v="26"/>
    <n v="19.018599999999999"/>
    <n v="517177.65"/>
    <n v="5169460.78"/>
  </r>
  <r>
    <x v="1"/>
    <x v="2"/>
    <x v="27"/>
    <n v="44.349899999999998"/>
    <n v="517457.65"/>
    <n v="5169310.78"/>
  </r>
  <r>
    <x v="1"/>
    <x v="2"/>
    <x v="28"/>
    <n v="0"/>
    <n v="517287.65"/>
    <n v="5169080.78"/>
  </r>
  <r>
    <x v="1"/>
    <x v="2"/>
    <x v="29"/>
    <n v="27.938300000000002"/>
    <n v="516997.65"/>
    <n v="5169380.78"/>
  </r>
  <r>
    <x v="1"/>
    <x v="2"/>
    <x v="30"/>
    <n v="21.116700000000002"/>
    <n v="517287.65"/>
    <n v="5169590.78"/>
  </r>
  <r>
    <x v="1"/>
    <x v="2"/>
    <x v="31"/>
    <n v="27.7514"/>
    <n v="517147.65"/>
    <n v="5169330.78"/>
  </r>
  <r>
    <x v="1"/>
    <x v="2"/>
    <x v="32"/>
    <n v="36.423900000000003"/>
    <n v="517387.65"/>
    <n v="5169440.78"/>
  </r>
  <r>
    <x v="1"/>
    <x v="2"/>
    <x v="33"/>
    <n v="31.671299999999999"/>
    <n v="517467.65"/>
    <n v="5169160.78"/>
  </r>
  <r>
    <x v="1"/>
    <x v="2"/>
    <x v="34"/>
    <n v="26.3474"/>
    <n v="517077.65"/>
    <n v="5169530.78"/>
  </r>
  <r>
    <x v="1"/>
    <x v="2"/>
    <x v="35"/>
    <n v="27.949000000000002"/>
    <n v="517317.65"/>
    <n v="5169020.78"/>
  </r>
  <r>
    <x v="2"/>
    <x v="0"/>
    <x v="0"/>
    <n v="37.629600000000003"/>
    <n v="5150951.67"/>
    <n v="37629485.969999999"/>
  </r>
  <r>
    <x v="2"/>
    <x v="0"/>
    <x v="1"/>
    <n v="56.821800000000003"/>
    <n v="5150981.67"/>
    <n v="56821627.810000002"/>
  </r>
  <r>
    <x v="2"/>
    <x v="0"/>
    <x v="2"/>
    <n v="37.165500000000002"/>
    <n v="5151011.67"/>
    <n v="37165387.380000003"/>
  </r>
  <r>
    <x v="2"/>
    <x v="0"/>
    <x v="3"/>
    <n v="53.589799999999997"/>
    <n v="5151081.67"/>
    <n v="53589637.609999999"/>
  </r>
  <r>
    <x v="2"/>
    <x v="0"/>
    <x v="4"/>
    <n v="63.144799999999996"/>
    <n v="5151081.67"/>
    <n v="63144608.649999999"/>
  </r>
  <r>
    <x v="2"/>
    <x v="0"/>
    <x v="5"/>
    <n v="47.570300000000003"/>
    <n v="5151111.67"/>
    <n v="47570155.850000001"/>
  </r>
  <r>
    <x v="2"/>
    <x v="0"/>
    <x v="6"/>
    <n v="61.290300000000002"/>
    <n v="5151051.67"/>
    <n v="61290114.270000003"/>
  </r>
  <r>
    <x v="2"/>
    <x v="0"/>
    <x v="7"/>
    <n v="44.165799999999997"/>
    <n v="5150991.67"/>
    <n v="44165666.159999996"/>
  </r>
  <r>
    <x v="2"/>
    <x v="0"/>
    <x v="8"/>
    <n v="51.8369"/>
    <n v="5151021.67"/>
    <n v="51836742.920000002"/>
  </r>
  <r>
    <x v="2"/>
    <x v="0"/>
    <x v="9"/>
    <n v="53.501600000000003"/>
    <n v="5150951.67"/>
    <n v="53501437.869999997"/>
  </r>
  <r>
    <x v="2"/>
    <x v="0"/>
    <x v="10"/>
    <n v="37.805799999999998"/>
    <n v="5150991.67"/>
    <n v="37805685.439999998"/>
  </r>
  <r>
    <x v="2"/>
    <x v="0"/>
    <x v="11"/>
    <n v="53.253999999999998"/>
    <n v="5150931.67"/>
    <n v="53253838.619999997"/>
  </r>
  <r>
    <x v="2"/>
    <x v="0"/>
    <x v="12"/>
    <n v="51.346699999999998"/>
    <n v="5151051.67"/>
    <n v="51346544.399999999"/>
  </r>
  <r>
    <x v="2"/>
    <x v="0"/>
    <x v="14"/>
    <n v="38.655700000000003"/>
    <n v="5151091.67"/>
    <n v="38655582.859999999"/>
  </r>
  <r>
    <x v="2"/>
    <x v="0"/>
    <x v="15"/>
    <n v="39.650599999999997"/>
    <n v="5150981.67"/>
    <n v="39650479.850000001"/>
  </r>
  <r>
    <x v="2"/>
    <x v="0"/>
    <x v="16"/>
    <n v="51.598399999999998"/>
    <n v="5150991.67"/>
    <n v="51598243.640000001"/>
  </r>
  <r>
    <x v="2"/>
    <x v="0"/>
    <x v="17"/>
    <n v="0"/>
    <n v="5151141.67"/>
    <n v="0"/>
  </r>
  <r>
    <x v="2"/>
    <x v="0"/>
    <x v="18"/>
    <n v="38.235300000000002"/>
    <n v="5151101.67"/>
    <n v="38235184.140000001"/>
  </r>
  <r>
    <x v="2"/>
    <x v="0"/>
    <x v="19"/>
    <n v="0"/>
    <n v="5150891.67"/>
    <n v="0"/>
  </r>
  <r>
    <x v="2"/>
    <x v="0"/>
    <x v="20"/>
    <n v="41.3718"/>
    <n v="5150871.67"/>
    <n v="41371674.630000003"/>
  </r>
  <r>
    <x v="2"/>
    <x v="0"/>
    <x v="21"/>
    <n v="0"/>
    <n v="5150891.67"/>
    <n v="0"/>
  </r>
  <r>
    <x v="2"/>
    <x v="0"/>
    <x v="22"/>
    <n v="53.134500000000003"/>
    <n v="5151021.67"/>
    <n v="53134338.990000002"/>
  </r>
  <r>
    <x v="2"/>
    <x v="0"/>
    <x v="23"/>
    <n v="36.808599999999998"/>
    <n v="5151061.67"/>
    <n v="36808488.460000001"/>
  </r>
  <r>
    <x v="2"/>
    <x v="0"/>
    <x v="24"/>
    <n v="41.055100000000003"/>
    <n v="5150951.67"/>
    <n v="41054975.590000004"/>
  </r>
  <r>
    <x v="2"/>
    <x v="0"/>
    <x v="25"/>
    <n v="42.189799999999998"/>
    <n v="5150911.67"/>
    <n v="42189672.149999999"/>
  </r>
  <r>
    <x v="2"/>
    <x v="0"/>
    <x v="26"/>
    <n v="44.407899999999998"/>
    <n v="5151031.67"/>
    <n v="44407765.43"/>
  </r>
  <r>
    <x v="2"/>
    <x v="0"/>
    <x v="27"/>
    <n v="0"/>
    <n v="5151111.67"/>
    <n v="0"/>
  </r>
  <r>
    <x v="2"/>
    <x v="0"/>
    <x v="28"/>
    <n v="51.258699999999997"/>
    <n v="5150961.67"/>
    <n v="51258544.670000002"/>
  </r>
  <r>
    <x v="2"/>
    <x v="0"/>
    <x v="29"/>
    <n v="54.273000000000003"/>
    <n v="5151041.67"/>
    <n v="54272835.539999999"/>
  </r>
  <r>
    <x v="2"/>
    <x v="0"/>
    <x v="31"/>
    <n v="43.438299999999998"/>
    <n v="5150901.67"/>
    <n v="43438168.369999997"/>
  </r>
  <r>
    <x v="2"/>
    <x v="0"/>
    <x v="32"/>
    <n v="41.297499999999999"/>
    <n v="5150931.67"/>
    <n v="41297374.859999999"/>
  </r>
  <r>
    <x v="2"/>
    <x v="0"/>
    <x v="33"/>
    <n v="41.513300000000001"/>
    <n v="5150971.67"/>
    <n v="41513174.200000003"/>
  </r>
  <r>
    <x v="2"/>
    <x v="0"/>
    <x v="34"/>
    <n v="0"/>
    <n v="5151171.67"/>
    <n v="0"/>
  </r>
  <r>
    <x v="2"/>
    <x v="0"/>
    <x v="35"/>
    <n v="48.306399999999996"/>
    <n v="5150921.67"/>
    <n v="48306253.619999997"/>
  </r>
  <r>
    <x v="2"/>
    <x v="1"/>
    <x v="0"/>
    <n v="7.5"/>
    <n v="5150951.67"/>
    <n v="37629485.969999999"/>
  </r>
  <r>
    <x v="2"/>
    <x v="1"/>
    <x v="1"/>
    <n v="16.8"/>
    <n v="5150981.67"/>
    <n v="56821627.810000002"/>
  </r>
  <r>
    <x v="2"/>
    <x v="1"/>
    <x v="2"/>
    <n v="9.9"/>
    <n v="5151011.67"/>
    <n v="37165387.380000003"/>
  </r>
  <r>
    <x v="2"/>
    <x v="1"/>
    <x v="3"/>
    <n v="8"/>
    <n v="5151081.67"/>
    <n v="53589637.609999999"/>
  </r>
  <r>
    <x v="2"/>
    <x v="1"/>
    <x v="4"/>
    <n v="20.6"/>
    <n v="5151081.67"/>
    <n v="63144608.649999999"/>
  </r>
  <r>
    <x v="2"/>
    <x v="1"/>
    <x v="5"/>
    <n v="6.9"/>
    <n v="5151111.67"/>
    <n v="47570155.850000001"/>
  </r>
  <r>
    <x v="2"/>
    <x v="1"/>
    <x v="6"/>
    <n v="6.5"/>
    <n v="5151051.67"/>
    <n v="61290114.270000003"/>
  </r>
  <r>
    <x v="2"/>
    <x v="1"/>
    <x v="7"/>
    <n v="7.6"/>
    <n v="5150991.67"/>
    <n v="44165666.159999996"/>
  </r>
  <r>
    <x v="2"/>
    <x v="1"/>
    <x v="8"/>
    <n v="9.5"/>
    <n v="5151021.67"/>
    <n v="51836742.920000002"/>
  </r>
  <r>
    <x v="2"/>
    <x v="1"/>
    <x v="9"/>
    <n v="15.1"/>
    <n v="5150951.67"/>
    <n v="53501437.869999997"/>
  </r>
  <r>
    <x v="2"/>
    <x v="1"/>
    <x v="10"/>
    <n v="10"/>
    <n v="5150991.67"/>
    <n v="37805685.439999998"/>
  </r>
  <r>
    <x v="2"/>
    <x v="1"/>
    <x v="11"/>
    <n v="13.4"/>
    <n v="5150931.67"/>
    <n v="53253838.619999997"/>
  </r>
  <r>
    <x v="2"/>
    <x v="1"/>
    <x v="12"/>
    <n v="9"/>
    <n v="5151051.67"/>
    <n v="51346544.399999999"/>
  </r>
  <r>
    <x v="2"/>
    <x v="1"/>
    <x v="14"/>
    <n v="4.5999999999999996"/>
    <n v="5151091.67"/>
    <n v="38655582.859999999"/>
  </r>
  <r>
    <x v="2"/>
    <x v="1"/>
    <x v="15"/>
    <n v="24.4"/>
    <n v="5150981.67"/>
    <n v="39650479.850000001"/>
  </r>
  <r>
    <x v="2"/>
    <x v="1"/>
    <x v="16"/>
    <n v="13.2"/>
    <n v="5150991.67"/>
    <n v="51598243.640000001"/>
  </r>
  <r>
    <x v="2"/>
    <x v="1"/>
    <x v="17"/>
    <n v="0"/>
    <n v="5151141.67"/>
    <n v="0"/>
  </r>
  <r>
    <x v="2"/>
    <x v="1"/>
    <x v="18"/>
    <n v="6.6"/>
    <n v="5151101.67"/>
    <n v="38235184.140000001"/>
  </r>
  <r>
    <x v="2"/>
    <x v="1"/>
    <x v="19"/>
    <n v="0"/>
    <n v="5150891.67"/>
    <n v="0"/>
  </r>
  <r>
    <x v="2"/>
    <x v="1"/>
    <x v="20"/>
    <n v="10.4"/>
    <n v="5150871.67"/>
    <n v="41371674.630000003"/>
  </r>
  <r>
    <x v="2"/>
    <x v="1"/>
    <x v="21"/>
    <n v="0"/>
    <n v="5150891.67"/>
    <n v="0"/>
  </r>
  <r>
    <x v="2"/>
    <x v="1"/>
    <x v="22"/>
    <n v="18.899999999999999"/>
    <n v="5151021.67"/>
    <n v="53134338.990000002"/>
  </r>
  <r>
    <x v="2"/>
    <x v="1"/>
    <x v="23"/>
    <n v="8.5"/>
    <n v="5151061.67"/>
    <n v="36808488.460000001"/>
  </r>
  <r>
    <x v="2"/>
    <x v="1"/>
    <x v="24"/>
    <n v="8.5"/>
    <n v="5150951.67"/>
    <n v="41054975.590000004"/>
  </r>
  <r>
    <x v="2"/>
    <x v="1"/>
    <x v="25"/>
    <n v="10.8"/>
    <n v="5150911.67"/>
    <n v="42189672.149999999"/>
  </r>
  <r>
    <x v="2"/>
    <x v="1"/>
    <x v="26"/>
    <n v="12"/>
    <n v="5151031.67"/>
    <n v="44407765.43"/>
  </r>
  <r>
    <x v="2"/>
    <x v="1"/>
    <x v="27"/>
    <n v="0"/>
    <n v="5151111.67"/>
    <n v="0"/>
  </r>
  <r>
    <x v="2"/>
    <x v="1"/>
    <x v="28"/>
    <n v="13"/>
    <n v="5150961.67"/>
    <n v="51258544.670000002"/>
  </r>
  <r>
    <x v="2"/>
    <x v="1"/>
    <x v="29"/>
    <n v="18.5"/>
    <n v="5151041.67"/>
    <n v="54272835.539999999"/>
  </r>
  <r>
    <x v="2"/>
    <x v="1"/>
    <x v="31"/>
    <n v="10"/>
    <n v="5150901.67"/>
    <n v="43438168.369999997"/>
  </r>
  <r>
    <x v="2"/>
    <x v="1"/>
    <x v="32"/>
    <n v="19.899999999999999"/>
    <n v="5150931.67"/>
    <n v="41297374.859999999"/>
  </r>
  <r>
    <x v="2"/>
    <x v="1"/>
    <x v="33"/>
    <n v="18.8"/>
    <n v="5150971.67"/>
    <n v="41513174.200000003"/>
  </r>
  <r>
    <x v="2"/>
    <x v="1"/>
    <x v="34"/>
    <n v="0"/>
    <n v="5151171.67"/>
    <n v="0"/>
  </r>
  <r>
    <x v="2"/>
    <x v="1"/>
    <x v="35"/>
    <n v="7.6"/>
    <n v="5150921.67"/>
    <n v="48306253.619999997"/>
  </r>
  <r>
    <x v="2"/>
    <x v="2"/>
    <x v="0"/>
    <n v="30.1296"/>
    <n v="5150951.67"/>
    <n v="37629485.969999999"/>
  </r>
  <r>
    <x v="2"/>
    <x v="2"/>
    <x v="1"/>
    <n v="40.021799999999999"/>
    <n v="5150981.67"/>
    <n v="56821627.810000002"/>
  </r>
  <r>
    <x v="2"/>
    <x v="2"/>
    <x v="2"/>
    <n v="27.265499999999999"/>
    <n v="5151011.67"/>
    <n v="37165387.380000003"/>
  </r>
  <r>
    <x v="2"/>
    <x v="2"/>
    <x v="3"/>
    <n v="45.589799999999997"/>
    <n v="5151081.67"/>
    <n v="53589637.609999999"/>
  </r>
  <r>
    <x v="2"/>
    <x v="2"/>
    <x v="4"/>
    <n v="42.544800000000002"/>
    <n v="5151081.67"/>
    <n v="63144608.649999999"/>
  </r>
  <r>
    <x v="2"/>
    <x v="2"/>
    <x v="5"/>
    <n v="40.670299999999997"/>
    <n v="5151111.67"/>
    <n v="47570155.850000001"/>
  </r>
  <r>
    <x v="2"/>
    <x v="2"/>
    <x v="6"/>
    <n v="54.790300000000002"/>
    <n v="5151051.67"/>
    <n v="61290114.270000003"/>
  </r>
  <r>
    <x v="2"/>
    <x v="2"/>
    <x v="7"/>
    <n v="36.565800000000003"/>
    <n v="5150991.67"/>
    <n v="44165666.159999996"/>
  </r>
  <r>
    <x v="2"/>
    <x v="2"/>
    <x v="8"/>
    <n v="42.3369"/>
    <n v="5151021.67"/>
    <n v="51836742.920000002"/>
  </r>
  <r>
    <x v="2"/>
    <x v="2"/>
    <x v="9"/>
    <n v="38.401600000000002"/>
    <n v="5150951.67"/>
    <n v="53501437.869999997"/>
  </r>
  <r>
    <x v="2"/>
    <x v="2"/>
    <x v="10"/>
    <n v="27.805800000000001"/>
    <n v="5150991.67"/>
    <n v="37805685.439999998"/>
  </r>
  <r>
    <x v="2"/>
    <x v="2"/>
    <x v="11"/>
    <n v="39.853999999999999"/>
    <n v="5150931.67"/>
    <n v="53253838.619999997"/>
  </r>
  <r>
    <x v="2"/>
    <x v="2"/>
    <x v="12"/>
    <n v="42.346699999999998"/>
    <n v="5151051.67"/>
    <n v="51346544.399999999"/>
  </r>
  <r>
    <x v="2"/>
    <x v="2"/>
    <x v="14"/>
    <n v="34.055700000000002"/>
    <n v="5151091.67"/>
    <n v="38655582.859999999"/>
  </r>
  <r>
    <x v="2"/>
    <x v="2"/>
    <x v="15"/>
    <n v="15.2506"/>
    <n v="5150981.67"/>
    <n v="39650479.850000001"/>
  </r>
  <r>
    <x v="2"/>
    <x v="2"/>
    <x v="16"/>
    <n v="38.398400000000002"/>
    <n v="5150991.67"/>
    <n v="51598243.640000001"/>
  </r>
  <r>
    <x v="2"/>
    <x v="2"/>
    <x v="17"/>
    <n v="0"/>
    <n v="5151141.67"/>
    <n v="0"/>
  </r>
  <r>
    <x v="2"/>
    <x v="2"/>
    <x v="18"/>
    <n v="31.635200000000001"/>
    <n v="5151101.67"/>
    <n v="38235184.140000001"/>
  </r>
  <r>
    <x v="2"/>
    <x v="2"/>
    <x v="19"/>
    <n v="0"/>
    <n v="5150891.67"/>
    <n v="0"/>
  </r>
  <r>
    <x v="2"/>
    <x v="2"/>
    <x v="20"/>
    <n v="30.971800000000002"/>
    <n v="5150871.67"/>
    <n v="41371674.630000003"/>
  </r>
  <r>
    <x v="2"/>
    <x v="2"/>
    <x v="21"/>
    <n v="0"/>
    <n v="5150891.67"/>
    <n v="0"/>
  </r>
  <r>
    <x v="2"/>
    <x v="2"/>
    <x v="22"/>
    <n v="34.234499999999997"/>
    <n v="5151021.67"/>
    <n v="53134338.990000002"/>
  </r>
  <r>
    <x v="2"/>
    <x v="2"/>
    <x v="23"/>
    <n v="28.308599999999998"/>
    <n v="5151061.67"/>
    <n v="36808488.460000001"/>
  </r>
  <r>
    <x v="2"/>
    <x v="2"/>
    <x v="24"/>
    <n v="32.555100000000003"/>
    <n v="5150951.67"/>
    <n v="41054975.590000004"/>
  </r>
  <r>
    <x v="2"/>
    <x v="2"/>
    <x v="25"/>
    <n v="31.389800000000001"/>
    <n v="5150911.67"/>
    <n v="42189672.149999999"/>
  </r>
  <r>
    <x v="2"/>
    <x v="2"/>
    <x v="26"/>
    <n v="32.407899999999998"/>
    <n v="5151031.67"/>
    <n v="44407765.43"/>
  </r>
  <r>
    <x v="2"/>
    <x v="2"/>
    <x v="27"/>
    <n v="0"/>
    <n v="5151111.67"/>
    <n v="0"/>
  </r>
  <r>
    <x v="2"/>
    <x v="2"/>
    <x v="28"/>
    <n v="38.258699999999997"/>
    <n v="5150961.67"/>
    <n v="51258544.670000002"/>
  </r>
  <r>
    <x v="2"/>
    <x v="2"/>
    <x v="29"/>
    <n v="35.773000000000003"/>
    <n v="5151041.67"/>
    <n v="54272835.539999999"/>
  </r>
  <r>
    <x v="2"/>
    <x v="2"/>
    <x v="31"/>
    <n v="33.438299999999998"/>
    <n v="5150901.67"/>
    <n v="43438168.369999997"/>
  </r>
  <r>
    <x v="2"/>
    <x v="2"/>
    <x v="32"/>
    <n v="21.397500000000001"/>
    <n v="5150931.67"/>
    <n v="41297374.859999999"/>
  </r>
  <r>
    <x v="2"/>
    <x v="2"/>
    <x v="33"/>
    <n v="22.7133"/>
    <n v="5150971.67"/>
    <n v="41513174.200000003"/>
  </r>
  <r>
    <x v="2"/>
    <x v="2"/>
    <x v="34"/>
    <n v="0"/>
    <n v="5151171.67"/>
    <n v="0"/>
  </r>
  <r>
    <x v="2"/>
    <x v="2"/>
    <x v="35"/>
    <n v="40.706400000000002"/>
    <n v="5150921.67"/>
    <n v="48306253.619999997"/>
  </r>
  <r>
    <x v="3"/>
    <x v="0"/>
    <x v="0"/>
    <n v="45.839199999999998"/>
    <n v="530675"/>
    <n v="5158485"/>
  </r>
  <r>
    <x v="3"/>
    <x v="0"/>
    <x v="1"/>
    <n v="35.614199999999997"/>
    <n v="530725"/>
    <n v="5158425"/>
  </r>
  <r>
    <x v="3"/>
    <x v="0"/>
    <x v="2"/>
    <n v="45.413400000000003"/>
    <n v="530885"/>
    <n v="5158365"/>
  </r>
  <r>
    <x v="3"/>
    <x v="0"/>
    <x v="3"/>
    <n v="39.043500000000002"/>
    <n v="530945"/>
    <n v="5158325"/>
  </r>
  <r>
    <x v="3"/>
    <x v="0"/>
    <x v="4"/>
    <n v="41.862000000000002"/>
    <n v="531065"/>
    <n v="5158285"/>
  </r>
  <r>
    <x v="3"/>
    <x v="0"/>
    <x v="5"/>
    <n v="36.033799999999999"/>
    <n v="531175"/>
    <n v="5158305"/>
  </r>
  <r>
    <x v="3"/>
    <x v="0"/>
    <x v="6"/>
    <n v="35.777500000000003"/>
    <n v="531255"/>
    <n v="5158375"/>
  </r>
  <r>
    <x v="3"/>
    <x v="0"/>
    <x v="7"/>
    <n v="35.919800000000002"/>
    <n v="531135"/>
    <n v="5158375"/>
  </r>
  <r>
    <x v="3"/>
    <x v="0"/>
    <x v="8"/>
    <n v="38.0062"/>
    <n v="531145"/>
    <n v="5158415"/>
  </r>
  <r>
    <x v="3"/>
    <x v="0"/>
    <x v="9"/>
    <n v="43.205500000000001"/>
    <n v="530985"/>
    <n v="5158435"/>
  </r>
  <r>
    <x v="3"/>
    <x v="0"/>
    <x v="10"/>
    <n v="43.816000000000003"/>
    <n v="530835"/>
    <n v="5158505"/>
  </r>
  <r>
    <x v="3"/>
    <x v="0"/>
    <x v="11"/>
    <n v="40.614600000000003"/>
    <n v="530795"/>
    <n v="5158445"/>
  </r>
  <r>
    <x v="3"/>
    <x v="0"/>
    <x v="12"/>
    <n v="41.0212"/>
    <n v="531035"/>
    <n v="5158355"/>
  </r>
  <r>
    <x v="3"/>
    <x v="0"/>
    <x v="13"/>
    <n v="0"/>
    <n v="531075"/>
    <n v="5158425"/>
  </r>
  <r>
    <x v="3"/>
    <x v="0"/>
    <x v="14"/>
    <n v="38.974899999999998"/>
    <n v="530925"/>
    <n v="5158405"/>
  </r>
  <r>
    <x v="3"/>
    <x v="0"/>
    <x v="15"/>
    <n v="44.200699999999998"/>
    <n v="530895"/>
    <n v="5158505"/>
  </r>
  <r>
    <x v="3"/>
    <x v="0"/>
    <x v="16"/>
    <n v="40.673900000000003"/>
    <n v="530765"/>
    <n v="5158525"/>
  </r>
  <r>
    <x v="3"/>
    <x v="0"/>
    <x v="17"/>
    <n v="42.364699999999999"/>
    <n v="530825"/>
    <n v="5158385"/>
  </r>
  <r>
    <x v="3"/>
    <x v="0"/>
    <x v="18"/>
    <n v="48.3142"/>
    <n v="530995"/>
    <n v="5158255"/>
  </r>
  <r>
    <x v="3"/>
    <x v="0"/>
    <x v="19"/>
    <n v="37.745100000000001"/>
    <n v="530665"/>
    <n v="5158425"/>
  </r>
  <r>
    <x v="3"/>
    <x v="0"/>
    <x v="20"/>
    <n v="35.092100000000002"/>
    <n v="530975"/>
    <n v="5158365"/>
  </r>
  <r>
    <x v="3"/>
    <x v="0"/>
    <x v="21"/>
    <n v="42.873399999999997"/>
    <n v="531185"/>
    <n v="5158375"/>
  </r>
  <r>
    <x v="3"/>
    <x v="0"/>
    <x v="22"/>
    <n v="32.831000000000003"/>
    <n v="530695"/>
    <n v="5158545"/>
  </r>
  <r>
    <x v="3"/>
    <x v="0"/>
    <x v="23"/>
    <n v="46.558700000000002"/>
    <n v="530855"/>
    <n v="5158435"/>
  </r>
  <r>
    <x v="3"/>
    <x v="0"/>
    <x v="24"/>
    <n v="36.441299999999998"/>
    <n v="531125"/>
    <n v="5158315"/>
  </r>
  <r>
    <x v="3"/>
    <x v="0"/>
    <x v="25"/>
    <n v="46.467500000000001"/>
    <n v="531005"/>
    <n v="5158305"/>
  </r>
  <r>
    <x v="3"/>
    <x v="0"/>
    <x v="26"/>
    <n v="49.962800000000001"/>
    <n v="530935"/>
    <n v="5158465"/>
  </r>
  <r>
    <x v="3"/>
    <x v="0"/>
    <x v="27"/>
    <n v="34.5426"/>
    <n v="530725"/>
    <n v="5158485"/>
  </r>
  <r>
    <x v="3"/>
    <x v="0"/>
    <x v="28"/>
    <n v="48.294800000000002"/>
    <n v="531045"/>
    <n v="5158245"/>
  </r>
  <r>
    <x v="3"/>
    <x v="0"/>
    <x v="29"/>
    <n v="0"/>
    <n v="530765"/>
    <n v="5158385"/>
  </r>
  <r>
    <x v="3"/>
    <x v="0"/>
    <x v="30"/>
    <n v="54.798400000000001"/>
    <n v="531115"/>
    <n v="5158265"/>
  </r>
  <r>
    <x v="3"/>
    <x v="0"/>
    <x v="31"/>
    <n v="58.431600000000003"/>
    <n v="531035"/>
    <n v="5158405"/>
  </r>
  <r>
    <x v="3"/>
    <x v="0"/>
    <x v="32"/>
    <n v="38.622300000000003"/>
    <n v="531085"/>
    <n v="5158365"/>
  </r>
  <r>
    <x v="3"/>
    <x v="0"/>
    <x v="33"/>
    <n v="38.632399999999997"/>
    <n v="530775"/>
    <n v="5158485"/>
  </r>
  <r>
    <x v="3"/>
    <x v="0"/>
    <x v="34"/>
    <n v="45.189900000000002"/>
    <n v="530805"/>
    <n v="5158535"/>
  </r>
  <r>
    <x v="3"/>
    <x v="0"/>
    <x v="35"/>
    <n v="39.215600000000002"/>
    <n v="530935"/>
    <n v="5158365"/>
  </r>
  <r>
    <x v="3"/>
    <x v="1"/>
    <x v="0"/>
    <n v="16.190899999999999"/>
    <n v="530675"/>
    <n v="5158485"/>
  </r>
  <r>
    <x v="3"/>
    <x v="1"/>
    <x v="1"/>
    <n v="11.252000000000001"/>
    <n v="530725"/>
    <n v="5158425"/>
  </r>
  <r>
    <x v="3"/>
    <x v="1"/>
    <x v="2"/>
    <n v="18.1721"/>
    <n v="530885"/>
    <n v="5158365"/>
  </r>
  <r>
    <x v="3"/>
    <x v="1"/>
    <x v="3"/>
    <n v="17.0519"/>
    <n v="530945"/>
    <n v="5158325"/>
  </r>
  <r>
    <x v="3"/>
    <x v="1"/>
    <x v="4"/>
    <n v="15.047700000000001"/>
    <n v="531065"/>
    <n v="5158285"/>
  </r>
  <r>
    <x v="3"/>
    <x v="1"/>
    <x v="5"/>
    <n v="9.6127000000000002"/>
    <n v="531175"/>
    <n v="5158305"/>
  </r>
  <r>
    <x v="3"/>
    <x v="1"/>
    <x v="6"/>
    <n v="14.155099999999999"/>
    <n v="531255"/>
    <n v="5158375"/>
  </r>
  <r>
    <x v="3"/>
    <x v="1"/>
    <x v="7"/>
    <n v="17.592099999999999"/>
    <n v="531135"/>
    <n v="5158375"/>
  </r>
  <r>
    <x v="3"/>
    <x v="1"/>
    <x v="8"/>
    <n v="6.0487000000000002"/>
    <n v="531145"/>
    <n v="5158415"/>
  </r>
  <r>
    <x v="3"/>
    <x v="1"/>
    <x v="9"/>
    <n v="10.9008"/>
    <n v="530985"/>
    <n v="5158435"/>
  </r>
  <r>
    <x v="3"/>
    <x v="1"/>
    <x v="10"/>
    <n v="11.085100000000001"/>
    <n v="530835"/>
    <n v="5158505"/>
  </r>
  <r>
    <x v="3"/>
    <x v="1"/>
    <x v="11"/>
    <n v="15.028700000000001"/>
    <n v="530795"/>
    <n v="5158445"/>
  </r>
  <r>
    <x v="3"/>
    <x v="1"/>
    <x v="12"/>
    <n v="15.529500000000001"/>
    <n v="531035"/>
    <n v="5158355"/>
  </r>
  <r>
    <x v="3"/>
    <x v="1"/>
    <x v="13"/>
    <n v="0"/>
    <n v="531075"/>
    <n v="5158425"/>
  </r>
  <r>
    <x v="3"/>
    <x v="1"/>
    <x v="14"/>
    <n v="8.5992999999999995"/>
    <n v="530925"/>
    <n v="5158405"/>
  </r>
  <r>
    <x v="3"/>
    <x v="1"/>
    <x v="15"/>
    <n v="12.897500000000001"/>
    <n v="530895"/>
    <n v="5158505"/>
  </r>
  <r>
    <x v="3"/>
    <x v="1"/>
    <x v="16"/>
    <n v="3.9129999999999998"/>
    <n v="530765"/>
    <n v="5158525"/>
  </r>
  <r>
    <x v="3"/>
    <x v="1"/>
    <x v="17"/>
    <n v="10.8759"/>
    <n v="530825"/>
    <n v="5158385"/>
  </r>
  <r>
    <x v="3"/>
    <x v="1"/>
    <x v="18"/>
    <n v="21.922899999999998"/>
    <n v="530995"/>
    <n v="5158255"/>
  </r>
  <r>
    <x v="3"/>
    <x v="1"/>
    <x v="19"/>
    <n v="5.4473000000000003"/>
    <n v="530665"/>
    <n v="5158425"/>
  </r>
  <r>
    <x v="3"/>
    <x v="1"/>
    <x v="20"/>
    <n v="9.3633000000000006"/>
    <n v="530975"/>
    <n v="5158365"/>
  </r>
  <r>
    <x v="3"/>
    <x v="1"/>
    <x v="21"/>
    <n v="19.058800000000002"/>
    <n v="531185"/>
    <n v="5158375"/>
  </r>
  <r>
    <x v="3"/>
    <x v="1"/>
    <x v="22"/>
    <n v="3.8948999999999998"/>
    <n v="530695"/>
    <n v="5158545"/>
  </r>
  <r>
    <x v="3"/>
    <x v="1"/>
    <x v="23"/>
    <n v="14.484400000000001"/>
    <n v="530855"/>
    <n v="5158435"/>
  </r>
  <r>
    <x v="3"/>
    <x v="1"/>
    <x v="24"/>
    <n v="13.3634"/>
    <n v="531125"/>
    <n v="5158315"/>
  </r>
  <r>
    <x v="3"/>
    <x v="1"/>
    <x v="25"/>
    <n v="16.0959"/>
    <n v="531005"/>
    <n v="5158305"/>
  </r>
  <r>
    <x v="3"/>
    <x v="1"/>
    <x v="26"/>
    <n v="16.722899999999999"/>
    <n v="530935"/>
    <n v="5158465"/>
  </r>
  <r>
    <x v="3"/>
    <x v="1"/>
    <x v="27"/>
    <n v="4.6623999999999999"/>
    <n v="530725"/>
    <n v="5158485"/>
  </r>
  <r>
    <x v="3"/>
    <x v="1"/>
    <x v="28"/>
    <n v="15.311199999999999"/>
    <n v="531045"/>
    <n v="5158245"/>
  </r>
  <r>
    <x v="3"/>
    <x v="1"/>
    <x v="29"/>
    <n v="0"/>
    <n v="530765"/>
    <n v="5158385"/>
  </r>
  <r>
    <x v="3"/>
    <x v="1"/>
    <x v="30"/>
    <n v="19.3719"/>
    <n v="531115"/>
    <n v="5158265"/>
  </r>
  <r>
    <x v="3"/>
    <x v="1"/>
    <x v="31"/>
    <n v="11.193199999999999"/>
    <n v="531035"/>
    <n v="5158405"/>
  </r>
  <r>
    <x v="3"/>
    <x v="1"/>
    <x v="32"/>
    <n v="8.7454000000000001"/>
    <n v="531085"/>
    <n v="5158365"/>
  </r>
  <r>
    <x v="3"/>
    <x v="1"/>
    <x v="33"/>
    <n v="5.3996000000000004"/>
    <n v="530775"/>
    <n v="5158485"/>
  </r>
  <r>
    <x v="3"/>
    <x v="1"/>
    <x v="34"/>
    <n v="11.1813"/>
    <n v="530805"/>
    <n v="5158535"/>
  </r>
  <r>
    <x v="3"/>
    <x v="1"/>
    <x v="35"/>
    <n v="9.7843999999999998"/>
    <n v="530935"/>
    <n v="5158365"/>
  </r>
  <r>
    <x v="3"/>
    <x v="2"/>
    <x v="0"/>
    <n v="29.648299999999999"/>
    <n v="530675"/>
    <n v="5158485"/>
  </r>
  <r>
    <x v="3"/>
    <x v="2"/>
    <x v="1"/>
    <n v="24.362200000000001"/>
    <n v="530725"/>
    <n v="5158425"/>
  </r>
  <r>
    <x v="3"/>
    <x v="2"/>
    <x v="2"/>
    <n v="27.241299999999999"/>
    <n v="530885"/>
    <n v="5158365"/>
  </r>
  <r>
    <x v="3"/>
    <x v="2"/>
    <x v="3"/>
    <n v="21.991599999999998"/>
    <n v="530945"/>
    <n v="5158325"/>
  </r>
  <r>
    <x v="3"/>
    <x v="2"/>
    <x v="4"/>
    <n v="26.814299999999999"/>
    <n v="531065"/>
    <n v="5158285"/>
  </r>
  <r>
    <x v="3"/>
    <x v="2"/>
    <x v="5"/>
    <n v="26.421199999999999"/>
    <n v="531175"/>
    <n v="5158305"/>
  </r>
  <r>
    <x v="3"/>
    <x v="2"/>
    <x v="6"/>
    <n v="21.622499999999999"/>
    <n v="531255"/>
    <n v="5158375"/>
  </r>
  <r>
    <x v="3"/>
    <x v="2"/>
    <x v="7"/>
    <n v="18.3277"/>
    <n v="531135"/>
    <n v="5158375"/>
  </r>
  <r>
    <x v="3"/>
    <x v="2"/>
    <x v="8"/>
    <n v="31.9575"/>
    <n v="531145"/>
    <n v="5158415"/>
  </r>
  <r>
    <x v="3"/>
    <x v="2"/>
    <x v="9"/>
    <n v="32.304699999999997"/>
    <n v="530985"/>
    <n v="5158435"/>
  </r>
  <r>
    <x v="3"/>
    <x v="2"/>
    <x v="10"/>
    <n v="32.730899999999998"/>
    <n v="530835"/>
    <n v="5158505"/>
  </r>
  <r>
    <x v="3"/>
    <x v="2"/>
    <x v="11"/>
    <n v="25.585799999999999"/>
    <n v="530795"/>
    <n v="5158445"/>
  </r>
  <r>
    <x v="3"/>
    <x v="2"/>
    <x v="12"/>
    <n v="25.491800000000001"/>
    <n v="531035"/>
    <n v="5158355"/>
  </r>
  <r>
    <x v="3"/>
    <x v="2"/>
    <x v="13"/>
    <n v="0"/>
    <n v="531075"/>
    <n v="5158425"/>
  </r>
  <r>
    <x v="3"/>
    <x v="2"/>
    <x v="14"/>
    <n v="30.375599999999999"/>
    <n v="530925"/>
    <n v="5158405"/>
  </r>
  <r>
    <x v="3"/>
    <x v="2"/>
    <x v="15"/>
    <n v="31.3032"/>
    <n v="530895"/>
    <n v="5158505"/>
  </r>
  <r>
    <x v="3"/>
    <x v="2"/>
    <x v="16"/>
    <n v="36.760899999999999"/>
    <n v="530765"/>
    <n v="5158525"/>
  </r>
  <r>
    <x v="3"/>
    <x v="2"/>
    <x v="17"/>
    <n v="31.488800000000001"/>
    <n v="530825"/>
    <n v="5158385"/>
  </r>
  <r>
    <x v="3"/>
    <x v="2"/>
    <x v="18"/>
    <n v="26.391300000000001"/>
    <n v="530995"/>
    <n v="5158255"/>
  </r>
  <r>
    <x v="3"/>
    <x v="2"/>
    <x v="19"/>
    <n v="32.297800000000002"/>
    <n v="530665"/>
    <n v="5158425"/>
  </r>
  <r>
    <x v="3"/>
    <x v="2"/>
    <x v="20"/>
    <n v="25.7288"/>
    <n v="530975"/>
    <n v="5158365"/>
  </r>
  <r>
    <x v="3"/>
    <x v="2"/>
    <x v="21"/>
    <n v="23.814599999999999"/>
    <n v="531185"/>
    <n v="5158375"/>
  </r>
  <r>
    <x v="3"/>
    <x v="2"/>
    <x v="22"/>
    <n v="28.9361"/>
    <n v="530695"/>
    <n v="5158545"/>
  </r>
  <r>
    <x v="3"/>
    <x v="2"/>
    <x v="23"/>
    <n v="32.074399999999997"/>
    <n v="530855"/>
    <n v="5158435"/>
  </r>
  <r>
    <x v="3"/>
    <x v="2"/>
    <x v="24"/>
    <n v="23.0778"/>
    <n v="531125"/>
    <n v="5158315"/>
  </r>
  <r>
    <x v="3"/>
    <x v="2"/>
    <x v="25"/>
    <n v="30.371600000000001"/>
    <n v="531005"/>
    <n v="5158305"/>
  </r>
  <r>
    <x v="3"/>
    <x v="2"/>
    <x v="26"/>
    <n v="33.239899999999999"/>
    <n v="530935"/>
    <n v="5158465"/>
  </r>
  <r>
    <x v="3"/>
    <x v="2"/>
    <x v="27"/>
    <n v="29.880199999999999"/>
    <n v="530725"/>
    <n v="5158485"/>
  </r>
  <r>
    <x v="3"/>
    <x v="2"/>
    <x v="28"/>
    <n v="32.983600000000003"/>
    <n v="531045"/>
    <n v="5158245"/>
  </r>
  <r>
    <x v="3"/>
    <x v="2"/>
    <x v="29"/>
    <n v="0"/>
    <n v="530765"/>
    <n v="5158385"/>
  </r>
  <r>
    <x v="3"/>
    <x v="2"/>
    <x v="30"/>
    <n v="35.426499999999997"/>
    <n v="531115"/>
    <n v="5158265"/>
  </r>
  <r>
    <x v="3"/>
    <x v="2"/>
    <x v="31"/>
    <n v="47.238500000000002"/>
    <n v="531035"/>
    <n v="5158405"/>
  </r>
  <r>
    <x v="3"/>
    <x v="2"/>
    <x v="32"/>
    <n v="29.876899999999999"/>
    <n v="531085"/>
    <n v="5158365"/>
  </r>
  <r>
    <x v="3"/>
    <x v="2"/>
    <x v="33"/>
    <n v="33.232799999999997"/>
    <n v="530775"/>
    <n v="5158485"/>
  </r>
  <r>
    <x v="3"/>
    <x v="2"/>
    <x v="34"/>
    <n v="34.008600000000001"/>
    <n v="530805"/>
    <n v="5158535"/>
  </r>
  <r>
    <x v="3"/>
    <x v="2"/>
    <x v="35"/>
    <n v="29.4312"/>
    <n v="530935"/>
    <n v="51583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J4:N40" firstHeaderRow="1" firstDataRow="2" firstDataCol="1" rowPageCount="1" colPageCount="1"/>
  <pivotFields count="6">
    <pivotField axis="axisPage" showAll="0">
      <items count="5">
        <item x="0"/>
        <item x="1"/>
        <item x="2"/>
        <item x="3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  <pivotField showAll="0"/>
    <pivotField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item="2" hier="-1"/>
  </pageFields>
  <dataFields count="1">
    <dataField name="Sum of Ec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2:W16" firstHeaderRow="1" firstDataRow="2" firstDataCol="1"/>
  <pivotFields count="5">
    <pivotField axis="axisCol" numFmtId="1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LAI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showError="1" updatedVersion="4" minRefreshableVersion="3" useAutoFormatting="1" rowGrandTotals="0" colGrandTotals="0" itemPrintTitles="1" createdVersion="4" indent="0" compact="0" compactData="0" multipleFieldFilters="0">
  <location ref="CY4:CZ16" firstHeaderRow="1" firstDataRow="1" firstDataCol="1" rowPageCount="1" colPageCount="1"/>
  <pivotFields count="9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h="1" x="0"/>
        <item h="1" x="1"/>
        <item h="1" x="2"/>
        <item h="1"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pageFields count="1">
    <pageField fld="2" hier="-1"/>
  </pageFields>
  <dataFields count="1">
    <dataField name="Average of TC-2012" fld="1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7"/>
  <sheetViews>
    <sheetView workbookViewId="0">
      <selection activeCell="M29" sqref="M29"/>
    </sheetView>
  </sheetViews>
  <sheetFormatPr defaultRowHeight="15"/>
  <cols>
    <col min="2" max="2" width="9.7109375" bestFit="1" customWidth="1"/>
  </cols>
  <sheetData>
    <row r="1" spans="2:15">
      <c r="B1" t="s">
        <v>238</v>
      </c>
    </row>
    <row r="3" spans="2:15">
      <c r="C3" t="s">
        <v>87</v>
      </c>
      <c r="D3" t="s">
        <v>88</v>
      </c>
      <c r="E3" t="s">
        <v>89</v>
      </c>
      <c r="F3" t="s">
        <v>90</v>
      </c>
      <c r="G3" t="s">
        <v>91</v>
      </c>
      <c r="H3" t="s">
        <v>92</v>
      </c>
      <c r="I3" t="s">
        <v>93</v>
      </c>
      <c r="J3" t="s">
        <v>94</v>
      </c>
      <c r="K3" t="s">
        <v>95</v>
      </c>
      <c r="L3" t="s">
        <v>96</v>
      </c>
      <c r="M3" t="s">
        <v>97</v>
      </c>
      <c r="N3" t="s">
        <v>98</v>
      </c>
    </row>
    <row r="4" spans="2:15">
      <c r="B4" s="1">
        <v>40931</v>
      </c>
      <c r="C4">
        <v>3.75</v>
      </c>
      <c r="D4">
        <v>4</v>
      </c>
      <c r="E4">
        <v>3.25</v>
      </c>
      <c r="F4">
        <v>3.5</v>
      </c>
      <c r="G4">
        <v>3.75</v>
      </c>
      <c r="H4">
        <v>4.25</v>
      </c>
      <c r="I4">
        <v>4.25</v>
      </c>
      <c r="J4">
        <v>4</v>
      </c>
      <c r="K4">
        <v>2.5</v>
      </c>
      <c r="M4">
        <v>3.5</v>
      </c>
      <c r="N4">
        <v>3.75</v>
      </c>
    </row>
    <row r="5" spans="2:15">
      <c r="B5" s="1">
        <v>40935</v>
      </c>
      <c r="C5" t="s">
        <v>239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239</v>
      </c>
      <c r="K5">
        <v>0</v>
      </c>
      <c r="L5" t="s">
        <v>99</v>
      </c>
      <c r="M5" t="s">
        <v>99</v>
      </c>
      <c r="N5" t="s">
        <v>99</v>
      </c>
    </row>
    <row r="6" spans="2:15">
      <c r="B6" s="1">
        <v>41278</v>
      </c>
      <c r="C6">
        <v>3</v>
      </c>
      <c r="D6">
        <v>3</v>
      </c>
      <c r="E6">
        <v>2.5</v>
      </c>
      <c r="F6">
        <v>3.25</v>
      </c>
      <c r="G6">
        <v>1.5</v>
      </c>
      <c r="H6">
        <v>3.5</v>
      </c>
      <c r="I6">
        <v>3.5</v>
      </c>
      <c r="J6">
        <v>2</v>
      </c>
      <c r="K6">
        <v>2.5</v>
      </c>
      <c r="L6">
        <v>3</v>
      </c>
      <c r="M6">
        <v>3</v>
      </c>
      <c r="N6">
        <v>3.5</v>
      </c>
    </row>
    <row r="7" spans="2:15">
      <c r="B7" s="1">
        <v>41284</v>
      </c>
      <c r="C7">
        <v>5</v>
      </c>
      <c r="D7">
        <v>3</v>
      </c>
      <c r="E7">
        <v>5</v>
      </c>
      <c r="G7">
        <v>5</v>
      </c>
      <c r="H7">
        <v>3.5</v>
      </c>
      <c r="I7">
        <v>6</v>
      </c>
      <c r="K7">
        <v>2</v>
      </c>
      <c r="L7">
        <v>7</v>
      </c>
      <c r="M7">
        <v>6</v>
      </c>
      <c r="N7">
        <v>5.5</v>
      </c>
    </row>
    <row r="8" spans="2:15">
      <c r="B8" s="1">
        <v>41304</v>
      </c>
      <c r="C8">
        <v>5</v>
      </c>
      <c r="D8">
        <v>2</v>
      </c>
      <c r="E8">
        <v>4.5</v>
      </c>
      <c r="F8">
        <v>3.5</v>
      </c>
      <c r="G8">
        <v>4.5</v>
      </c>
      <c r="H8">
        <v>4.5</v>
      </c>
      <c r="I8">
        <v>5</v>
      </c>
      <c r="J8">
        <v>3</v>
      </c>
      <c r="K8" s="7">
        <v>3</v>
      </c>
      <c r="L8">
        <v>6</v>
      </c>
      <c r="M8">
        <v>5.5</v>
      </c>
      <c r="N8">
        <v>6.5</v>
      </c>
    </row>
    <row r="9" spans="2:15">
      <c r="B9" s="1">
        <v>41680</v>
      </c>
      <c r="C9" s="48" t="s">
        <v>240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</row>
    <row r="10" spans="2:15">
      <c r="B10" s="1">
        <v>41689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2:15">
      <c r="B11" s="1">
        <v>41704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2:15">
      <c r="B12" s="1">
        <v>41711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2:15">
      <c r="B13" s="1">
        <v>41717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2:15">
      <c r="B14" t="s">
        <v>241</v>
      </c>
    </row>
    <row r="15" spans="2:15"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242</v>
      </c>
    </row>
    <row r="16" spans="2:15">
      <c r="B16" s="1">
        <v>41278</v>
      </c>
      <c r="C16">
        <v>13</v>
      </c>
      <c r="D16">
        <v>13.5</v>
      </c>
      <c r="E16">
        <v>13</v>
      </c>
      <c r="F16">
        <v>13</v>
      </c>
      <c r="G16">
        <v>12.75</v>
      </c>
      <c r="H16">
        <v>13.5</v>
      </c>
      <c r="I16">
        <v>13.5</v>
      </c>
      <c r="J16">
        <v>13</v>
      </c>
      <c r="K16">
        <v>13</v>
      </c>
      <c r="L16">
        <v>13</v>
      </c>
      <c r="M16">
        <v>13</v>
      </c>
      <c r="N16">
        <v>13.5</v>
      </c>
      <c r="O16">
        <v>12.5</v>
      </c>
    </row>
    <row r="17" spans="2:15">
      <c r="B17" s="1">
        <v>41304</v>
      </c>
      <c r="C17">
        <v>14</v>
      </c>
      <c r="D17">
        <v>13</v>
      </c>
      <c r="E17">
        <v>14</v>
      </c>
      <c r="F17">
        <v>14</v>
      </c>
      <c r="G17">
        <v>15</v>
      </c>
      <c r="H17">
        <v>15</v>
      </c>
      <c r="I17">
        <v>16</v>
      </c>
      <c r="K17" s="7">
        <v>14.5</v>
      </c>
      <c r="L17">
        <v>16</v>
      </c>
      <c r="M17">
        <v>17</v>
      </c>
      <c r="N17">
        <v>16</v>
      </c>
      <c r="O17">
        <v>12.5</v>
      </c>
    </row>
  </sheetData>
  <mergeCells count="1">
    <mergeCell ref="C9:N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7"/>
  <sheetViews>
    <sheetView workbookViewId="0">
      <selection activeCell="L7" sqref="L7"/>
    </sheetView>
  </sheetViews>
  <sheetFormatPr defaultRowHeight="15"/>
  <cols>
    <col min="10" max="10" width="13.140625" customWidth="1"/>
    <col min="11" max="11" width="16.28515625" customWidth="1"/>
    <col min="12" max="12" width="6" customWidth="1"/>
    <col min="13" max="13" width="10" customWidth="1"/>
    <col min="14" max="14" width="11.28515625" bestFit="1" customWidth="1"/>
  </cols>
  <sheetData>
    <row r="1" spans="1:14">
      <c r="A1" t="s">
        <v>223</v>
      </c>
      <c r="B1" t="s">
        <v>224</v>
      </c>
      <c r="C1" t="s">
        <v>5</v>
      </c>
      <c r="D1" t="s">
        <v>225</v>
      </c>
      <c r="E1" t="s">
        <v>226</v>
      </c>
      <c r="F1" t="s">
        <v>227</v>
      </c>
    </row>
    <row r="2" spans="1:14">
      <c r="A2" t="s">
        <v>228</v>
      </c>
      <c r="B2" t="s">
        <v>229</v>
      </c>
      <c r="C2">
        <v>1</v>
      </c>
      <c r="D2">
        <v>39.1</v>
      </c>
      <c r="E2">
        <v>466413.66</v>
      </c>
      <c r="F2">
        <v>5182371.3600000003</v>
      </c>
      <c r="J2" s="2" t="s">
        <v>223</v>
      </c>
      <c r="K2" t="s">
        <v>230</v>
      </c>
    </row>
    <row r="3" spans="1:14">
      <c r="A3" t="s">
        <v>228</v>
      </c>
      <c r="B3" t="s">
        <v>229</v>
      </c>
      <c r="C3">
        <v>2</v>
      </c>
      <c r="D3">
        <v>41.246499999999997</v>
      </c>
      <c r="E3">
        <v>466493.66</v>
      </c>
      <c r="F3">
        <v>5182421.3600000003</v>
      </c>
    </row>
    <row r="4" spans="1:14">
      <c r="A4" t="s">
        <v>228</v>
      </c>
      <c r="B4" t="s">
        <v>229</v>
      </c>
      <c r="C4">
        <v>3</v>
      </c>
      <c r="D4">
        <v>17.642600000000002</v>
      </c>
      <c r="E4">
        <v>466373.66</v>
      </c>
      <c r="F4">
        <v>5182241.3600000003</v>
      </c>
      <c r="J4" s="2" t="s">
        <v>231</v>
      </c>
      <c r="K4" s="2" t="s">
        <v>3</v>
      </c>
    </row>
    <row r="5" spans="1:14">
      <c r="A5" t="s">
        <v>228</v>
      </c>
      <c r="B5" t="s">
        <v>229</v>
      </c>
      <c r="C5">
        <v>4</v>
      </c>
      <c r="D5">
        <v>30.5152</v>
      </c>
      <c r="E5">
        <v>466233.66</v>
      </c>
      <c r="F5">
        <v>5182211.3600000003</v>
      </c>
      <c r="J5" s="2" t="s">
        <v>2</v>
      </c>
      <c r="K5" t="s">
        <v>232</v>
      </c>
      <c r="L5" t="s">
        <v>233</v>
      </c>
      <c r="M5" t="s">
        <v>229</v>
      </c>
      <c r="N5" t="s">
        <v>54</v>
      </c>
    </row>
    <row r="6" spans="1:14">
      <c r="A6" t="s">
        <v>228</v>
      </c>
      <c r="B6" t="s">
        <v>229</v>
      </c>
      <c r="C6">
        <v>5</v>
      </c>
      <c r="D6">
        <v>17.4221</v>
      </c>
      <c r="E6">
        <v>466273.66</v>
      </c>
      <c r="F6">
        <v>5182151.3600000003</v>
      </c>
      <c r="J6" s="5">
        <v>1</v>
      </c>
      <c r="K6" s="4">
        <v>30.1296</v>
      </c>
      <c r="L6" s="4">
        <v>7.5</v>
      </c>
      <c r="M6" s="4">
        <v>37.629600000000003</v>
      </c>
      <c r="N6" s="4">
        <v>75.259199999999993</v>
      </c>
    </row>
    <row r="7" spans="1:14">
      <c r="A7" t="s">
        <v>228</v>
      </c>
      <c r="B7" t="s">
        <v>229</v>
      </c>
      <c r="C7">
        <v>6</v>
      </c>
      <c r="D7">
        <v>20.7699</v>
      </c>
      <c r="E7">
        <v>466363.66</v>
      </c>
      <c r="F7">
        <v>5182131.3600000003</v>
      </c>
      <c r="J7" s="5">
        <v>2</v>
      </c>
      <c r="K7" s="4">
        <v>40.021799999999999</v>
      </c>
      <c r="L7" s="4">
        <v>16.8</v>
      </c>
      <c r="M7" s="4">
        <v>56.821800000000003</v>
      </c>
      <c r="N7" s="4">
        <v>113.64359999999999</v>
      </c>
    </row>
    <row r="8" spans="1:14">
      <c r="A8" t="s">
        <v>228</v>
      </c>
      <c r="B8" t="s">
        <v>229</v>
      </c>
      <c r="C8">
        <v>7</v>
      </c>
      <c r="D8">
        <v>26.6892</v>
      </c>
      <c r="E8">
        <v>466393.66</v>
      </c>
      <c r="F8">
        <v>5182061.3600000003</v>
      </c>
      <c r="J8" s="5">
        <v>3</v>
      </c>
      <c r="K8" s="4">
        <v>27.265499999999999</v>
      </c>
      <c r="L8" s="4">
        <v>9.9</v>
      </c>
      <c r="M8" s="4">
        <v>37.165500000000002</v>
      </c>
      <c r="N8" s="4">
        <v>74.331000000000003</v>
      </c>
    </row>
    <row r="9" spans="1:14">
      <c r="A9" t="s">
        <v>228</v>
      </c>
      <c r="B9" t="s">
        <v>229</v>
      </c>
      <c r="C9">
        <v>8</v>
      </c>
      <c r="D9">
        <v>32.1006</v>
      </c>
      <c r="E9">
        <v>466423.66</v>
      </c>
      <c r="F9">
        <v>5182161.3600000003</v>
      </c>
      <c r="J9" s="5">
        <v>4</v>
      </c>
      <c r="K9" s="4">
        <v>45.589799999999997</v>
      </c>
      <c r="L9" s="4">
        <v>8</v>
      </c>
      <c r="M9" s="4">
        <v>53.589799999999997</v>
      </c>
      <c r="N9" s="4">
        <v>107.17959999999999</v>
      </c>
    </row>
    <row r="10" spans="1:14">
      <c r="A10" t="s">
        <v>228</v>
      </c>
      <c r="B10" t="s">
        <v>229</v>
      </c>
      <c r="C10">
        <v>9</v>
      </c>
      <c r="D10">
        <v>29.983699999999999</v>
      </c>
      <c r="E10">
        <v>466463.66</v>
      </c>
      <c r="F10">
        <v>5182181.3600000003</v>
      </c>
      <c r="J10" s="5">
        <v>5</v>
      </c>
      <c r="K10" s="4">
        <v>42.544800000000002</v>
      </c>
      <c r="L10" s="4">
        <v>20.6</v>
      </c>
      <c r="M10" s="4">
        <v>63.144799999999996</v>
      </c>
      <c r="N10" s="4">
        <v>126.28960000000001</v>
      </c>
    </row>
    <row r="11" spans="1:14">
      <c r="A11" t="s">
        <v>228</v>
      </c>
      <c r="B11" t="s">
        <v>229</v>
      </c>
      <c r="C11">
        <v>10</v>
      </c>
      <c r="D11">
        <v>23.362400000000001</v>
      </c>
      <c r="E11">
        <v>466493.66</v>
      </c>
      <c r="F11">
        <v>5182251.3600000003</v>
      </c>
      <c r="J11" s="5">
        <v>6</v>
      </c>
      <c r="K11" s="4">
        <v>40.670299999999997</v>
      </c>
      <c r="L11" s="4">
        <v>6.9</v>
      </c>
      <c r="M11" s="4">
        <v>47.570300000000003</v>
      </c>
      <c r="N11" s="4">
        <v>95.140600000000006</v>
      </c>
    </row>
    <row r="12" spans="1:14">
      <c r="A12" t="s">
        <v>228</v>
      </c>
      <c r="B12" t="s">
        <v>229</v>
      </c>
      <c r="C12">
        <v>11</v>
      </c>
      <c r="D12">
        <v>23.506699999999999</v>
      </c>
      <c r="E12">
        <v>466493.66</v>
      </c>
      <c r="F12">
        <v>5182281.3600000003</v>
      </c>
      <c r="J12" s="5">
        <v>7</v>
      </c>
      <c r="K12" s="4">
        <v>54.790300000000002</v>
      </c>
      <c r="L12" s="4">
        <v>6.5</v>
      </c>
      <c r="M12" s="4">
        <v>61.290300000000002</v>
      </c>
      <c r="N12" s="4">
        <v>122.5806</v>
      </c>
    </row>
    <row r="13" spans="1:14">
      <c r="A13" t="s">
        <v>228</v>
      </c>
      <c r="B13" t="s">
        <v>229</v>
      </c>
      <c r="C13">
        <v>12</v>
      </c>
      <c r="D13">
        <v>17.7301</v>
      </c>
      <c r="E13">
        <v>466553.66</v>
      </c>
      <c r="F13">
        <v>5182171.3600000003</v>
      </c>
      <c r="J13" s="5">
        <v>8</v>
      </c>
      <c r="K13" s="4">
        <v>36.565800000000003</v>
      </c>
      <c r="L13" s="4">
        <v>7.6</v>
      </c>
      <c r="M13" s="4">
        <v>44.165799999999997</v>
      </c>
      <c r="N13" s="4">
        <v>88.331600000000009</v>
      </c>
    </row>
    <row r="14" spans="1:14">
      <c r="A14" t="s">
        <v>228</v>
      </c>
      <c r="B14" t="s">
        <v>229</v>
      </c>
      <c r="C14">
        <v>13</v>
      </c>
      <c r="D14">
        <v>18.890499999999999</v>
      </c>
      <c r="E14">
        <v>466323.66</v>
      </c>
      <c r="F14">
        <v>5182201.3600000003</v>
      </c>
      <c r="J14" s="5">
        <v>9</v>
      </c>
      <c r="K14" s="4">
        <v>42.3369</v>
      </c>
      <c r="L14" s="4">
        <v>9.5</v>
      </c>
      <c r="M14" s="4">
        <v>51.8369</v>
      </c>
      <c r="N14" s="4">
        <v>103.6738</v>
      </c>
    </row>
    <row r="15" spans="1:14">
      <c r="A15" t="s">
        <v>228</v>
      </c>
      <c r="B15" t="s">
        <v>229</v>
      </c>
      <c r="C15">
        <v>14</v>
      </c>
      <c r="D15">
        <v>23.834599999999998</v>
      </c>
      <c r="E15">
        <v>466603.66</v>
      </c>
      <c r="F15">
        <v>5182231.3600000003</v>
      </c>
      <c r="J15" s="5">
        <v>10</v>
      </c>
      <c r="K15" s="4">
        <v>38.401600000000002</v>
      </c>
      <c r="L15" s="4">
        <v>15.1</v>
      </c>
      <c r="M15" s="4">
        <v>53.501600000000003</v>
      </c>
      <c r="N15" s="4">
        <v>107.00320000000001</v>
      </c>
    </row>
    <row r="16" spans="1:14">
      <c r="A16" t="s">
        <v>228</v>
      </c>
      <c r="B16" t="s">
        <v>229</v>
      </c>
      <c r="C16">
        <v>15</v>
      </c>
      <c r="D16">
        <v>18.323</v>
      </c>
      <c r="E16">
        <v>466483.66</v>
      </c>
      <c r="F16">
        <v>5182081.3600000003</v>
      </c>
      <c r="J16" s="5">
        <v>11</v>
      </c>
      <c r="K16" s="4">
        <v>27.805800000000001</v>
      </c>
      <c r="L16" s="4">
        <v>10</v>
      </c>
      <c r="M16" s="4">
        <v>37.805799999999998</v>
      </c>
      <c r="N16" s="4">
        <v>75.61160000000001</v>
      </c>
    </row>
    <row r="17" spans="1:14">
      <c r="A17" t="s">
        <v>228</v>
      </c>
      <c r="B17" t="s">
        <v>229</v>
      </c>
      <c r="C17">
        <v>16</v>
      </c>
      <c r="D17">
        <v>24.743400000000001</v>
      </c>
      <c r="E17">
        <v>466153.66</v>
      </c>
      <c r="F17">
        <v>5182151.3600000003</v>
      </c>
      <c r="J17" s="5">
        <v>12</v>
      </c>
      <c r="K17" s="4">
        <v>39.853999999999999</v>
      </c>
      <c r="L17" s="4">
        <v>13.4</v>
      </c>
      <c r="M17" s="4">
        <v>53.253999999999998</v>
      </c>
      <c r="N17" s="4">
        <v>106.508</v>
      </c>
    </row>
    <row r="18" spans="1:14">
      <c r="A18" t="s">
        <v>228</v>
      </c>
      <c r="B18" t="s">
        <v>229</v>
      </c>
      <c r="C18">
        <v>17</v>
      </c>
      <c r="D18">
        <v>0</v>
      </c>
      <c r="E18">
        <v>466193.66</v>
      </c>
      <c r="F18">
        <v>5182091.3600000003</v>
      </c>
      <c r="J18" s="5">
        <v>13</v>
      </c>
      <c r="K18" s="4">
        <v>42.346699999999998</v>
      </c>
      <c r="L18" s="4">
        <v>9</v>
      </c>
      <c r="M18" s="4">
        <v>51.346699999999998</v>
      </c>
      <c r="N18" s="4">
        <v>102.6934</v>
      </c>
    </row>
    <row r="19" spans="1:14">
      <c r="A19" t="s">
        <v>228</v>
      </c>
      <c r="B19" t="s">
        <v>229</v>
      </c>
      <c r="C19">
        <v>18</v>
      </c>
      <c r="D19">
        <v>32.672199999999997</v>
      </c>
      <c r="E19">
        <v>466533.66</v>
      </c>
      <c r="F19">
        <v>5182351.3600000003</v>
      </c>
      <c r="J19" s="5">
        <v>15</v>
      </c>
      <c r="K19" s="4">
        <v>34.055700000000002</v>
      </c>
      <c r="L19" s="4">
        <v>4.5999999999999996</v>
      </c>
      <c r="M19" s="4">
        <v>38.655700000000003</v>
      </c>
      <c r="N19" s="4">
        <v>77.311400000000006</v>
      </c>
    </row>
    <row r="20" spans="1:14">
      <c r="A20" t="s">
        <v>228</v>
      </c>
      <c r="B20" t="s">
        <v>229</v>
      </c>
      <c r="C20">
        <v>19</v>
      </c>
      <c r="D20">
        <v>34.330199999999998</v>
      </c>
      <c r="E20">
        <v>466303.66</v>
      </c>
      <c r="F20">
        <v>5182261.3600000003</v>
      </c>
      <c r="J20" s="5">
        <v>16</v>
      </c>
      <c r="K20" s="4">
        <v>15.2506</v>
      </c>
      <c r="L20" s="4">
        <v>24.4</v>
      </c>
      <c r="M20" s="4">
        <v>39.650599999999997</v>
      </c>
      <c r="N20" s="4">
        <v>79.301199999999994</v>
      </c>
    </row>
    <row r="21" spans="1:14">
      <c r="A21" t="s">
        <v>228</v>
      </c>
      <c r="B21" t="s">
        <v>229</v>
      </c>
      <c r="C21">
        <v>20</v>
      </c>
      <c r="D21">
        <v>25.3886</v>
      </c>
      <c r="E21">
        <v>466313.66</v>
      </c>
      <c r="F21">
        <v>5182341.3600000003</v>
      </c>
      <c r="J21" s="5">
        <v>17</v>
      </c>
      <c r="K21" s="4">
        <v>38.398400000000002</v>
      </c>
      <c r="L21" s="4">
        <v>13.2</v>
      </c>
      <c r="M21" s="4">
        <v>51.598399999999998</v>
      </c>
      <c r="N21" s="4">
        <v>103.1968</v>
      </c>
    </row>
    <row r="22" spans="1:14">
      <c r="A22" t="s">
        <v>228</v>
      </c>
      <c r="B22" t="s">
        <v>229</v>
      </c>
      <c r="C22">
        <v>21</v>
      </c>
      <c r="D22">
        <v>26.181699999999999</v>
      </c>
      <c r="E22">
        <v>466213.66</v>
      </c>
      <c r="F22">
        <v>5182281.3600000003</v>
      </c>
      <c r="J22" s="5">
        <v>18</v>
      </c>
      <c r="K22" s="4">
        <v>0</v>
      </c>
      <c r="L22" s="4">
        <v>0</v>
      </c>
      <c r="M22" s="4">
        <v>0</v>
      </c>
      <c r="N22" s="4">
        <v>0</v>
      </c>
    </row>
    <row r="23" spans="1:14">
      <c r="A23" t="s">
        <v>228</v>
      </c>
      <c r="B23" t="s">
        <v>229</v>
      </c>
      <c r="C23">
        <v>22</v>
      </c>
      <c r="D23">
        <v>20.462199999999999</v>
      </c>
      <c r="E23">
        <v>466153.66</v>
      </c>
      <c r="F23">
        <v>5182231.3600000003</v>
      </c>
      <c r="J23" s="5">
        <v>19</v>
      </c>
      <c r="K23" s="4">
        <v>31.635200000000001</v>
      </c>
      <c r="L23" s="4">
        <v>6.6</v>
      </c>
      <c r="M23" s="4">
        <v>38.235300000000002</v>
      </c>
      <c r="N23" s="4">
        <v>76.470500000000001</v>
      </c>
    </row>
    <row r="24" spans="1:14">
      <c r="A24" t="s">
        <v>228</v>
      </c>
      <c r="B24" t="s">
        <v>229</v>
      </c>
      <c r="C24">
        <v>23</v>
      </c>
      <c r="D24">
        <v>0</v>
      </c>
      <c r="E24">
        <v>466593.66</v>
      </c>
      <c r="F24">
        <v>5182311.3600000003</v>
      </c>
      <c r="J24" s="5">
        <v>20</v>
      </c>
      <c r="K24" s="4">
        <v>0</v>
      </c>
      <c r="L24" s="4">
        <v>0</v>
      </c>
      <c r="M24" s="4">
        <v>0</v>
      </c>
      <c r="N24" s="4">
        <v>0</v>
      </c>
    </row>
    <row r="25" spans="1:14">
      <c r="A25" t="s">
        <v>228</v>
      </c>
      <c r="B25" t="s">
        <v>229</v>
      </c>
      <c r="C25">
        <v>24</v>
      </c>
      <c r="D25">
        <v>27.546600000000002</v>
      </c>
      <c r="E25">
        <v>466283.66</v>
      </c>
      <c r="F25">
        <v>5182051.3600000003</v>
      </c>
      <c r="J25" s="5">
        <v>21</v>
      </c>
      <c r="K25" s="4">
        <v>30.971800000000002</v>
      </c>
      <c r="L25" s="4">
        <v>10.4</v>
      </c>
      <c r="M25" s="4">
        <v>41.3718</v>
      </c>
      <c r="N25" s="4">
        <v>82.743600000000001</v>
      </c>
    </row>
    <row r="26" spans="1:14">
      <c r="A26" t="s">
        <v>228</v>
      </c>
      <c r="B26" t="s">
        <v>229</v>
      </c>
      <c r="C26">
        <v>25</v>
      </c>
      <c r="D26">
        <v>21.829899999999999</v>
      </c>
      <c r="E26">
        <v>466413.66</v>
      </c>
      <c r="F26">
        <v>5182441.3600000003</v>
      </c>
      <c r="J26" s="5">
        <v>22</v>
      </c>
      <c r="K26" s="4">
        <v>0</v>
      </c>
      <c r="L26" s="4">
        <v>0</v>
      </c>
      <c r="M26" s="4">
        <v>0</v>
      </c>
      <c r="N26" s="4">
        <v>0</v>
      </c>
    </row>
    <row r="27" spans="1:14">
      <c r="A27" t="s">
        <v>228</v>
      </c>
      <c r="B27" t="s">
        <v>229</v>
      </c>
      <c r="C27">
        <v>26</v>
      </c>
      <c r="D27">
        <v>21.5472</v>
      </c>
      <c r="E27">
        <v>466493.66</v>
      </c>
      <c r="F27">
        <v>5182501.3600000003</v>
      </c>
      <c r="J27" s="5">
        <v>23</v>
      </c>
      <c r="K27" s="4">
        <v>34.234499999999997</v>
      </c>
      <c r="L27" s="4">
        <v>18.899999999999999</v>
      </c>
      <c r="M27" s="4">
        <v>53.134500000000003</v>
      </c>
      <c r="N27" s="4">
        <v>106.26900000000001</v>
      </c>
    </row>
    <row r="28" spans="1:14">
      <c r="A28" t="s">
        <v>228</v>
      </c>
      <c r="B28" t="s">
        <v>229</v>
      </c>
      <c r="C28">
        <v>27</v>
      </c>
      <c r="D28">
        <v>27.835100000000001</v>
      </c>
      <c r="E28">
        <v>466423.66</v>
      </c>
      <c r="F28">
        <v>5182291.3600000003</v>
      </c>
      <c r="J28" s="5">
        <v>24</v>
      </c>
      <c r="K28" s="4">
        <v>28.308599999999998</v>
      </c>
      <c r="L28" s="4">
        <v>8.5</v>
      </c>
      <c r="M28" s="4">
        <v>36.808599999999998</v>
      </c>
      <c r="N28" s="4">
        <v>73.617199999999997</v>
      </c>
    </row>
    <row r="29" spans="1:14">
      <c r="A29" t="s">
        <v>228</v>
      </c>
      <c r="B29" t="s">
        <v>229</v>
      </c>
      <c r="C29">
        <v>28</v>
      </c>
      <c r="D29">
        <v>19.1861</v>
      </c>
      <c r="E29">
        <v>466613.66</v>
      </c>
      <c r="F29">
        <v>5182171.3600000003</v>
      </c>
      <c r="J29" s="5">
        <v>25</v>
      </c>
      <c r="K29" s="4">
        <v>32.555100000000003</v>
      </c>
      <c r="L29" s="4">
        <v>8.5</v>
      </c>
      <c r="M29" s="4">
        <v>41.055100000000003</v>
      </c>
      <c r="N29" s="4">
        <v>82.110200000000006</v>
      </c>
    </row>
    <row r="30" spans="1:14">
      <c r="A30" t="s">
        <v>228</v>
      </c>
      <c r="B30" t="s">
        <v>229</v>
      </c>
      <c r="C30">
        <v>29</v>
      </c>
      <c r="D30">
        <v>17.707100000000001</v>
      </c>
      <c r="E30">
        <v>466643.66</v>
      </c>
      <c r="F30">
        <v>5182271.3600000003</v>
      </c>
      <c r="J30" s="5">
        <v>26</v>
      </c>
      <c r="K30" s="4">
        <v>31.389800000000001</v>
      </c>
      <c r="L30" s="4">
        <v>10.8</v>
      </c>
      <c r="M30" s="4">
        <v>42.189799999999998</v>
      </c>
      <c r="N30" s="4">
        <v>84.379600000000011</v>
      </c>
    </row>
    <row r="31" spans="1:14">
      <c r="A31" t="s">
        <v>228</v>
      </c>
      <c r="B31" t="s">
        <v>229</v>
      </c>
      <c r="C31">
        <v>30</v>
      </c>
      <c r="D31">
        <v>26.211600000000001</v>
      </c>
      <c r="E31">
        <v>466333.66</v>
      </c>
      <c r="F31">
        <v>5182021.3600000003</v>
      </c>
      <c r="J31" s="5">
        <v>27</v>
      </c>
      <c r="K31" s="4">
        <v>32.407899999999998</v>
      </c>
      <c r="L31" s="4">
        <v>12</v>
      </c>
      <c r="M31" s="4">
        <v>44.407899999999998</v>
      </c>
      <c r="N31" s="4">
        <v>88.815799999999996</v>
      </c>
    </row>
    <row r="32" spans="1:14">
      <c r="A32" t="s">
        <v>228</v>
      </c>
      <c r="B32" t="s">
        <v>229</v>
      </c>
      <c r="C32">
        <v>31</v>
      </c>
      <c r="D32">
        <v>19.756799999999998</v>
      </c>
      <c r="E32">
        <v>466463.66</v>
      </c>
      <c r="F32">
        <v>5182341.3600000003</v>
      </c>
      <c r="J32" s="5">
        <v>28</v>
      </c>
      <c r="K32" s="4">
        <v>0</v>
      </c>
      <c r="L32" s="4">
        <v>0</v>
      </c>
      <c r="M32" s="4">
        <v>0</v>
      </c>
      <c r="N32" s="4">
        <v>0</v>
      </c>
    </row>
    <row r="33" spans="1:14">
      <c r="A33" t="s">
        <v>228</v>
      </c>
      <c r="B33" t="s">
        <v>229</v>
      </c>
      <c r="C33">
        <v>32</v>
      </c>
      <c r="D33">
        <v>24.7454</v>
      </c>
      <c r="E33">
        <v>466123.66</v>
      </c>
      <c r="F33">
        <v>5182111.3600000003</v>
      </c>
      <c r="J33" s="5">
        <v>29</v>
      </c>
      <c r="K33" s="4">
        <v>38.258699999999997</v>
      </c>
      <c r="L33" s="4">
        <v>13</v>
      </c>
      <c r="M33" s="4">
        <v>51.258699999999997</v>
      </c>
      <c r="N33" s="4">
        <v>102.51739999999999</v>
      </c>
    </row>
    <row r="34" spans="1:14">
      <c r="A34" t="s">
        <v>228</v>
      </c>
      <c r="B34" t="s">
        <v>229</v>
      </c>
      <c r="C34">
        <v>33</v>
      </c>
      <c r="D34">
        <v>35.6096</v>
      </c>
      <c r="E34">
        <v>466333.66</v>
      </c>
      <c r="F34">
        <v>5182081.3600000003</v>
      </c>
      <c r="J34" s="5">
        <v>30</v>
      </c>
      <c r="K34" s="4">
        <v>35.773000000000003</v>
      </c>
      <c r="L34" s="4">
        <v>18.5</v>
      </c>
      <c r="M34" s="4">
        <v>54.273000000000003</v>
      </c>
      <c r="N34" s="4">
        <v>108.54600000000001</v>
      </c>
    </row>
    <row r="35" spans="1:14">
      <c r="A35" t="s">
        <v>228</v>
      </c>
      <c r="B35" t="s">
        <v>229</v>
      </c>
      <c r="C35">
        <v>34</v>
      </c>
      <c r="D35">
        <v>24.832100000000001</v>
      </c>
      <c r="E35">
        <v>466543.66</v>
      </c>
      <c r="F35">
        <v>5182241.3600000003</v>
      </c>
      <c r="J35" s="5">
        <v>32</v>
      </c>
      <c r="K35" s="4">
        <v>33.438299999999998</v>
      </c>
      <c r="L35" s="4">
        <v>10</v>
      </c>
      <c r="M35" s="4">
        <v>43.438299999999998</v>
      </c>
      <c r="N35" s="4">
        <v>86.876599999999996</v>
      </c>
    </row>
    <row r="36" spans="1:14">
      <c r="A36" t="s">
        <v>228</v>
      </c>
      <c r="B36" t="s">
        <v>229</v>
      </c>
      <c r="C36">
        <v>35</v>
      </c>
      <c r="D36">
        <v>38.491100000000003</v>
      </c>
      <c r="E36">
        <v>466363.66</v>
      </c>
      <c r="F36">
        <v>5182331.3600000003</v>
      </c>
      <c r="J36" s="5">
        <v>33</v>
      </c>
      <c r="K36" s="4">
        <v>21.397500000000001</v>
      </c>
      <c r="L36" s="4">
        <v>19.899999999999999</v>
      </c>
      <c r="M36" s="4">
        <v>41.297499999999999</v>
      </c>
      <c r="N36" s="4">
        <v>82.594999999999999</v>
      </c>
    </row>
    <row r="37" spans="1:14">
      <c r="A37" t="s">
        <v>228</v>
      </c>
      <c r="B37" t="s">
        <v>229</v>
      </c>
      <c r="C37">
        <v>36</v>
      </c>
      <c r="D37">
        <v>23.8154</v>
      </c>
      <c r="E37">
        <v>466353.66</v>
      </c>
      <c r="F37">
        <v>5182391.3600000003</v>
      </c>
      <c r="J37" s="5">
        <v>34</v>
      </c>
      <c r="K37" s="4">
        <v>22.7133</v>
      </c>
      <c r="L37" s="4">
        <v>18.8</v>
      </c>
      <c r="M37" s="4">
        <v>41.513300000000001</v>
      </c>
      <c r="N37" s="4">
        <v>83.026600000000002</v>
      </c>
    </row>
    <row r="38" spans="1:14">
      <c r="A38" t="s">
        <v>228</v>
      </c>
      <c r="B38" t="s">
        <v>233</v>
      </c>
      <c r="C38">
        <v>1</v>
      </c>
      <c r="D38">
        <v>6.7</v>
      </c>
      <c r="E38">
        <v>466413.66</v>
      </c>
      <c r="F38">
        <v>5182371.3600000003</v>
      </c>
      <c r="J38" s="5">
        <v>35</v>
      </c>
      <c r="K38" s="4">
        <v>0</v>
      </c>
      <c r="L38" s="4">
        <v>0</v>
      </c>
      <c r="M38" s="4">
        <v>0</v>
      </c>
      <c r="N38" s="4">
        <v>0</v>
      </c>
    </row>
    <row r="39" spans="1:14">
      <c r="A39" t="s">
        <v>228</v>
      </c>
      <c r="B39" t="s">
        <v>233</v>
      </c>
      <c r="C39">
        <v>2</v>
      </c>
      <c r="D39">
        <v>5.4</v>
      </c>
      <c r="E39">
        <v>466493.66</v>
      </c>
      <c r="F39">
        <v>5182421.3600000003</v>
      </c>
      <c r="J39" s="5">
        <v>36</v>
      </c>
      <c r="K39" s="4">
        <v>40.706400000000002</v>
      </c>
      <c r="L39" s="4">
        <v>7.6</v>
      </c>
      <c r="M39" s="4">
        <v>48.306399999999996</v>
      </c>
      <c r="N39" s="4">
        <v>96.612799999999993</v>
      </c>
    </row>
    <row r="40" spans="1:14">
      <c r="A40" t="s">
        <v>228</v>
      </c>
      <c r="B40" t="s">
        <v>233</v>
      </c>
      <c r="C40">
        <v>3</v>
      </c>
      <c r="D40">
        <v>4.4000000000000004</v>
      </c>
      <c r="E40">
        <v>466373.66</v>
      </c>
      <c r="F40">
        <v>5182241.3600000003</v>
      </c>
      <c r="J40" s="5" t="s">
        <v>54</v>
      </c>
      <c r="K40" s="4">
        <v>1009.8177000000003</v>
      </c>
      <c r="L40" s="4">
        <v>346.5</v>
      </c>
      <c r="M40" s="4">
        <v>1356.3178</v>
      </c>
      <c r="N40" s="4">
        <v>2712.6354999999999</v>
      </c>
    </row>
    <row r="41" spans="1:14">
      <c r="A41" t="s">
        <v>228</v>
      </c>
      <c r="B41" t="s">
        <v>233</v>
      </c>
      <c r="C41">
        <v>4</v>
      </c>
      <c r="D41">
        <v>8.4</v>
      </c>
      <c r="E41">
        <v>466233.66</v>
      </c>
      <c r="F41">
        <v>5182211.3600000003</v>
      </c>
    </row>
    <row r="42" spans="1:14">
      <c r="A42" t="s">
        <v>228</v>
      </c>
      <c r="B42" t="s">
        <v>233</v>
      </c>
      <c r="C42">
        <v>5</v>
      </c>
      <c r="D42">
        <v>4.0999999999999996</v>
      </c>
      <c r="E42">
        <v>466273.66</v>
      </c>
      <c r="F42">
        <v>5182151.3600000003</v>
      </c>
    </row>
    <row r="43" spans="1:14">
      <c r="A43" t="s">
        <v>228</v>
      </c>
      <c r="B43" t="s">
        <v>233</v>
      </c>
      <c r="C43">
        <v>6</v>
      </c>
      <c r="D43">
        <v>3.2</v>
      </c>
      <c r="E43">
        <v>466363.66</v>
      </c>
      <c r="F43">
        <v>5182131.3600000003</v>
      </c>
    </row>
    <row r="44" spans="1:14">
      <c r="A44" t="s">
        <v>228</v>
      </c>
      <c r="B44" t="s">
        <v>233</v>
      </c>
      <c r="C44">
        <v>7</v>
      </c>
      <c r="D44">
        <v>9</v>
      </c>
      <c r="E44">
        <v>466393.66</v>
      </c>
      <c r="F44">
        <v>5182061.3600000003</v>
      </c>
    </row>
    <row r="45" spans="1:14">
      <c r="A45" t="s">
        <v>228</v>
      </c>
      <c r="B45" t="s">
        <v>233</v>
      </c>
      <c r="C45">
        <v>8</v>
      </c>
      <c r="D45">
        <v>25</v>
      </c>
      <c r="E45">
        <v>466423.66</v>
      </c>
      <c r="F45">
        <v>5182161.3600000003</v>
      </c>
    </row>
    <row r="46" spans="1:14">
      <c r="A46" t="s">
        <v>228</v>
      </c>
      <c r="B46" t="s">
        <v>233</v>
      </c>
      <c r="C46">
        <v>9</v>
      </c>
      <c r="D46">
        <v>11.4</v>
      </c>
      <c r="E46">
        <v>466463.66</v>
      </c>
      <c r="F46">
        <v>5182181.3600000003</v>
      </c>
    </row>
    <row r="47" spans="1:14">
      <c r="A47" t="s">
        <v>228</v>
      </c>
      <c r="B47" t="s">
        <v>233</v>
      </c>
      <c r="C47">
        <v>10</v>
      </c>
      <c r="D47">
        <v>2.1</v>
      </c>
      <c r="E47">
        <v>466493.66</v>
      </c>
      <c r="F47">
        <v>5182251.3600000003</v>
      </c>
    </row>
    <row r="48" spans="1:14">
      <c r="A48" t="s">
        <v>228</v>
      </c>
      <c r="B48" t="s">
        <v>233</v>
      </c>
      <c r="C48">
        <v>11</v>
      </c>
      <c r="D48">
        <v>6.3</v>
      </c>
      <c r="E48">
        <v>466493.66</v>
      </c>
      <c r="F48">
        <v>5182281.3600000003</v>
      </c>
    </row>
    <row r="49" spans="1:6">
      <c r="A49" t="s">
        <v>228</v>
      </c>
      <c r="B49" t="s">
        <v>233</v>
      </c>
      <c r="C49">
        <v>12</v>
      </c>
      <c r="D49">
        <v>1</v>
      </c>
      <c r="E49">
        <v>466553.66</v>
      </c>
      <c r="F49">
        <v>5182171.3600000003</v>
      </c>
    </row>
    <row r="50" spans="1:6">
      <c r="A50" t="s">
        <v>228</v>
      </c>
      <c r="B50" t="s">
        <v>233</v>
      </c>
      <c r="C50">
        <v>13</v>
      </c>
      <c r="D50">
        <v>3.3</v>
      </c>
      <c r="E50">
        <v>466323.66</v>
      </c>
      <c r="F50">
        <v>5182201.3600000003</v>
      </c>
    </row>
    <row r="51" spans="1:6">
      <c r="A51" t="s">
        <v>228</v>
      </c>
      <c r="B51" t="s">
        <v>233</v>
      </c>
      <c r="C51">
        <v>14</v>
      </c>
      <c r="D51">
        <v>3.9</v>
      </c>
      <c r="E51">
        <v>466603.66</v>
      </c>
      <c r="F51">
        <v>5182231.3600000003</v>
      </c>
    </row>
    <row r="52" spans="1:6">
      <c r="A52" t="s">
        <v>228</v>
      </c>
      <c r="B52" t="s">
        <v>233</v>
      </c>
      <c r="C52">
        <v>15</v>
      </c>
      <c r="D52">
        <v>2.4</v>
      </c>
      <c r="E52">
        <v>466483.66</v>
      </c>
      <c r="F52">
        <v>5182081.3600000003</v>
      </c>
    </row>
    <row r="53" spans="1:6">
      <c r="A53" t="s">
        <v>228</v>
      </c>
      <c r="B53" t="s">
        <v>233</v>
      </c>
      <c r="C53">
        <v>16</v>
      </c>
      <c r="D53">
        <v>6</v>
      </c>
      <c r="E53">
        <v>466153.66</v>
      </c>
      <c r="F53">
        <v>5182151.3600000003</v>
      </c>
    </row>
    <row r="54" spans="1:6">
      <c r="A54" t="s">
        <v>228</v>
      </c>
      <c r="B54" t="s">
        <v>233</v>
      </c>
      <c r="C54">
        <v>17</v>
      </c>
      <c r="D54">
        <v>0</v>
      </c>
      <c r="E54">
        <v>466193.66</v>
      </c>
      <c r="F54">
        <v>5182091.3600000003</v>
      </c>
    </row>
    <row r="55" spans="1:6">
      <c r="A55" t="s">
        <v>228</v>
      </c>
      <c r="B55" t="s">
        <v>233</v>
      </c>
      <c r="C55">
        <v>18</v>
      </c>
      <c r="D55">
        <v>11.4</v>
      </c>
      <c r="E55">
        <v>466533.66</v>
      </c>
      <c r="F55">
        <v>5182351.3600000003</v>
      </c>
    </row>
    <row r="56" spans="1:6">
      <c r="A56" t="s">
        <v>228</v>
      </c>
      <c r="B56" t="s">
        <v>233</v>
      </c>
      <c r="C56">
        <v>19</v>
      </c>
      <c r="D56">
        <v>8</v>
      </c>
      <c r="E56">
        <v>466303.66</v>
      </c>
      <c r="F56">
        <v>5182261.3600000003</v>
      </c>
    </row>
    <row r="57" spans="1:6">
      <c r="A57" t="s">
        <v>228</v>
      </c>
      <c r="B57" t="s">
        <v>233</v>
      </c>
      <c r="C57">
        <v>20</v>
      </c>
      <c r="D57">
        <v>6.3</v>
      </c>
      <c r="E57">
        <v>466313.66</v>
      </c>
      <c r="F57">
        <v>5182341.3600000003</v>
      </c>
    </row>
    <row r="58" spans="1:6">
      <c r="A58" t="s">
        <v>228</v>
      </c>
      <c r="B58" t="s">
        <v>233</v>
      </c>
      <c r="C58">
        <v>21</v>
      </c>
      <c r="D58">
        <v>6.3</v>
      </c>
      <c r="E58">
        <v>466213.66</v>
      </c>
      <c r="F58">
        <v>5182281.3600000003</v>
      </c>
    </row>
    <row r="59" spans="1:6">
      <c r="A59" t="s">
        <v>228</v>
      </c>
      <c r="B59" t="s">
        <v>233</v>
      </c>
      <c r="C59">
        <v>22</v>
      </c>
      <c r="D59">
        <v>6.2</v>
      </c>
      <c r="E59">
        <v>466153.66</v>
      </c>
      <c r="F59">
        <v>5182231.3600000003</v>
      </c>
    </row>
    <row r="60" spans="1:6">
      <c r="A60" t="s">
        <v>228</v>
      </c>
      <c r="B60" t="s">
        <v>233</v>
      </c>
      <c r="C60">
        <v>23</v>
      </c>
      <c r="D60">
        <v>0</v>
      </c>
      <c r="E60">
        <v>466593.66</v>
      </c>
      <c r="F60">
        <v>5182311.3600000003</v>
      </c>
    </row>
    <row r="61" spans="1:6">
      <c r="A61" t="s">
        <v>228</v>
      </c>
      <c r="B61" t="s">
        <v>233</v>
      </c>
      <c r="C61">
        <v>24</v>
      </c>
      <c r="D61">
        <v>8.5</v>
      </c>
      <c r="E61">
        <v>466283.66</v>
      </c>
      <c r="F61">
        <v>5182051.3600000003</v>
      </c>
    </row>
    <row r="62" spans="1:6">
      <c r="A62" t="s">
        <v>228</v>
      </c>
      <c r="B62" t="s">
        <v>233</v>
      </c>
      <c r="C62">
        <v>25</v>
      </c>
      <c r="D62">
        <v>3.5</v>
      </c>
      <c r="E62">
        <v>466413.66</v>
      </c>
      <c r="F62">
        <v>5182441.3600000003</v>
      </c>
    </row>
    <row r="63" spans="1:6">
      <c r="A63" t="s">
        <v>228</v>
      </c>
      <c r="B63" t="s">
        <v>233</v>
      </c>
      <c r="C63">
        <v>26</v>
      </c>
      <c r="D63">
        <v>4.4000000000000004</v>
      </c>
      <c r="E63">
        <v>466493.66</v>
      </c>
      <c r="F63">
        <v>5182501.3600000003</v>
      </c>
    </row>
    <row r="64" spans="1:6">
      <c r="A64" t="s">
        <v>228</v>
      </c>
      <c r="B64" t="s">
        <v>233</v>
      </c>
      <c r="C64">
        <v>27</v>
      </c>
      <c r="D64">
        <v>7.6</v>
      </c>
      <c r="E64">
        <v>466423.66</v>
      </c>
      <c r="F64">
        <v>5182291.3600000003</v>
      </c>
    </row>
    <row r="65" spans="1:6">
      <c r="A65" t="s">
        <v>228</v>
      </c>
      <c r="B65" t="s">
        <v>233</v>
      </c>
      <c r="C65">
        <v>28</v>
      </c>
      <c r="D65">
        <v>5.0999999999999996</v>
      </c>
      <c r="E65">
        <v>466613.66</v>
      </c>
      <c r="F65">
        <v>5182171.3600000003</v>
      </c>
    </row>
    <row r="66" spans="1:6">
      <c r="A66" t="s">
        <v>228</v>
      </c>
      <c r="B66" t="s">
        <v>233</v>
      </c>
      <c r="C66">
        <v>29</v>
      </c>
      <c r="D66">
        <v>5.6</v>
      </c>
      <c r="E66">
        <v>466643.66</v>
      </c>
      <c r="F66">
        <v>5182271.3600000003</v>
      </c>
    </row>
    <row r="67" spans="1:6">
      <c r="A67" t="s">
        <v>228</v>
      </c>
      <c r="B67" t="s">
        <v>233</v>
      </c>
      <c r="C67">
        <v>30</v>
      </c>
      <c r="D67">
        <v>6.7</v>
      </c>
      <c r="E67">
        <v>466333.66</v>
      </c>
      <c r="F67">
        <v>5182021.3600000003</v>
      </c>
    </row>
    <row r="68" spans="1:6">
      <c r="A68" t="s">
        <v>228</v>
      </c>
      <c r="B68" t="s">
        <v>233</v>
      </c>
      <c r="C68">
        <v>31</v>
      </c>
      <c r="D68">
        <v>3.1</v>
      </c>
      <c r="E68">
        <v>466463.66</v>
      </c>
      <c r="F68">
        <v>5182341.3600000003</v>
      </c>
    </row>
    <row r="69" spans="1:6">
      <c r="A69" t="s">
        <v>228</v>
      </c>
      <c r="B69" t="s">
        <v>233</v>
      </c>
      <c r="C69">
        <v>32</v>
      </c>
      <c r="D69">
        <v>5.3</v>
      </c>
      <c r="E69">
        <v>466123.66</v>
      </c>
      <c r="F69">
        <v>5182111.3600000003</v>
      </c>
    </row>
    <row r="70" spans="1:6">
      <c r="A70" t="s">
        <v>228</v>
      </c>
      <c r="B70" t="s">
        <v>233</v>
      </c>
      <c r="C70">
        <v>33</v>
      </c>
      <c r="D70">
        <v>10.7</v>
      </c>
      <c r="E70">
        <v>466333.66</v>
      </c>
      <c r="F70">
        <v>5182081.3600000003</v>
      </c>
    </row>
    <row r="71" spans="1:6">
      <c r="A71" t="s">
        <v>228</v>
      </c>
      <c r="B71" t="s">
        <v>233</v>
      </c>
      <c r="C71">
        <v>34</v>
      </c>
      <c r="D71">
        <v>3.5</v>
      </c>
      <c r="E71">
        <v>466543.66</v>
      </c>
      <c r="F71">
        <v>5182241.3600000003</v>
      </c>
    </row>
    <row r="72" spans="1:6">
      <c r="A72" t="s">
        <v>228</v>
      </c>
      <c r="B72" t="s">
        <v>233</v>
      </c>
      <c r="C72">
        <v>35</v>
      </c>
      <c r="D72">
        <v>13.7</v>
      </c>
      <c r="E72">
        <v>466363.66</v>
      </c>
      <c r="F72">
        <v>5182331.3600000003</v>
      </c>
    </row>
    <row r="73" spans="1:6">
      <c r="A73" t="s">
        <v>228</v>
      </c>
      <c r="B73" t="s">
        <v>233</v>
      </c>
      <c r="C73">
        <v>36</v>
      </c>
      <c r="D73">
        <v>4.4000000000000004</v>
      </c>
      <c r="E73">
        <v>466353.66</v>
      </c>
      <c r="F73">
        <v>5182391.3600000003</v>
      </c>
    </row>
    <row r="74" spans="1:6">
      <c r="A74" t="s">
        <v>228</v>
      </c>
      <c r="B74" t="s">
        <v>232</v>
      </c>
      <c r="C74">
        <v>1</v>
      </c>
      <c r="D74">
        <v>32.4</v>
      </c>
      <c r="E74">
        <v>466413.66</v>
      </c>
      <c r="F74">
        <v>5182371.3600000003</v>
      </c>
    </row>
    <row r="75" spans="1:6">
      <c r="A75" t="s">
        <v>228</v>
      </c>
      <c r="B75" t="s">
        <v>232</v>
      </c>
      <c r="C75">
        <v>2</v>
      </c>
      <c r="D75">
        <v>35.846499999999999</v>
      </c>
      <c r="E75">
        <v>466493.66</v>
      </c>
      <c r="F75">
        <v>5182421.3600000003</v>
      </c>
    </row>
    <row r="76" spans="1:6">
      <c r="A76" t="s">
        <v>228</v>
      </c>
      <c r="B76" t="s">
        <v>232</v>
      </c>
      <c r="C76">
        <v>3</v>
      </c>
      <c r="D76">
        <v>13.242599999999999</v>
      </c>
      <c r="E76">
        <v>466373.66</v>
      </c>
      <c r="F76">
        <v>5182241.3600000003</v>
      </c>
    </row>
    <row r="77" spans="1:6">
      <c r="A77" t="s">
        <v>228</v>
      </c>
      <c r="B77" t="s">
        <v>232</v>
      </c>
      <c r="C77">
        <v>4</v>
      </c>
      <c r="D77">
        <v>22.115200000000002</v>
      </c>
      <c r="E77">
        <v>466233.66</v>
      </c>
      <c r="F77">
        <v>5182211.3600000003</v>
      </c>
    </row>
    <row r="78" spans="1:6">
      <c r="A78" t="s">
        <v>228</v>
      </c>
      <c r="B78" t="s">
        <v>232</v>
      </c>
      <c r="C78">
        <v>5</v>
      </c>
      <c r="D78">
        <v>13.322100000000001</v>
      </c>
      <c r="E78">
        <v>466273.66</v>
      </c>
      <c r="F78">
        <v>5182151.3600000003</v>
      </c>
    </row>
    <row r="79" spans="1:6">
      <c r="A79" t="s">
        <v>228</v>
      </c>
      <c r="B79" t="s">
        <v>232</v>
      </c>
      <c r="C79">
        <v>6</v>
      </c>
      <c r="D79">
        <v>17.569900000000001</v>
      </c>
      <c r="E79">
        <v>466363.66</v>
      </c>
      <c r="F79">
        <v>5182131.3600000003</v>
      </c>
    </row>
    <row r="80" spans="1:6">
      <c r="A80" t="s">
        <v>228</v>
      </c>
      <c r="B80" t="s">
        <v>232</v>
      </c>
      <c r="C80">
        <v>7</v>
      </c>
      <c r="D80">
        <v>17.6892</v>
      </c>
      <c r="E80">
        <v>466393.66</v>
      </c>
      <c r="F80">
        <v>5182061.3600000003</v>
      </c>
    </row>
    <row r="81" spans="1:6">
      <c r="A81" t="s">
        <v>228</v>
      </c>
      <c r="B81" t="s">
        <v>232</v>
      </c>
      <c r="C81">
        <v>8</v>
      </c>
      <c r="D81">
        <v>7.1006</v>
      </c>
      <c r="E81">
        <v>466423.66</v>
      </c>
      <c r="F81">
        <v>5182161.3600000003</v>
      </c>
    </row>
    <row r="82" spans="1:6">
      <c r="A82" t="s">
        <v>228</v>
      </c>
      <c r="B82" t="s">
        <v>232</v>
      </c>
      <c r="C82">
        <v>9</v>
      </c>
      <c r="D82">
        <v>18.5837</v>
      </c>
      <c r="E82">
        <v>466463.66</v>
      </c>
      <c r="F82">
        <v>5182181.3600000003</v>
      </c>
    </row>
    <row r="83" spans="1:6">
      <c r="A83" t="s">
        <v>228</v>
      </c>
      <c r="B83" t="s">
        <v>232</v>
      </c>
      <c r="C83">
        <v>10</v>
      </c>
      <c r="D83">
        <v>21.2624</v>
      </c>
      <c r="E83">
        <v>466493.66</v>
      </c>
      <c r="F83">
        <v>5182251.3600000003</v>
      </c>
    </row>
    <row r="84" spans="1:6">
      <c r="A84" t="s">
        <v>228</v>
      </c>
      <c r="B84" t="s">
        <v>232</v>
      </c>
      <c r="C84">
        <v>11</v>
      </c>
      <c r="D84">
        <v>17.206700000000001</v>
      </c>
      <c r="E84">
        <v>466493.66</v>
      </c>
      <c r="F84">
        <v>5182281.3600000003</v>
      </c>
    </row>
    <row r="85" spans="1:6">
      <c r="A85" t="s">
        <v>228</v>
      </c>
      <c r="B85" t="s">
        <v>232</v>
      </c>
      <c r="C85">
        <v>12</v>
      </c>
      <c r="D85">
        <v>16.7301</v>
      </c>
      <c r="E85">
        <v>466553.66</v>
      </c>
      <c r="F85">
        <v>5182171.3600000003</v>
      </c>
    </row>
    <row r="86" spans="1:6">
      <c r="A86" t="s">
        <v>228</v>
      </c>
      <c r="B86" t="s">
        <v>232</v>
      </c>
      <c r="C86">
        <v>13</v>
      </c>
      <c r="D86">
        <v>15.5905</v>
      </c>
      <c r="E86">
        <v>466323.66</v>
      </c>
      <c r="F86">
        <v>5182201.3600000003</v>
      </c>
    </row>
    <row r="87" spans="1:6">
      <c r="A87" t="s">
        <v>228</v>
      </c>
      <c r="B87" t="s">
        <v>232</v>
      </c>
      <c r="C87">
        <v>14</v>
      </c>
      <c r="D87">
        <v>19.9346</v>
      </c>
      <c r="E87">
        <v>466603.66</v>
      </c>
      <c r="F87">
        <v>5182231.3600000003</v>
      </c>
    </row>
    <row r="88" spans="1:6">
      <c r="A88" t="s">
        <v>228</v>
      </c>
      <c r="B88" t="s">
        <v>232</v>
      </c>
      <c r="C88">
        <v>15</v>
      </c>
      <c r="D88">
        <v>15.923</v>
      </c>
      <c r="E88">
        <v>466483.66</v>
      </c>
      <c r="F88">
        <v>5182081.3600000003</v>
      </c>
    </row>
    <row r="89" spans="1:6">
      <c r="A89" t="s">
        <v>228</v>
      </c>
      <c r="B89" t="s">
        <v>232</v>
      </c>
      <c r="C89">
        <v>16</v>
      </c>
      <c r="D89">
        <v>18.743400000000001</v>
      </c>
      <c r="E89">
        <v>466153.66</v>
      </c>
      <c r="F89">
        <v>5182151.3600000003</v>
      </c>
    </row>
    <row r="90" spans="1:6">
      <c r="A90" t="s">
        <v>228</v>
      </c>
      <c r="B90" t="s">
        <v>232</v>
      </c>
      <c r="C90">
        <v>17</v>
      </c>
      <c r="D90">
        <v>0</v>
      </c>
      <c r="E90">
        <v>466193.66</v>
      </c>
      <c r="F90">
        <v>5182091.3600000003</v>
      </c>
    </row>
    <row r="91" spans="1:6">
      <c r="A91" t="s">
        <v>228</v>
      </c>
      <c r="B91" t="s">
        <v>232</v>
      </c>
      <c r="C91">
        <v>18</v>
      </c>
      <c r="D91">
        <v>21.272200000000002</v>
      </c>
      <c r="E91">
        <v>466533.66</v>
      </c>
      <c r="F91">
        <v>5182351.3600000003</v>
      </c>
    </row>
    <row r="92" spans="1:6">
      <c r="A92" t="s">
        <v>228</v>
      </c>
      <c r="B92" t="s">
        <v>232</v>
      </c>
      <c r="C92">
        <v>19</v>
      </c>
      <c r="D92">
        <v>26.330200000000001</v>
      </c>
      <c r="E92">
        <v>466303.66</v>
      </c>
      <c r="F92">
        <v>5182261.3600000003</v>
      </c>
    </row>
    <row r="93" spans="1:6">
      <c r="A93" t="s">
        <v>228</v>
      </c>
      <c r="B93" t="s">
        <v>232</v>
      </c>
      <c r="C93">
        <v>20</v>
      </c>
      <c r="D93">
        <v>19.0886</v>
      </c>
      <c r="E93">
        <v>466313.66</v>
      </c>
      <c r="F93">
        <v>5182341.3600000003</v>
      </c>
    </row>
    <row r="94" spans="1:6">
      <c r="A94" t="s">
        <v>228</v>
      </c>
      <c r="B94" t="s">
        <v>232</v>
      </c>
      <c r="C94">
        <v>21</v>
      </c>
      <c r="D94">
        <v>19.881699999999999</v>
      </c>
      <c r="E94">
        <v>466213.66</v>
      </c>
      <c r="F94">
        <v>5182281.3600000003</v>
      </c>
    </row>
    <row r="95" spans="1:6">
      <c r="A95" t="s">
        <v>228</v>
      </c>
      <c r="B95" t="s">
        <v>232</v>
      </c>
      <c r="C95">
        <v>22</v>
      </c>
      <c r="D95">
        <v>14.2622</v>
      </c>
      <c r="E95">
        <v>466153.66</v>
      </c>
      <c r="F95">
        <v>5182231.3600000003</v>
      </c>
    </row>
    <row r="96" spans="1:6">
      <c r="A96" t="s">
        <v>228</v>
      </c>
      <c r="B96" t="s">
        <v>232</v>
      </c>
      <c r="C96">
        <v>23</v>
      </c>
      <c r="D96">
        <v>0</v>
      </c>
      <c r="E96">
        <v>466593.66</v>
      </c>
      <c r="F96">
        <v>5182311.3600000003</v>
      </c>
    </row>
    <row r="97" spans="1:6">
      <c r="A97" t="s">
        <v>228</v>
      </c>
      <c r="B97" t="s">
        <v>232</v>
      </c>
      <c r="C97">
        <v>24</v>
      </c>
      <c r="D97">
        <v>19.046600000000002</v>
      </c>
      <c r="E97">
        <v>466283.66</v>
      </c>
      <c r="F97">
        <v>5182051.3600000003</v>
      </c>
    </row>
    <row r="98" spans="1:6">
      <c r="A98" t="s">
        <v>228</v>
      </c>
      <c r="B98" t="s">
        <v>232</v>
      </c>
      <c r="C98">
        <v>25</v>
      </c>
      <c r="D98">
        <v>18.329899999999999</v>
      </c>
      <c r="E98">
        <v>466413.66</v>
      </c>
      <c r="F98">
        <v>5182441.3600000003</v>
      </c>
    </row>
    <row r="99" spans="1:6">
      <c r="A99" t="s">
        <v>228</v>
      </c>
      <c r="B99" t="s">
        <v>232</v>
      </c>
      <c r="C99">
        <v>26</v>
      </c>
      <c r="D99">
        <v>17.147200000000002</v>
      </c>
      <c r="E99">
        <v>466493.66</v>
      </c>
      <c r="F99">
        <v>5182501.3600000003</v>
      </c>
    </row>
    <row r="100" spans="1:6">
      <c r="A100" t="s">
        <v>228</v>
      </c>
      <c r="B100" t="s">
        <v>232</v>
      </c>
      <c r="C100">
        <v>27</v>
      </c>
      <c r="D100">
        <v>20.235099999999999</v>
      </c>
      <c r="E100">
        <v>466423.66</v>
      </c>
      <c r="F100">
        <v>5182291.3600000003</v>
      </c>
    </row>
    <row r="101" spans="1:6">
      <c r="A101" t="s">
        <v>228</v>
      </c>
      <c r="B101" t="s">
        <v>232</v>
      </c>
      <c r="C101">
        <v>28</v>
      </c>
      <c r="D101">
        <v>14.0861</v>
      </c>
      <c r="E101">
        <v>466613.66</v>
      </c>
      <c r="F101">
        <v>5182171.3600000003</v>
      </c>
    </row>
    <row r="102" spans="1:6">
      <c r="A102" t="s">
        <v>228</v>
      </c>
      <c r="B102" t="s">
        <v>232</v>
      </c>
      <c r="C102">
        <v>29</v>
      </c>
      <c r="D102">
        <v>12.107100000000001</v>
      </c>
      <c r="E102">
        <v>466643.66</v>
      </c>
      <c r="F102">
        <v>5182271.3600000003</v>
      </c>
    </row>
    <row r="103" spans="1:6">
      <c r="A103" t="s">
        <v>228</v>
      </c>
      <c r="B103" t="s">
        <v>232</v>
      </c>
      <c r="C103">
        <v>30</v>
      </c>
      <c r="D103">
        <v>19.511600000000001</v>
      </c>
      <c r="E103">
        <v>466333.66</v>
      </c>
      <c r="F103">
        <v>5182021.3600000003</v>
      </c>
    </row>
    <row r="104" spans="1:6">
      <c r="A104" t="s">
        <v>228</v>
      </c>
      <c r="B104" t="s">
        <v>232</v>
      </c>
      <c r="C104">
        <v>31</v>
      </c>
      <c r="D104">
        <v>16.6568</v>
      </c>
      <c r="E104">
        <v>466463.66</v>
      </c>
      <c r="F104">
        <v>5182341.3600000003</v>
      </c>
    </row>
    <row r="105" spans="1:6">
      <c r="A105" t="s">
        <v>228</v>
      </c>
      <c r="B105" t="s">
        <v>232</v>
      </c>
      <c r="C105">
        <v>32</v>
      </c>
      <c r="D105">
        <v>19.445399999999999</v>
      </c>
      <c r="E105">
        <v>466123.66</v>
      </c>
      <c r="F105">
        <v>5182111.3600000003</v>
      </c>
    </row>
    <row r="106" spans="1:6">
      <c r="A106" t="s">
        <v>228</v>
      </c>
      <c r="B106" t="s">
        <v>232</v>
      </c>
      <c r="C106">
        <v>33</v>
      </c>
      <c r="D106">
        <v>24.909600000000001</v>
      </c>
      <c r="E106">
        <v>466333.66</v>
      </c>
      <c r="F106">
        <v>5182081.3600000003</v>
      </c>
    </row>
    <row r="107" spans="1:6">
      <c r="A107" t="s">
        <v>228</v>
      </c>
      <c r="B107" t="s">
        <v>232</v>
      </c>
      <c r="C107">
        <v>34</v>
      </c>
      <c r="D107">
        <v>21.332100000000001</v>
      </c>
      <c r="E107">
        <v>466543.66</v>
      </c>
      <c r="F107">
        <v>5182241.3600000003</v>
      </c>
    </row>
    <row r="108" spans="1:6">
      <c r="A108" t="s">
        <v>228</v>
      </c>
      <c r="B108" t="s">
        <v>232</v>
      </c>
      <c r="C108">
        <v>35</v>
      </c>
      <c r="D108">
        <v>24.7911</v>
      </c>
      <c r="E108">
        <v>466363.66</v>
      </c>
      <c r="F108">
        <v>5182331.3600000003</v>
      </c>
    </row>
    <row r="109" spans="1:6">
      <c r="A109" t="s">
        <v>228</v>
      </c>
      <c r="B109" t="s">
        <v>232</v>
      </c>
      <c r="C109">
        <v>36</v>
      </c>
      <c r="D109">
        <v>19.415400000000002</v>
      </c>
      <c r="E109">
        <v>466353.66</v>
      </c>
      <c r="F109">
        <v>5182391.3600000003</v>
      </c>
    </row>
    <row r="110" spans="1:6">
      <c r="A110" t="s">
        <v>234</v>
      </c>
      <c r="B110" t="s">
        <v>229</v>
      </c>
      <c r="C110">
        <v>1</v>
      </c>
      <c r="D110">
        <v>35.808900000000001</v>
      </c>
      <c r="E110">
        <v>517227.65</v>
      </c>
      <c r="F110">
        <v>5169180.78</v>
      </c>
    </row>
    <row r="111" spans="1:6">
      <c r="A111" t="s">
        <v>234</v>
      </c>
      <c r="B111" t="s">
        <v>229</v>
      </c>
      <c r="C111">
        <v>2</v>
      </c>
      <c r="D111">
        <v>48.008800000000001</v>
      </c>
      <c r="E111">
        <v>517437.65</v>
      </c>
      <c r="F111">
        <v>5169220.78</v>
      </c>
    </row>
    <row r="112" spans="1:6">
      <c r="A112" t="s">
        <v>234</v>
      </c>
      <c r="B112" t="s">
        <v>229</v>
      </c>
      <c r="C112">
        <v>3</v>
      </c>
      <c r="D112">
        <v>40.240699999999997</v>
      </c>
      <c r="E112">
        <v>517327.65</v>
      </c>
      <c r="F112">
        <v>5169270.78</v>
      </c>
    </row>
    <row r="113" spans="1:6">
      <c r="A113" t="s">
        <v>234</v>
      </c>
      <c r="B113" t="s">
        <v>229</v>
      </c>
      <c r="C113">
        <v>4</v>
      </c>
      <c r="D113">
        <v>29.3383</v>
      </c>
      <c r="E113">
        <v>516947.65</v>
      </c>
      <c r="F113">
        <v>5169210.78</v>
      </c>
    </row>
    <row r="114" spans="1:6">
      <c r="A114" t="s">
        <v>234</v>
      </c>
      <c r="B114" t="s">
        <v>229</v>
      </c>
      <c r="C114">
        <v>5</v>
      </c>
      <c r="D114">
        <v>41.069099999999999</v>
      </c>
      <c r="E114">
        <v>517147.65</v>
      </c>
      <c r="F114">
        <v>5169230.78</v>
      </c>
    </row>
    <row r="115" spans="1:6">
      <c r="A115" t="s">
        <v>234</v>
      </c>
      <c r="B115" t="s">
        <v>229</v>
      </c>
      <c r="C115">
        <v>6</v>
      </c>
      <c r="D115">
        <v>31.454799999999999</v>
      </c>
      <c r="E115">
        <v>517057.65</v>
      </c>
      <c r="F115">
        <v>5169320.78</v>
      </c>
    </row>
    <row r="116" spans="1:6">
      <c r="A116" t="s">
        <v>234</v>
      </c>
      <c r="B116" t="s">
        <v>229</v>
      </c>
      <c r="C116">
        <v>7</v>
      </c>
      <c r="D116">
        <v>51.566200000000002</v>
      </c>
      <c r="E116">
        <v>517097.65</v>
      </c>
      <c r="F116">
        <v>5169400.78</v>
      </c>
    </row>
    <row r="117" spans="1:6">
      <c r="A117" t="s">
        <v>234</v>
      </c>
      <c r="B117" t="s">
        <v>229</v>
      </c>
      <c r="C117">
        <v>8</v>
      </c>
      <c r="D117">
        <v>32.517600000000002</v>
      </c>
      <c r="E117">
        <v>517087.65</v>
      </c>
      <c r="F117">
        <v>5169460.78</v>
      </c>
    </row>
    <row r="118" spans="1:6">
      <c r="A118" t="s">
        <v>234</v>
      </c>
      <c r="B118" t="s">
        <v>229</v>
      </c>
      <c r="C118">
        <v>9</v>
      </c>
      <c r="D118">
        <v>48.796399999999998</v>
      </c>
      <c r="E118">
        <v>517257.65</v>
      </c>
      <c r="F118">
        <v>5169450.78</v>
      </c>
    </row>
    <row r="119" spans="1:6">
      <c r="A119" t="s">
        <v>234</v>
      </c>
      <c r="B119" t="s">
        <v>229</v>
      </c>
      <c r="C119">
        <v>10</v>
      </c>
      <c r="D119">
        <v>26.0611</v>
      </c>
      <c r="E119">
        <v>517237.65</v>
      </c>
      <c r="F119">
        <v>5169520.78</v>
      </c>
    </row>
    <row r="120" spans="1:6">
      <c r="A120" t="s">
        <v>234</v>
      </c>
      <c r="B120" t="s">
        <v>229</v>
      </c>
      <c r="C120">
        <v>11</v>
      </c>
      <c r="D120">
        <v>52.778599999999997</v>
      </c>
      <c r="E120">
        <v>517217.65</v>
      </c>
      <c r="F120">
        <v>5169370.78</v>
      </c>
    </row>
    <row r="121" spans="1:6">
      <c r="A121" t="s">
        <v>234</v>
      </c>
      <c r="B121" t="s">
        <v>229</v>
      </c>
      <c r="C121">
        <v>12</v>
      </c>
      <c r="D121">
        <v>43.019500000000001</v>
      </c>
      <c r="E121">
        <v>517127.65</v>
      </c>
      <c r="F121">
        <v>5169250.78</v>
      </c>
    </row>
    <row r="122" spans="1:6">
      <c r="A122" t="s">
        <v>234</v>
      </c>
      <c r="B122" t="s">
        <v>229</v>
      </c>
      <c r="C122">
        <v>13</v>
      </c>
      <c r="D122">
        <v>34.019500000000001</v>
      </c>
      <c r="E122">
        <v>517457.65</v>
      </c>
      <c r="F122">
        <v>5169080.78</v>
      </c>
    </row>
    <row r="123" spans="1:6">
      <c r="A123" t="s">
        <v>234</v>
      </c>
      <c r="B123" t="s">
        <v>229</v>
      </c>
      <c r="C123">
        <v>14</v>
      </c>
      <c r="D123">
        <v>26.783899999999999</v>
      </c>
      <c r="E123">
        <v>517037.65</v>
      </c>
      <c r="F123">
        <v>5169220.78</v>
      </c>
    </row>
    <row r="124" spans="1:6">
      <c r="A124" t="s">
        <v>234</v>
      </c>
      <c r="B124" t="s">
        <v>229</v>
      </c>
      <c r="C124">
        <v>15</v>
      </c>
      <c r="D124">
        <v>31.480399999999999</v>
      </c>
      <c r="E124">
        <v>516887.65</v>
      </c>
      <c r="F124">
        <v>5169320.78</v>
      </c>
    </row>
    <row r="125" spans="1:6">
      <c r="A125" t="s">
        <v>234</v>
      </c>
      <c r="B125" t="s">
        <v>229</v>
      </c>
      <c r="C125">
        <v>16</v>
      </c>
      <c r="D125">
        <v>21.636199999999999</v>
      </c>
      <c r="E125">
        <v>517327.65</v>
      </c>
      <c r="F125">
        <v>5169530.78</v>
      </c>
    </row>
    <row r="126" spans="1:6">
      <c r="A126" t="s">
        <v>234</v>
      </c>
      <c r="B126" t="s">
        <v>229</v>
      </c>
      <c r="C126">
        <v>17</v>
      </c>
      <c r="D126">
        <v>38.939500000000002</v>
      </c>
      <c r="E126">
        <v>517397.65</v>
      </c>
      <c r="F126">
        <v>5169360.78</v>
      </c>
    </row>
    <row r="127" spans="1:6">
      <c r="A127" t="s">
        <v>234</v>
      </c>
      <c r="B127" t="s">
        <v>229</v>
      </c>
      <c r="C127">
        <v>18</v>
      </c>
      <c r="D127">
        <v>0</v>
      </c>
      <c r="E127">
        <v>516847.65</v>
      </c>
      <c r="F127">
        <v>5169190.78</v>
      </c>
    </row>
    <row r="128" spans="1:6">
      <c r="A128" t="s">
        <v>234</v>
      </c>
      <c r="B128" t="s">
        <v>229</v>
      </c>
      <c r="C128">
        <v>19</v>
      </c>
      <c r="D128">
        <v>26.643799999999999</v>
      </c>
      <c r="E128">
        <v>517147.65</v>
      </c>
      <c r="F128">
        <v>5169560.78</v>
      </c>
    </row>
    <row r="129" spans="1:6">
      <c r="A129" t="s">
        <v>234</v>
      </c>
      <c r="B129" t="s">
        <v>229</v>
      </c>
      <c r="C129">
        <v>20</v>
      </c>
      <c r="D129">
        <v>32.430300000000003</v>
      </c>
      <c r="E129">
        <v>517347.65</v>
      </c>
      <c r="F129">
        <v>5169170.78</v>
      </c>
    </row>
    <row r="130" spans="1:6">
      <c r="A130" t="s">
        <v>234</v>
      </c>
      <c r="B130" t="s">
        <v>229</v>
      </c>
      <c r="C130">
        <v>21</v>
      </c>
      <c r="D130">
        <v>38.531700000000001</v>
      </c>
      <c r="E130">
        <v>516957.65</v>
      </c>
      <c r="F130">
        <v>5169460.78</v>
      </c>
    </row>
    <row r="131" spans="1:6">
      <c r="A131" t="s">
        <v>234</v>
      </c>
      <c r="B131" t="s">
        <v>229</v>
      </c>
      <c r="C131">
        <v>22</v>
      </c>
      <c r="D131">
        <v>32.148099999999999</v>
      </c>
      <c r="E131">
        <v>517237.65</v>
      </c>
      <c r="F131">
        <v>5169280.78</v>
      </c>
    </row>
    <row r="132" spans="1:6">
      <c r="A132" t="s">
        <v>234</v>
      </c>
      <c r="B132" t="s">
        <v>229</v>
      </c>
      <c r="C132">
        <v>23</v>
      </c>
      <c r="D132">
        <v>32.960500000000003</v>
      </c>
      <c r="E132">
        <v>517367.65</v>
      </c>
      <c r="F132">
        <v>5169070.78</v>
      </c>
    </row>
    <row r="133" spans="1:6">
      <c r="A133" t="s">
        <v>234</v>
      </c>
      <c r="B133" t="s">
        <v>229</v>
      </c>
      <c r="C133">
        <v>24</v>
      </c>
      <c r="D133">
        <v>43.013399999999997</v>
      </c>
      <c r="E133">
        <v>516877.65</v>
      </c>
      <c r="F133">
        <v>5169420.78</v>
      </c>
    </row>
    <row r="134" spans="1:6">
      <c r="A134" t="s">
        <v>234</v>
      </c>
      <c r="B134" t="s">
        <v>229</v>
      </c>
      <c r="C134">
        <v>25</v>
      </c>
      <c r="D134">
        <v>34.8459</v>
      </c>
      <c r="E134">
        <v>516977.65</v>
      </c>
      <c r="F134">
        <v>5169290.78</v>
      </c>
    </row>
    <row r="135" spans="1:6">
      <c r="A135" t="s">
        <v>234</v>
      </c>
      <c r="B135" t="s">
        <v>229</v>
      </c>
      <c r="C135">
        <v>26</v>
      </c>
      <c r="D135">
        <v>51.701500000000003</v>
      </c>
      <c r="E135">
        <v>517317.65</v>
      </c>
      <c r="F135">
        <v>5169390.78</v>
      </c>
    </row>
    <row r="136" spans="1:6">
      <c r="A136" t="s">
        <v>234</v>
      </c>
      <c r="B136" t="s">
        <v>229</v>
      </c>
      <c r="C136">
        <v>27</v>
      </c>
      <c r="D136">
        <v>28.8186</v>
      </c>
      <c r="E136">
        <v>517177.65</v>
      </c>
      <c r="F136">
        <v>5169460.78</v>
      </c>
    </row>
    <row r="137" spans="1:6">
      <c r="A137" t="s">
        <v>234</v>
      </c>
      <c r="B137" t="s">
        <v>229</v>
      </c>
      <c r="C137">
        <v>28</v>
      </c>
      <c r="D137">
        <v>51.4499</v>
      </c>
      <c r="E137">
        <v>517457.65</v>
      </c>
      <c r="F137">
        <v>5169310.78</v>
      </c>
    </row>
    <row r="138" spans="1:6">
      <c r="A138" t="s">
        <v>234</v>
      </c>
      <c r="B138" t="s">
        <v>229</v>
      </c>
      <c r="C138">
        <v>29</v>
      </c>
      <c r="D138">
        <v>0</v>
      </c>
      <c r="E138">
        <v>517287.65</v>
      </c>
      <c r="F138">
        <v>5169080.78</v>
      </c>
    </row>
    <row r="139" spans="1:6">
      <c r="A139" t="s">
        <v>234</v>
      </c>
      <c r="B139" t="s">
        <v>229</v>
      </c>
      <c r="C139">
        <v>30</v>
      </c>
      <c r="D139">
        <v>41.438299999999998</v>
      </c>
      <c r="E139">
        <v>516997.65</v>
      </c>
      <c r="F139">
        <v>5169380.78</v>
      </c>
    </row>
    <row r="140" spans="1:6">
      <c r="A140" t="s">
        <v>234</v>
      </c>
      <c r="B140" t="s">
        <v>229</v>
      </c>
      <c r="C140">
        <v>31</v>
      </c>
      <c r="D140">
        <v>29.916699999999999</v>
      </c>
      <c r="E140">
        <v>517287.65</v>
      </c>
      <c r="F140">
        <v>5169590.78</v>
      </c>
    </row>
    <row r="141" spans="1:6">
      <c r="A141" t="s">
        <v>234</v>
      </c>
      <c r="B141" t="s">
        <v>229</v>
      </c>
      <c r="C141">
        <v>32</v>
      </c>
      <c r="D141">
        <v>41.851399999999998</v>
      </c>
      <c r="E141">
        <v>517147.65</v>
      </c>
      <c r="F141">
        <v>5169330.78</v>
      </c>
    </row>
    <row r="142" spans="1:6">
      <c r="A142" t="s">
        <v>234</v>
      </c>
      <c r="B142" t="s">
        <v>229</v>
      </c>
      <c r="C142">
        <v>33</v>
      </c>
      <c r="D142">
        <v>52.823900000000002</v>
      </c>
      <c r="E142">
        <v>517387.65</v>
      </c>
      <c r="F142">
        <v>5169440.78</v>
      </c>
    </row>
    <row r="143" spans="1:6">
      <c r="A143" t="s">
        <v>234</v>
      </c>
      <c r="B143" t="s">
        <v>229</v>
      </c>
      <c r="C143">
        <v>34</v>
      </c>
      <c r="D143">
        <v>41.371299999999998</v>
      </c>
      <c r="E143">
        <v>517467.65</v>
      </c>
      <c r="F143">
        <v>5169160.78</v>
      </c>
    </row>
    <row r="144" spans="1:6">
      <c r="A144" t="s">
        <v>234</v>
      </c>
      <c r="B144" t="s">
        <v>229</v>
      </c>
      <c r="C144">
        <v>35</v>
      </c>
      <c r="D144">
        <v>31.747399999999999</v>
      </c>
      <c r="E144">
        <v>517077.65</v>
      </c>
      <c r="F144">
        <v>5169530.78</v>
      </c>
    </row>
    <row r="145" spans="1:6">
      <c r="A145" t="s">
        <v>234</v>
      </c>
      <c r="B145" t="s">
        <v>229</v>
      </c>
      <c r="C145">
        <v>36</v>
      </c>
      <c r="D145">
        <v>33.048999999999999</v>
      </c>
      <c r="E145">
        <v>517317.65</v>
      </c>
      <c r="F145">
        <v>5169020.78</v>
      </c>
    </row>
    <row r="146" spans="1:6">
      <c r="A146" t="s">
        <v>234</v>
      </c>
      <c r="B146" t="s">
        <v>233</v>
      </c>
      <c r="C146">
        <v>1</v>
      </c>
      <c r="D146">
        <v>6.6</v>
      </c>
      <c r="E146">
        <v>517227.65</v>
      </c>
      <c r="F146">
        <v>5169180.78</v>
      </c>
    </row>
    <row r="147" spans="1:6">
      <c r="A147" t="s">
        <v>234</v>
      </c>
      <c r="B147" t="s">
        <v>233</v>
      </c>
      <c r="C147">
        <v>2</v>
      </c>
      <c r="D147">
        <v>10.4</v>
      </c>
      <c r="E147">
        <v>517437.65</v>
      </c>
      <c r="F147">
        <v>5169220.78</v>
      </c>
    </row>
    <row r="148" spans="1:6">
      <c r="A148" t="s">
        <v>234</v>
      </c>
      <c r="B148" t="s">
        <v>233</v>
      </c>
      <c r="C148">
        <v>3</v>
      </c>
      <c r="D148">
        <v>6.4</v>
      </c>
      <c r="E148">
        <v>517327.65</v>
      </c>
      <c r="F148">
        <v>5169270.78</v>
      </c>
    </row>
    <row r="149" spans="1:6">
      <c r="A149" t="s">
        <v>234</v>
      </c>
      <c r="B149" t="s">
        <v>233</v>
      </c>
      <c r="C149">
        <v>4</v>
      </c>
      <c r="D149">
        <v>9.6999999999999993</v>
      </c>
      <c r="E149">
        <v>516947.65</v>
      </c>
      <c r="F149">
        <v>5169210.78</v>
      </c>
    </row>
    <row r="150" spans="1:6">
      <c r="A150" t="s">
        <v>234</v>
      </c>
      <c r="B150" t="s">
        <v>233</v>
      </c>
      <c r="C150">
        <v>5</v>
      </c>
      <c r="D150">
        <v>14</v>
      </c>
      <c r="E150">
        <v>517147.65</v>
      </c>
      <c r="F150">
        <v>5169230.78</v>
      </c>
    </row>
    <row r="151" spans="1:6">
      <c r="A151" t="s">
        <v>234</v>
      </c>
      <c r="B151" t="s">
        <v>233</v>
      </c>
      <c r="C151">
        <v>6</v>
      </c>
      <c r="D151">
        <v>11.3</v>
      </c>
      <c r="E151">
        <v>517057.65</v>
      </c>
      <c r="F151">
        <v>5169320.78</v>
      </c>
    </row>
    <row r="152" spans="1:6">
      <c r="A152" t="s">
        <v>234</v>
      </c>
      <c r="B152" t="s">
        <v>233</v>
      </c>
      <c r="C152">
        <v>7</v>
      </c>
      <c r="D152">
        <v>13</v>
      </c>
      <c r="E152">
        <v>517097.65</v>
      </c>
      <c r="F152">
        <v>5169400.78</v>
      </c>
    </row>
    <row r="153" spans="1:6">
      <c r="A153" t="s">
        <v>234</v>
      </c>
      <c r="B153" t="s">
        <v>233</v>
      </c>
      <c r="C153">
        <v>8</v>
      </c>
      <c r="D153">
        <v>6.4</v>
      </c>
      <c r="E153">
        <v>517087.65</v>
      </c>
      <c r="F153">
        <v>5169460.78</v>
      </c>
    </row>
    <row r="154" spans="1:6">
      <c r="A154" t="s">
        <v>234</v>
      </c>
      <c r="B154" t="s">
        <v>233</v>
      </c>
      <c r="C154">
        <v>9</v>
      </c>
      <c r="D154">
        <v>15.2</v>
      </c>
      <c r="E154">
        <v>517257.65</v>
      </c>
      <c r="F154">
        <v>5169450.78</v>
      </c>
    </row>
    <row r="155" spans="1:6">
      <c r="A155" t="s">
        <v>234</v>
      </c>
      <c r="B155" t="s">
        <v>233</v>
      </c>
      <c r="C155">
        <v>10</v>
      </c>
      <c r="D155">
        <v>4.8</v>
      </c>
      <c r="E155">
        <v>517237.65</v>
      </c>
      <c r="F155">
        <v>5169520.78</v>
      </c>
    </row>
    <row r="156" spans="1:6">
      <c r="A156" t="s">
        <v>234</v>
      </c>
      <c r="B156" t="s">
        <v>233</v>
      </c>
      <c r="C156">
        <v>11</v>
      </c>
      <c r="D156">
        <v>18.600000000000001</v>
      </c>
      <c r="E156">
        <v>517217.65</v>
      </c>
      <c r="F156">
        <v>5169370.78</v>
      </c>
    </row>
    <row r="157" spans="1:6">
      <c r="A157" t="s">
        <v>234</v>
      </c>
      <c r="B157" t="s">
        <v>233</v>
      </c>
      <c r="C157">
        <v>12</v>
      </c>
      <c r="D157">
        <v>11.2</v>
      </c>
      <c r="E157">
        <v>517127.65</v>
      </c>
      <c r="F157">
        <v>5169250.78</v>
      </c>
    </row>
    <row r="158" spans="1:6">
      <c r="A158" t="s">
        <v>234</v>
      </c>
      <c r="B158" t="s">
        <v>233</v>
      </c>
      <c r="C158">
        <v>13</v>
      </c>
      <c r="D158">
        <v>5.8</v>
      </c>
      <c r="E158">
        <v>517457.65</v>
      </c>
      <c r="F158">
        <v>5169080.78</v>
      </c>
    </row>
    <row r="159" spans="1:6">
      <c r="A159" t="s">
        <v>234</v>
      </c>
      <c r="B159" t="s">
        <v>233</v>
      </c>
      <c r="C159">
        <v>14</v>
      </c>
      <c r="D159">
        <v>8</v>
      </c>
      <c r="E159">
        <v>517037.65</v>
      </c>
      <c r="F159">
        <v>5169220.78</v>
      </c>
    </row>
    <row r="160" spans="1:6">
      <c r="A160" t="s">
        <v>234</v>
      </c>
      <c r="B160" t="s">
        <v>233</v>
      </c>
      <c r="C160">
        <v>15</v>
      </c>
      <c r="D160">
        <v>6.7</v>
      </c>
      <c r="E160">
        <v>516887.65</v>
      </c>
      <c r="F160">
        <v>5169320.78</v>
      </c>
    </row>
    <row r="161" spans="1:6">
      <c r="A161" t="s">
        <v>234</v>
      </c>
      <c r="B161" t="s">
        <v>233</v>
      </c>
      <c r="C161">
        <v>16</v>
      </c>
      <c r="D161">
        <v>3</v>
      </c>
      <c r="E161">
        <v>517327.65</v>
      </c>
      <c r="F161">
        <v>5169530.78</v>
      </c>
    </row>
    <row r="162" spans="1:6">
      <c r="A162" t="s">
        <v>234</v>
      </c>
      <c r="B162" t="s">
        <v>233</v>
      </c>
      <c r="C162">
        <v>17</v>
      </c>
      <c r="D162">
        <v>11.8</v>
      </c>
      <c r="E162">
        <v>517397.65</v>
      </c>
      <c r="F162">
        <v>5169360.78</v>
      </c>
    </row>
    <row r="163" spans="1:6">
      <c r="A163" t="s">
        <v>234</v>
      </c>
      <c r="B163" t="s">
        <v>233</v>
      </c>
      <c r="C163">
        <v>18</v>
      </c>
      <c r="D163">
        <v>0</v>
      </c>
      <c r="E163">
        <v>516847.65</v>
      </c>
      <c r="F163">
        <v>5169190.78</v>
      </c>
    </row>
    <row r="164" spans="1:6">
      <c r="A164" t="s">
        <v>234</v>
      </c>
      <c r="B164" t="s">
        <v>233</v>
      </c>
      <c r="C164">
        <v>19</v>
      </c>
      <c r="D164">
        <v>3.8</v>
      </c>
      <c r="E164">
        <v>517147.65</v>
      </c>
      <c r="F164">
        <v>5169560.78</v>
      </c>
    </row>
    <row r="165" spans="1:6">
      <c r="A165" t="s">
        <v>234</v>
      </c>
      <c r="B165" t="s">
        <v>233</v>
      </c>
      <c r="C165">
        <v>20</v>
      </c>
      <c r="D165">
        <v>5.6</v>
      </c>
      <c r="E165">
        <v>517347.65</v>
      </c>
      <c r="F165">
        <v>5169170.78</v>
      </c>
    </row>
    <row r="166" spans="1:6">
      <c r="A166" t="s">
        <v>234</v>
      </c>
      <c r="B166" t="s">
        <v>233</v>
      </c>
      <c r="C166">
        <v>21</v>
      </c>
      <c r="D166">
        <v>6.9</v>
      </c>
      <c r="E166">
        <v>516957.65</v>
      </c>
      <c r="F166">
        <v>5169460.78</v>
      </c>
    </row>
    <row r="167" spans="1:6">
      <c r="A167" t="s">
        <v>234</v>
      </c>
      <c r="B167" t="s">
        <v>233</v>
      </c>
      <c r="C167">
        <v>22</v>
      </c>
      <c r="D167">
        <v>9.3000000000000007</v>
      </c>
      <c r="E167">
        <v>517237.65</v>
      </c>
      <c r="F167">
        <v>5169280.78</v>
      </c>
    </row>
    <row r="168" spans="1:6">
      <c r="A168" t="s">
        <v>234</v>
      </c>
      <c r="B168" t="s">
        <v>233</v>
      </c>
      <c r="C168">
        <v>23</v>
      </c>
      <c r="D168">
        <v>7.3</v>
      </c>
      <c r="E168">
        <v>517367.65</v>
      </c>
      <c r="F168">
        <v>5169070.78</v>
      </c>
    </row>
    <row r="169" spans="1:6">
      <c r="A169" t="s">
        <v>234</v>
      </c>
      <c r="B169" t="s">
        <v>233</v>
      </c>
      <c r="C169">
        <v>24</v>
      </c>
      <c r="D169">
        <v>13.2</v>
      </c>
      <c r="E169">
        <v>516877.65</v>
      </c>
      <c r="F169">
        <v>5169420.78</v>
      </c>
    </row>
    <row r="170" spans="1:6">
      <c r="A170" t="s">
        <v>234</v>
      </c>
      <c r="B170" t="s">
        <v>233</v>
      </c>
      <c r="C170">
        <v>25</v>
      </c>
      <c r="D170">
        <v>12.1</v>
      </c>
      <c r="E170">
        <v>516977.65</v>
      </c>
      <c r="F170">
        <v>5169290.78</v>
      </c>
    </row>
    <row r="171" spans="1:6">
      <c r="A171" t="s">
        <v>234</v>
      </c>
      <c r="B171" t="s">
        <v>233</v>
      </c>
      <c r="C171">
        <v>26</v>
      </c>
      <c r="D171">
        <v>21.7</v>
      </c>
      <c r="E171">
        <v>517317.65</v>
      </c>
      <c r="F171">
        <v>5169390.78</v>
      </c>
    </row>
    <row r="172" spans="1:6">
      <c r="A172" t="s">
        <v>234</v>
      </c>
      <c r="B172" t="s">
        <v>233</v>
      </c>
      <c r="C172">
        <v>27</v>
      </c>
      <c r="D172">
        <v>9.8000000000000007</v>
      </c>
      <c r="E172">
        <v>517177.65</v>
      </c>
      <c r="F172">
        <v>5169460.78</v>
      </c>
    </row>
    <row r="173" spans="1:6">
      <c r="A173" t="s">
        <v>234</v>
      </c>
      <c r="B173" t="s">
        <v>233</v>
      </c>
      <c r="C173">
        <v>28</v>
      </c>
      <c r="D173">
        <v>7.1</v>
      </c>
      <c r="E173">
        <v>517457.65</v>
      </c>
      <c r="F173">
        <v>5169310.78</v>
      </c>
    </row>
    <row r="174" spans="1:6">
      <c r="A174" t="s">
        <v>234</v>
      </c>
      <c r="B174" t="s">
        <v>233</v>
      </c>
      <c r="C174">
        <v>29</v>
      </c>
      <c r="D174">
        <v>0</v>
      </c>
      <c r="E174">
        <v>517287.65</v>
      </c>
      <c r="F174">
        <v>5169080.78</v>
      </c>
    </row>
    <row r="175" spans="1:6">
      <c r="A175" t="s">
        <v>234</v>
      </c>
      <c r="B175" t="s">
        <v>233</v>
      </c>
      <c r="C175">
        <v>30</v>
      </c>
      <c r="D175">
        <v>13.5</v>
      </c>
      <c r="E175">
        <v>516997.65</v>
      </c>
      <c r="F175">
        <v>5169380.78</v>
      </c>
    </row>
    <row r="176" spans="1:6">
      <c r="A176" t="s">
        <v>234</v>
      </c>
      <c r="B176" t="s">
        <v>233</v>
      </c>
      <c r="C176">
        <v>31</v>
      </c>
      <c r="D176">
        <v>8.8000000000000007</v>
      </c>
      <c r="E176">
        <v>517287.65</v>
      </c>
      <c r="F176">
        <v>5169590.78</v>
      </c>
    </row>
    <row r="177" spans="1:6">
      <c r="A177" t="s">
        <v>234</v>
      </c>
      <c r="B177" t="s">
        <v>233</v>
      </c>
      <c r="C177">
        <v>32</v>
      </c>
      <c r="D177">
        <v>14.1</v>
      </c>
      <c r="E177">
        <v>517147.65</v>
      </c>
      <c r="F177">
        <v>5169330.78</v>
      </c>
    </row>
    <row r="178" spans="1:6">
      <c r="A178" t="s">
        <v>234</v>
      </c>
      <c r="B178" t="s">
        <v>233</v>
      </c>
      <c r="C178">
        <v>33</v>
      </c>
      <c r="D178">
        <v>16.399999999999999</v>
      </c>
      <c r="E178">
        <v>517387.65</v>
      </c>
      <c r="F178">
        <v>5169440.78</v>
      </c>
    </row>
    <row r="179" spans="1:6">
      <c r="A179" t="s">
        <v>234</v>
      </c>
      <c r="B179" t="s">
        <v>233</v>
      </c>
      <c r="C179">
        <v>34</v>
      </c>
      <c r="D179">
        <v>9.6999999999999993</v>
      </c>
      <c r="E179">
        <v>517467.65</v>
      </c>
      <c r="F179">
        <v>5169160.78</v>
      </c>
    </row>
    <row r="180" spans="1:6">
      <c r="A180" t="s">
        <v>234</v>
      </c>
      <c r="B180" t="s">
        <v>233</v>
      </c>
      <c r="C180">
        <v>35</v>
      </c>
      <c r="D180">
        <v>5.4</v>
      </c>
      <c r="E180">
        <v>517077.65</v>
      </c>
      <c r="F180">
        <v>5169530.78</v>
      </c>
    </row>
    <row r="181" spans="1:6">
      <c r="A181" t="s">
        <v>234</v>
      </c>
      <c r="B181" t="s">
        <v>233</v>
      </c>
      <c r="C181">
        <v>36</v>
      </c>
      <c r="D181">
        <v>5.0999999999999996</v>
      </c>
      <c r="E181">
        <v>517317.65</v>
      </c>
      <c r="F181">
        <v>5169020.78</v>
      </c>
    </row>
    <row r="182" spans="1:6">
      <c r="A182" t="s">
        <v>234</v>
      </c>
      <c r="B182" t="s">
        <v>232</v>
      </c>
      <c r="C182">
        <v>1</v>
      </c>
      <c r="D182">
        <v>29.2089</v>
      </c>
      <c r="E182">
        <v>517227.65</v>
      </c>
      <c r="F182">
        <v>5169180.78</v>
      </c>
    </row>
    <row r="183" spans="1:6">
      <c r="A183" t="s">
        <v>234</v>
      </c>
      <c r="B183" t="s">
        <v>232</v>
      </c>
      <c r="C183">
        <v>2</v>
      </c>
      <c r="D183">
        <v>37.608800000000002</v>
      </c>
      <c r="E183">
        <v>517437.65</v>
      </c>
      <c r="F183">
        <v>5169220.78</v>
      </c>
    </row>
    <row r="184" spans="1:6">
      <c r="A184" t="s">
        <v>234</v>
      </c>
      <c r="B184" t="s">
        <v>232</v>
      </c>
      <c r="C184">
        <v>3</v>
      </c>
      <c r="D184">
        <v>33.840699999999998</v>
      </c>
      <c r="E184">
        <v>517327.65</v>
      </c>
      <c r="F184">
        <v>5169270.78</v>
      </c>
    </row>
    <row r="185" spans="1:6">
      <c r="A185" t="s">
        <v>234</v>
      </c>
      <c r="B185" t="s">
        <v>232</v>
      </c>
      <c r="C185">
        <v>4</v>
      </c>
      <c r="D185">
        <v>19.638300000000001</v>
      </c>
      <c r="E185">
        <v>516947.65</v>
      </c>
      <c r="F185">
        <v>5169210.78</v>
      </c>
    </row>
    <row r="186" spans="1:6">
      <c r="A186" t="s">
        <v>234</v>
      </c>
      <c r="B186" t="s">
        <v>232</v>
      </c>
      <c r="C186">
        <v>5</v>
      </c>
      <c r="D186">
        <v>27.069099999999999</v>
      </c>
      <c r="E186">
        <v>517147.65</v>
      </c>
      <c r="F186">
        <v>5169230.78</v>
      </c>
    </row>
    <row r="187" spans="1:6">
      <c r="A187" t="s">
        <v>234</v>
      </c>
      <c r="B187" t="s">
        <v>232</v>
      </c>
      <c r="C187">
        <v>6</v>
      </c>
      <c r="D187">
        <v>20.154800000000002</v>
      </c>
      <c r="E187">
        <v>517057.65</v>
      </c>
      <c r="F187">
        <v>5169320.78</v>
      </c>
    </row>
    <row r="188" spans="1:6">
      <c r="A188" t="s">
        <v>234</v>
      </c>
      <c r="B188" t="s">
        <v>232</v>
      </c>
      <c r="C188">
        <v>7</v>
      </c>
      <c r="D188">
        <v>38.566200000000002</v>
      </c>
      <c r="E188">
        <v>517097.65</v>
      </c>
      <c r="F188">
        <v>5169400.78</v>
      </c>
    </row>
    <row r="189" spans="1:6">
      <c r="A189" t="s">
        <v>234</v>
      </c>
      <c r="B189" t="s">
        <v>232</v>
      </c>
      <c r="C189">
        <v>8</v>
      </c>
      <c r="D189">
        <v>26.117599999999999</v>
      </c>
      <c r="E189">
        <v>517087.65</v>
      </c>
      <c r="F189">
        <v>5169460.78</v>
      </c>
    </row>
    <row r="190" spans="1:6">
      <c r="A190" t="s">
        <v>234</v>
      </c>
      <c r="B190" t="s">
        <v>232</v>
      </c>
      <c r="C190">
        <v>9</v>
      </c>
      <c r="D190">
        <v>33.596400000000003</v>
      </c>
      <c r="E190">
        <v>517257.65</v>
      </c>
      <c r="F190">
        <v>5169450.78</v>
      </c>
    </row>
    <row r="191" spans="1:6">
      <c r="A191" t="s">
        <v>234</v>
      </c>
      <c r="B191" t="s">
        <v>232</v>
      </c>
      <c r="C191">
        <v>10</v>
      </c>
      <c r="D191">
        <v>21.261099999999999</v>
      </c>
      <c r="E191">
        <v>517237.65</v>
      </c>
      <c r="F191">
        <v>5169520.78</v>
      </c>
    </row>
    <row r="192" spans="1:6">
      <c r="A192" t="s">
        <v>234</v>
      </c>
      <c r="B192" t="s">
        <v>232</v>
      </c>
      <c r="C192">
        <v>11</v>
      </c>
      <c r="D192">
        <v>34.178600000000003</v>
      </c>
      <c r="E192">
        <v>517217.65</v>
      </c>
      <c r="F192">
        <v>5169370.78</v>
      </c>
    </row>
    <row r="193" spans="1:6">
      <c r="A193" t="s">
        <v>234</v>
      </c>
      <c r="B193" t="s">
        <v>232</v>
      </c>
      <c r="C193">
        <v>12</v>
      </c>
      <c r="D193">
        <v>31.819500000000001</v>
      </c>
      <c r="E193">
        <v>517127.65</v>
      </c>
      <c r="F193">
        <v>5169250.78</v>
      </c>
    </row>
    <row r="194" spans="1:6">
      <c r="A194" t="s">
        <v>234</v>
      </c>
      <c r="B194" t="s">
        <v>232</v>
      </c>
      <c r="C194">
        <v>13</v>
      </c>
      <c r="D194">
        <v>28.2195</v>
      </c>
      <c r="E194">
        <v>517457.65</v>
      </c>
      <c r="F194">
        <v>5169080.78</v>
      </c>
    </row>
    <row r="195" spans="1:6">
      <c r="A195" t="s">
        <v>234</v>
      </c>
      <c r="B195" t="s">
        <v>232</v>
      </c>
      <c r="C195">
        <v>14</v>
      </c>
      <c r="D195">
        <v>18.783899999999999</v>
      </c>
      <c r="E195">
        <v>517037.65</v>
      </c>
      <c r="F195">
        <v>5169220.78</v>
      </c>
    </row>
    <row r="196" spans="1:6">
      <c r="A196" t="s">
        <v>234</v>
      </c>
      <c r="B196" t="s">
        <v>232</v>
      </c>
      <c r="C196">
        <v>15</v>
      </c>
      <c r="D196">
        <v>24.7804</v>
      </c>
      <c r="E196">
        <v>516887.65</v>
      </c>
      <c r="F196">
        <v>5169320.78</v>
      </c>
    </row>
    <row r="197" spans="1:6">
      <c r="A197" t="s">
        <v>234</v>
      </c>
      <c r="B197" t="s">
        <v>232</v>
      </c>
      <c r="C197">
        <v>16</v>
      </c>
      <c r="D197">
        <v>18.636199999999999</v>
      </c>
      <c r="E197">
        <v>517327.65</v>
      </c>
      <c r="F197">
        <v>5169530.78</v>
      </c>
    </row>
    <row r="198" spans="1:6">
      <c r="A198" t="s">
        <v>234</v>
      </c>
      <c r="B198" t="s">
        <v>232</v>
      </c>
      <c r="C198">
        <v>17</v>
      </c>
      <c r="D198">
        <v>27.139500000000002</v>
      </c>
      <c r="E198">
        <v>517397.65</v>
      </c>
      <c r="F198">
        <v>5169360.78</v>
      </c>
    </row>
    <row r="199" spans="1:6">
      <c r="A199" t="s">
        <v>234</v>
      </c>
      <c r="B199" t="s">
        <v>232</v>
      </c>
      <c r="C199">
        <v>18</v>
      </c>
      <c r="D199">
        <v>0</v>
      </c>
      <c r="E199">
        <v>516847.65</v>
      </c>
      <c r="F199">
        <v>5169190.78</v>
      </c>
    </row>
    <row r="200" spans="1:6">
      <c r="A200" t="s">
        <v>234</v>
      </c>
      <c r="B200" t="s">
        <v>232</v>
      </c>
      <c r="C200">
        <v>19</v>
      </c>
      <c r="D200">
        <v>22.843800000000002</v>
      </c>
      <c r="E200">
        <v>517147.65</v>
      </c>
      <c r="F200">
        <v>5169560.78</v>
      </c>
    </row>
    <row r="201" spans="1:6">
      <c r="A201" t="s">
        <v>234</v>
      </c>
      <c r="B201" t="s">
        <v>232</v>
      </c>
      <c r="C201">
        <v>20</v>
      </c>
      <c r="D201">
        <v>26.830300000000001</v>
      </c>
      <c r="E201">
        <v>517347.65</v>
      </c>
      <c r="F201">
        <v>5169170.78</v>
      </c>
    </row>
    <row r="202" spans="1:6">
      <c r="A202" t="s">
        <v>234</v>
      </c>
      <c r="B202" t="s">
        <v>232</v>
      </c>
      <c r="C202">
        <v>21</v>
      </c>
      <c r="D202">
        <v>31.631699999999999</v>
      </c>
      <c r="E202">
        <v>516957.65</v>
      </c>
      <c r="F202">
        <v>5169460.78</v>
      </c>
    </row>
    <row r="203" spans="1:6">
      <c r="A203" t="s">
        <v>234</v>
      </c>
      <c r="B203" t="s">
        <v>232</v>
      </c>
      <c r="C203">
        <v>22</v>
      </c>
      <c r="D203">
        <v>22.848099999999999</v>
      </c>
      <c r="E203">
        <v>517237.65</v>
      </c>
      <c r="F203">
        <v>5169280.78</v>
      </c>
    </row>
    <row r="204" spans="1:6">
      <c r="A204" t="s">
        <v>234</v>
      </c>
      <c r="B204" t="s">
        <v>232</v>
      </c>
      <c r="C204">
        <v>23</v>
      </c>
      <c r="D204">
        <v>25.660499999999999</v>
      </c>
      <c r="E204">
        <v>517367.65</v>
      </c>
      <c r="F204">
        <v>5169070.78</v>
      </c>
    </row>
    <row r="205" spans="1:6">
      <c r="A205" t="s">
        <v>234</v>
      </c>
      <c r="B205" t="s">
        <v>232</v>
      </c>
      <c r="C205">
        <v>24</v>
      </c>
      <c r="D205">
        <v>29.813400000000001</v>
      </c>
      <c r="E205">
        <v>516877.65</v>
      </c>
      <c r="F205">
        <v>5169420.78</v>
      </c>
    </row>
    <row r="206" spans="1:6">
      <c r="A206" t="s">
        <v>234</v>
      </c>
      <c r="B206" t="s">
        <v>232</v>
      </c>
      <c r="C206">
        <v>25</v>
      </c>
      <c r="D206">
        <v>22.745899999999999</v>
      </c>
      <c r="E206">
        <v>516977.65</v>
      </c>
      <c r="F206">
        <v>5169290.78</v>
      </c>
    </row>
    <row r="207" spans="1:6">
      <c r="A207" t="s">
        <v>234</v>
      </c>
      <c r="B207" t="s">
        <v>232</v>
      </c>
      <c r="C207">
        <v>26</v>
      </c>
      <c r="D207">
        <v>30.0015</v>
      </c>
      <c r="E207">
        <v>517317.65</v>
      </c>
      <c r="F207">
        <v>5169390.78</v>
      </c>
    </row>
    <row r="208" spans="1:6">
      <c r="A208" t="s">
        <v>234</v>
      </c>
      <c r="B208" t="s">
        <v>232</v>
      </c>
      <c r="C208">
        <v>27</v>
      </c>
      <c r="D208">
        <v>19.018599999999999</v>
      </c>
      <c r="E208">
        <v>517177.65</v>
      </c>
      <c r="F208">
        <v>5169460.78</v>
      </c>
    </row>
    <row r="209" spans="1:6">
      <c r="A209" t="s">
        <v>234</v>
      </c>
      <c r="B209" t="s">
        <v>232</v>
      </c>
      <c r="C209">
        <v>28</v>
      </c>
      <c r="D209">
        <v>44.349899999999998</v>
      </c>
      <c r="E209">
        <v>517457.65</v>
      </c>
      <c r="F209">
        <v>5169310.78</v>
      </c>
    </row>
    <row r="210" spans="1:6">
      <c r="A210" t="s">
        <v>234</v>
      </c>
      <c r="B210" t="s">
        <v>232</v>
      </c>
      <c r="C210">
        <v>29</v>
      </c>
      <c r="D210">
        <v>0</v>
      </c>
      <c r="E210">
        <v>517287.65</v>
      </c>
      <c r="F210">
        <v>5169080.78</v>
      </c>
    </row>
    <row r="211" spans="1:6">
      <c r="A211" t="s">
        <v>234</v>
      </c>
      <c r="B211" t="s">
        <v>232</v>
      </c>
      <c r="C211">
        <v>30</v>
      </c>
      <c r="D211">
        <v>27.938300000000002</v>
      </c>
      <c r="E211">
        <v>516997.65</v>
      </c>
      <c r="F211">
        <v>5169380.78</v>
      </c>
    </row>
    <row r="212" spans="1:6">
      <c r="A212" t="s">
        <v>234</v>
      </c>
      <c r="B212" t="s">
        <v>232</v>
      </c>
      <c r="C212">
        <v>31</v>
      </c>
      <c r="D212">
        <v>21.116700000000002</v>
      </c>
      <c r="E212">
        <v>517287.65</v>
      </c>
      <c r="F212">
        <v>5169590.78</v>
      </c>
    </row>
    <row r="213" spans="1:6">
      <c r="A213" t="s">
        <v>234</v>
      </c>
      <c r="B213" t="s">
        <v>232</v>
      </c>
      <c r="C213">
        <v>32</v>
      </c>
      <c r="D213">
        <v>27.7514</v>
      </c>
      <c r="E213">
        <v>517147.65</v>
      </c>
      <c r="F213">
        <v>5169330.78</v>
      </c>
    </row>
    <row r="214" spans="1:6">
      <c r="A214" t="s">
        <v>234</v>
      </c>
      <c r="B214" t="s">
        <v>232</v>
      </c>
      <c r="C214">
        <v>33</v>
      </c>
      <c r="D214">
        <v>36.423900000000003</v>
      </c>
      <c r="E214">
        <v>517387.65</v>
      </c>
      <c r="F214">
        <v>5169440.78</v>
      </c>
    </row>
    <row r="215" spans="1:6">
      <c r="A215" t="s">
        <v>234</v>
      </c>
      <c r="B215" t="s">
        <v>232</v>
      </c>
      <c r="C215">
        <v>34</v>
      </c>
      <c r="D215">
        <v>31.671299999999999</v>
      </c>
      <c r="E215">
        <v>517467.65</v>
      </c>
      <c r="F215">
        <v>5169160.78</v>
      </c>
    </row>
    <row r="216" spans="1:6">
      <c r="A216" t="s">
        <v>234</v>
      </c>
      <c r="B216" t="s">
        <v>232</v>
      </c>
      <c r="C216">
        <v>35</v>
      </c>
      <c r="D216">
        <v>26.3474</v>
      </c>
      <c r="E216">
        <v>517077.65</v>
      </c>
      <c r="F216">
        <v>5169530.78</v>
      </c>
    </row>
    <row r="217" spans="1:6">
      <c r="A217" t="s">
        <v>234</v>
      </c>
      <c r="B217" t="s">
        <v>232</v>
      </c>
      <c r="C217">
        <v>36</v>
      </c>
      <c r="D217">
        <v>27.949000000000002</v>
      </c>
      <c r="E217">
        <v>517317.65</v>
      </c>
      <c r="F217">
        <v>5169020.78</v>
      </c>
    </row>
    <row r="218" spans="1:6">
      <c r="A218" t="s">
        <v>230</v>
      </c>
      <c r="B218" t="s">
        <v>229</v>
      </c>
      <c r="C218">
        <v>1</v>
      </c>
      <c r="D218">
        <v>37.629600000000003</v>
      </c>
      <c r="E218">
        <v>5150951.67</v>
      </c>
      <c r="F218">
        <v>37629485.969999999</v>
      </c>
    </row>
    <row r="219" spans="1:6">
      <c r="A219" t="s">
        <v>230</v>
      </c>
      <c r="B219" t="s">
        <v>229</v>
      </c>
      <c r="C219">
        <v>2</v>
      </c>
      <c r="D219">
        <v>56.821800000000003</v>
      </c>
      <c r="E219">
        <v>5150981.67</v>
      </c>
      <c r="F219">
        <v>56821627.810000002</v>
      </c>
    </row>
    <row r="220" spans="1:6">
      <c r="A220" t="s">
        <v>230</v>
      </c>
      <c r="B220" t="s">
        <v>229</v>
      </c>
      <c r="C220">
        <v>3</v>
      </c>
      <c r="D220">
        <v>37.165500000000002</v>
      </c>
      <c r="E220">
        <v>5151011.67</v>
      </c>
      <c r="F220">
        <v>37165387.380000003</v>
      </c>
    </row>
    <row r="221" spans="1:6">
      <c r="A221" t="s">
        <v>230</v>
      </c>
      <c r="B221" t="s">
        <v>229</v>
      </c>
      <c r="C221">
        <v>4</v>
      </c>
      <c r="D221">
        <v>53.589799999999997</v>
      </c>
      <c r="E221">
        <v>5151081.67</v>
      </c>
      <c r="F221">
        <v>53589637.609999999</v>
      </c>
    </row>
    <row r="222" spans="1:6">
      <c r="A222" t="s">
        <v>230</v>
      </c>
      <c r="B222" t="s">
        <v>229</v>
      </c>
      <c r="C222">
        <v>5</v>
      </c>
      <c r="D222">
        <v>63.144799999999996</v>
      </c>
      <c r="E222">
        <v>5151081.67</v>
      </c>
      <c r="F222">
        <v>63144608.649999999</v>
      </c>
    </row>
    <row r="223" spans="1:6">
      <c r="A223" t="s">
        <v>230</v>
      </c>
      <c r="B223" t="s">
        <v>229</v>
      </c>
      <c r="C223">
        <v>6</v>
      </c>
      <c r="D223">
        <v>47.570300000000003</v>
      </c>
      <c r="E223">
        <v>5151111.67</v>
      </c>
      <c r="F223">
        <v>47570155.850000001</v>
      </c>
    </row>
    <row r="224" spans="1:6">
      <c r="A224" t="s">
        <v>230</v>
      </c>
      <c r="B224" t="s">
        <v>229</v>
      </c>
      <c r="C224">
        <v>7</v>
      </c>
      <c r="D224">
        <v>61.290300000000002</v>
      </c>
      <c r="E224">
        <v>5151051.67</v>
      </c>
      <c r="F224">
        <v>61290114.270000003</v>
      </c>
    </row>
    <row r="225" spans="1:6">
      <c r="A225" t="s">
        <v>230</v>
      </c>
      <c r="B225" t="s">
        <v>229</v>
      </c>
      <c r="C225">
        <v>8</v>
      </c>
      <c r="D225">
        <v>44.165799999999997</v>
      </c>
      <c r="E225">
        <v>5150991.67</v>
      </c>
      <c r="F225">
        <v>44165666.159999996</v>
      </c>
    </row>
    <row r="226" spans="1:6">
      <c r="A226" t="s">
        <v>230</v>
      </c>
      <c r="B226" t="s">
        <v>229</v>
      </c>
      <c r="C226">
        <v>9</v>
      </c>
      <c r="D226">
        <v>51.8369</v>
      </c>
      <c r="E226">
        <v>5151021.67</v>
      </c>
      <c r="F226">
        <v>51836742.920000002</v>
      </c>
    </row>
    <row r="227" spans="1:6">
      <c r="A227" t="s">
        <v>230</v>
      </c>
      <c r="B227" t="s">
        <v>229</v>
      </c>
      <c r="C227">
        <v>10</v>
      </c>
      <c r="D227">
        <v>53.501600000000003</v>
      </c>
      <c r="E227">
        <v>5150951.67</v>
      </c>
      <c r="F227">
        <v>53501437.869999997</v>
      </c>
    </row>
    <row r="228" spans="1:6">
      <c r="A228" t="s">
        <v>230</v>
      </c>
      <c r="B228" t="s">
        <v>229</v>
      </c>
      <c r="C228">
        <v>11</v>
      </c>
      <c r="D228">
        <v>37.805799999999998</v>
      </c>
      <c r="E228">
        <v>5150991.67</v>
      </c>
      <c r="F228">
        <v>37805685.439999998</v>
      </c>
    </row>
    <row r="229" spans="1:6">
      <c r="A229" t="s">
        <v>230</v>
      </c>
      <c r="B229" t="s">
        <v>229</v>
      </c>
      <c r="C229">
        <v>12</v>
      </c>
      <c r="D229">
        <v>53.253999999999998</v>
      </c>
      <c r="E229">
        <v>5150931.67</v>
      </c>
      <c r="F229">
        <v>53253838.619999997</v>
      </c>
    </row>
    <row r="230" spans="1:6">
      <c r="A230" t="s">
        <v>230</v>
      </c>
      <c r="B230" t="s">
        <v>229</v>
      </c>
      <c r="C230">
        <v>13</v>
      </c>
      <c r="D230">
        <v>51.346699999999998</v>
      </c>
      <c r="E230">
        <v>5151051.67</v>
      </c>
      <c r="F230">
        <v>51346544.399999999</v>
      </c>
    </row>
    <row r="231" spans="1:6">
      <c r="A231" t="s">
        <v>230</v>
      </c>
      <c r="B231" t="s">
        <v>229</v>
      </c>
      <c r="C231">
        <v>15</v>
      </c>
      <c r="D231">
        <v>38.655700000000003</v>
      </c>
      <c r="E231">
        <v>5151091.67</v>
      </c>
      <c r="F231">
        <v>38655582.859999999</v>
      </c>
    </row>
    <row r="232" spans="1:6">
      <c r="A232" t="s">
        <v>230</v>
      </c>
      <c r="B232" t="s">
        <v>229</v>
      </c>
      <c r="C232">
        <v>16</v>
      </c>
      <c r="D232">
        <v>39.650599999999997</v>
      </c>
      <c r="E232">
        <v>5150981.67</v>
      </c>
      <c r="F232">
        <v>39650479.850000001</v>
      </c>
    </row>
    <row r="233" spans="1:6">
      <c r="A233" t="s">
        <v>230</v>
      </c>
      <c r="B233" t="s">
        <v>229</v>
      </c>
      <c r="C233">
        <v>17</v>
      </c>
      <c r="D233">
        <v>51.598399999999998</v>
      </c>
      <c r="E233">
        <v>5150991.67</v>
      </c>
      <c r="F233">
        <v>51598243.640000001</v>
      </c>
    </row>
    <row r="234" spans="1:6">
      <c r="A234" t="s">
        <v>230</v>
      </c>
      <c r="B234" t="s">
        <v>229</v>
      </c>
      <c r="C234">
        <v>18</v>
      </c>
      <c r="D234">
        <v>0</v>
      </c>
      <c r="E234">
        <v>5151141.67</v>
      </c>
      <c r="F234">
        <v>0</v>
      </c>
    </row>
    <row r="235" spans="1:6">
      <c r="A235" t="s">
        <v>230</v>
      </c>
      <c r="B235" t="s">
        <v>229</v>
      </c>
      <c r="C235">
        <v>19</v>
      </c>
      <c r="D235">
        <v>38.235300000000002</v>
      </c>
      <c r="E235">
        <v>5151101.67</v>
      </c>
      <c r="F235">
        <v>38235184.140000001</v>
      </c>
    </row>
    <row r="236" spans="1:6">
      <c r="A236" t="s">
        <v>230</v>
      </c>
      <c r="B236" t="s">
        <v>229</v>
      </c>
      <c r="C236">
        <v>20</v>
      </c>
      <c r="D236">
        <v>0</v>
      </c>
      <c r="E236">
        <v>5150891.67</v>
      </c>
      <c r="F236">
        <v>0</v>
      </c>
    </row>
    <row r="237" spans="1:6">
      <c r="A237" t="s">
        <v>230</v>
      </c>
      <c r="B237" t="s">
        <v>229</v>
      </c>
      <c r="C237">
        <v>21</v>
      </c>
      <c r="D237">
        <v>41.3718</v>
      </c>
      <c r="E237">
        <v>5150871.67</v>
      </c>
      <c r="F237">
        <v>41371674.630000003</v>
      </c>
    </row>
    <row r="238" spans="1:6">
      <c r="A238" t="s">
        <v>230</v>
      </c>
      <c r="B238" t="s">
        <v>229</v>
      </c>
      <c r="C238">
        <v>22</v>
      </c>
      <c r="D238">
        <v>0</v>
      </c>
      <c r="E238">
        <v>5150891.67</v>
      </c>
      <c r="F238">
        <v>0</v>
      </c>
    </row>
    <row r="239" spans="1:6">
      <c r="A239" t="s">
        <v>230</v>
      </c>
      <c r="B239" t="s">
        <v>229</v>
      </c>
      <c r="C239">
        <v>23</v>
      </c>
      <c r="D239">
        <v>53.134500000000003</v>
      </c>
      <c r="E239">
        <v>5151021.67</v>
      </c>
      <c r="F239">
        <v>53134338.990000002</v>
      </c>
    </row>
    <row r="240" spans="1:6">
      <c r="A240" t="s">
        <v>230</v>
      </c>
      <c r="B240" t="s">
        <v>229</v>
      </c>
      <c r="C240">
        <v>24</v>
      </c>
      <c r="D240">
        <v>36.808599999999998</v>
      </c>
      <c r="E240">
        <v>5151061.67</v>
      </c>
      <c r="F240">
        <v>36808488.460000001</v>
      </c>
    </row>
    <row r="241" spans="1:6">
      <c r="A241" t="s">
        <v>230</v>
      </c>
      <c r="B241" t="s">
        <v>229</v>
      </c>
      <c r="C241">
        <v>25</v>
      </c>
      <c r="D241">
        <v>41.055100000000003</v>
      </c>
      <c r="E241">
        <v>5150951.67</v>
      </c>
      <c r="F241">
        <v>41054975.590000004</v>
      </c>
    </row>
    <row r="242" spans="1:6">
      <c r="A242" t="s">
        <v>230</v>
      </c>
      <c r="B242" t="s">
        <v>229</v>
      </c>
      <c r="C242">
        <v>26</v>
      </c>
      <c r="D242">
        <v>42.189799999999998</v>
      </c>
      <c r="E242">
        <v>5150911.67</v>
      </c>
      <c r="F242">
        <v>42189672.149999999</v>
      </c>
    </row>
    <row r="243" spans="1:6">
      <c r="A243" t="s">
        <v>230</v>
      </c>
      <c r="B243" t="s">
        <v>229</v>
      </c>
      <c r="C243">
        <v>27</v>
      </c>
      <c r="D243">
        <v>44.407899999999998</v>
      </c>
      <c r="E243">
        <v>5151031.67</v>
      </c>
      <c r="F243">
        <v>44407765.43</v>
      </c>
    </row>
    <row r="244" spans="1:6">
      <c r="A244" t="s">
        <v>230</v>
      </c>
      <c r="B244" t="s">
        <v>229</v>
      </c>
      <c r="C244">
        <v>28</v>
      </c>
      <c r="D244">
        <v>0</v>
      </c>
      <c r="E244">
        <v>5151111.67</v>
      </c>
      <c r="F244">
        <v>0</v>
      </c>
    </row>
    <row r="245" spans="1:6">
      <c r="A245" t="s">
        <v>230</v>
      </c>
      <c r="B245" t="s">
        <v>229</v>
      </c>
      <c r="C245">
        <v>29</v>
      </c>
      <c r="D245">
        <v>51.258699999999997</v>
      </c>
      <c r="E245">
        <v>5150961.67</v>
      </c>
      <c r="F245">
        <v>51258544.670000002</v>
      </c>
    </row>
    <row r="246" spans="1:6">
      <c r="A246" t="s">
        <v>230</v>
      </c>
      <c r="B246" t="s">
        <v>229</v>
      </c>
      <c r="C246">
        <v>30</v>
      </c>
      <c r="D246">
        <v>54.273000000000003</v>
      </c>
      <c r="E246">
        <v>5151041.67</v>
      </c>
      <c r="F246">
        <v>54272835.539999999</v>
      </c>
    </row>
    <row r="247" spans="1:6">
      <c r="A247" t="s">
        <v>230</v>
      </c>
      <c r="B247" t="s">
        <v>229</v>
      </c>
      <c r="C247">
        <v>32</v>
      </c>
      <c r="D247">
        <v>43.438299999999998</v>
      </c>
      <c r="E247">
        <v>5150901.67</v>
      </c>
      <c r="F247">
        <v>43438168.369999997</v>
      </c>
    </row>
    <row r="248" spans="1:6">
      <c r="A248" t="s">
        <v>230</v>
      </c>
      <c r="B248" t="s">
        <v>229</v>
      </c>
      <c r="C248">
        <v>33</v>
      </c>
      <c r="D248">
        <v>41.297499999999999</v>
      </c>
      <c r="E248">
        <v>5150931.67</v>
      </c>
      <c r="F248">
        <v>41297374.859999999</v>
      </c>
    </row>
    <row r="249" spans="1:6">
      <c r="A249" t="s">
        <v>230</v>
      </c>
      <c r="B249" t="s">
        <v>229</v>
      </c>
      <c r="C249">
        <v>34</v>
      </c>
      <c r="D249">
        <v>41.513300000000001</v>
      </c>
      <c r="E249">
        <v>5150971.67</v>
      </c>
      <c r="F249">
        <v>41513174.200000003</v>
      </c>
    </row>
    <row r="250" spans="1:6">
      <c r="A250" t="s">
        <v>230</v>
      </c>
      <c r="B250" t="s">
        <v>229</v>
      </c>
      <c r="C250">
        <v>35</v>
      </c>
      <c r="D250">
        <v>0</v>
      </c>
      <c r="E250">
        <v>5151171.67</v>
      </c>
      <c r="F250">
        <v>0</v>
      </c>
    </row>
    <row r="251" spans="1:6">
      <c r="A251" t="s">
        <v>230</v>
      </c>
      <c r="B251" t="s">
        <v>229</v>
      </c>
      <c r="C251">
        <v>36</v>
      </c>
      <c r="D251">
        <v>48.306399999999996</v>
      </c>
      <c r="E251">
        <v>5150921.67</v>
      </c>
      <c r="F251">
        <v>48306253.619999997</v>
      </c>
    </row>
    <row r="252" spans="1:6">
      <c r="A252" t="s">
        <v>230</v>
      </c>
      <c r="B252" t="s">
        <v>233</v>
      </c>
      <c r="C252">
        <v>1</v>
      </c>
      <c r="D252">
        <v>7.5</v>
      </c>
      <c r="E252">
        <v>5150951.67</v>
      </c>
      <c r="F252">
        <v>37629485.969999999</v>
      </c>
    </row>
    <row r="253" spans="1:6">
      <c r="A253" t="s">
        <v>230</v>
      </c>
      <c r="B253" t="s">
        <v>233</v>
      </c>
      <c r="C253">
        <v>2</v>
      </c>
      <c r="D253">
        <v>16.8</v>
      </c>
      <c r="E253">
        <v>5150981.67</v>
      </c>
      <c r="F253">
        <v>56821627.810000002</v>
      </c>
    </row>
    <row r="254" spans="1:6">
      <c r="A254" t="s">
        <v>230</v>
      </c>
      <c r="B254" t="s">
        <v>233</v>
      </c>
      <c r="C254">
        <v>3</v>
      </c>
      <c r="D254">
        <v>9.9</v>
      </c>
      <c r="E254">
        <v>5151011.67</v>
      </c>
      <c r="F254">
        <v>37165387.380000003</v>
      </c>
    </row>
    <row r="255" spans="1:6">
      <c r="A255" t="s">
        <v>230</v>
      </c>
      <c r="B255" t="s">
        <v>233</v>
      </c>
      <c r="C255">
        <v>4</v>
      </c>
      <c r="D255">
        <v>8</v>
      </c>
      <c r="E255">
        <v>5151081.67</v>
      </c>
      <c r="F255">
        <v>53589637.609999999</v>
      </c>
    </row>
    <row r="256" spans="1:6">
      <c r="A256" t="s">
        <v>230</v>
      </c>
      <c r="B256" t="s">
        <v>233</v>
      </c>
      <c r="C256">
        <v>5</v>
      </c>
      <c r="D256">
        <v>20.6</v>
      </c>
      <c r="E256">
        <v>5151081.67</v>
      </c>
      <c r="F256">
        <v>63144608.649999999</v>
      </c>
    </row>
    <row r="257" spans="1:6">
      <c r="A257" t="s">
        <v>230</v>
      </c>
      <c r="B257" t="s">
        <v>233</v>
      </c>
      <c r="C257">
        <v>6</v>
      </c>
      <c r="D257">
        <v>6.9</v>
      </c>
      <c r="E257">
        <v>5151111.67</v>
      </c>
      <c r="F257">
        <v>47570155.850000001</v>
      </c>
    </row>
    <row r="258" spans="1:6">
      <c r="A258" t="s">
        <v>230</v>
      </c>
      <c r="B258" t="s">
        <v>233</v>
      </c>
      <c r="C258">
        <v>7</v>
      </c>
      <c r="D258">
        <v>6.5</v>
      </c>
      <c r="E258">
        <v>5151051.67</v>
      </c>
      <c r="F258">
        <v>61290114.270000003</v>
      </c>
    </row>
    <row r="259" spans="1:6">
      <c r="A259" t="s">
        <v>230</v>
      </c>
      <c r="B259" t="s">
        <v>233</v>
      </c>
      <c r="C259">
        <v>8</v>
      </c>
      <c r="D259">
        <v>7.6</v>
      </c>
      <c r="E259">
        <v>5150991.67</v>
      </c>
      <c r="F259">
        <v>44165666.159999996</v>
      </c>
    </row>
    <row r="260" spans="1:6">
      <c r="A260" t="s">
        <v>230</v>
      </c>
      <c r="B260" t="s">
        <v>233</v>
      </c>
      <c r="C260">
        <v>9</v>
      </c>
      <c r="D260">
        <v>9.5</v>
      </c>
      <c r="E260">
        <v>5151021.67</v>
      </c>
      <c r="F260">
        <v>51836742.920000002</v>
      </c>
    </row>
    <row r="261" spans="1:6">
      <c r="A261" t="s">
        <v>230</v>
      </c>
      <c r="B261" t="s">
        <v>233</v>
      </c>
      <c r="C261">
        <v>10</v>
      </c>
      <c r="D261">
        <v>15.1</v>
      </c>
      <c r="E261">
        <v>5150951.67</v>
      </c>
      <c r="F261">
        <v>53501437.869999997</v>
      </c>
    </row>
    <row r="262" spans="1:6">
      <c r="A262" t="s">
        <v>230</v>
      </c>
      <c r="B262" t="s">
        <v>233</v>
      </c>
      <c r="C262">
        <v>11</v>
      </c>
      <c r="D262">
        <v>10</v>
      </c>
      <c r="E262">
        <v>5150991.67</v>
      </c>
      <c r="F262">
        <v>37805685.439999998</v>
      </c>
    </row>
    <row r="263" spans="1:6">
      <c r="A263" t="s">
        <v>230</v>
      </c>
      <c r="B263" t="s">
        <v>233</v>
      </c>
      <c r="C263">
        <v>12</v>
      </c>
      <c r="D263">
        <v>13.4</v>
      </c>
      <c r="E263">
        <v>5150931.67</v>
      </c>
      <c r="F263">
        <v>53253838.619999997</v>
      </c>
    </row>
    <row r="264" spans="1:6">
      <c r="A264" t="s">
        <v>230</v>
      </c>
      <c r="B264" t="s">
        <v>233</v>
      </c>
      <c r="C264">
        <v>13</v>
      </c>
      <c r="D264">
        <v>9</v>
      </c>
      <c r="E264">
        <v>5151051.67</v>
      </c>
      <c r="F264">
        <v>51346544.399999999</v>
      </c>
    </row>
    <row r="265" spans="1:6">
      <c r="A265" t="s">
        <v>230</v>
      </c>
      <c r="B265" t="s">
        <v>233</v>
      </c>
      <c r="C265">
        <v>15</v>
      </c>
      <c r="D265">
        <v>4.5999999999999996</v>
      </c>
      <c r="E265">
        <v>5151091.67</v>
      </c>
      <c r="F265">
        <v>38655582.859999999</v>
      </c>
    </row>
    <row r="266" spans="1:6">
      <c r="A266" t="s">
        <v>230</v>
      </c>
      <c r="B266" t="s">
        <v>233</v>
      </c>
      <c r="C266">
        <v>16</v>
      </c>
      <c r="D266">
        <v>24.4</v>
      </c>
      <c r="E266">
        <v>5150981.67</v>
      </c>
      <c r="F266">
        <v>39650479.850000001</v>
      </c>
    </row>
    <row r="267" spans="1:6">
      <c r="A267" t="s">
        <v>230</v>
      </c>
      <c r="B267" t="s">
        <v>233</v>
      </c>
      <c r="C267">
        <v>17</v>
      </c>
      <c r="D267">
        <v>13.2</v>
      </c>
      <c r="E267">
        <v>5150991.67</v>
      </c>
      <c r="F267">
        <v>51598243.640000001</v>
      </c>
    </row>
    <row r="268" spans="1:6">
      <c r="A268" t="s">
        <v>230</v>
      </c>
      <c r="B268" t="s">
        <v>233</v>
      </c>
      <c r="C268">
        <v>18</v>
      </c>
      <c r="D268">
        <v>0</v>
      </c>
      <c r="E268">
        <v>5151141.67</v>
      </c>
      <c r="F268">
        <v>0</v>
      </c>
    </row>
    <row r="269" spans="1:6">
      <c r="A269" t="s">
        <v>230</v>
      </c>
      <c r="B269" t="s">
        <v>233</v>
      </c>
      <c r="C269">
        <v>19</v>
      </c>
      <c r="D269">
        <v>6.6</v>
      </c>
      <c r="E269">
        <v>5151101.67</v>
      </c>
      <c r="F269">
        <v>38235184.140000001</v>
      </c>
    </row>
    <row r="270" spans="1:6">
      <c r="A270" t="s">
        <v>230</v>
      </c>
      <c r="B270" t="s">
        <v>233</v>
      </c>
      <c r="C270">
        <v>20</v>
      </c>
      <c r="D270">
        <v>0</v>
      </c>
      <c r="E270">
        <v>5150891.67</v>
      </c>
      <c r="F270">
        <v>0</v>
      </c>
    </row>
    <row r="271" spans="1:6">
      <c r="A271" t="s">
        <v>230</v>
      </c>
      <c r="B271" t="s">
        <v>233</v>
      </c>
      <c r="C271">
        <v>21</v>
      </c>
      <c r="D271">
        <v>10.4</v>
      </c>
      <c r="E271">
        <v>5150871.67</v>
      </c>
      <c r="F271">
        <v>41371674.630000003</v>
      </c>
    </row>
    <row r="272" spans="1:6">
      <c r="A272" t="s">
        <v>230</v>
      </c>
      <c r="B272" t="s">
        <v>233</v>
      </c>
      <c r="C272">
        <v>22</v>
      </c>
      <c r="D272">
        <v>0</v>
      </c>
      <c r="E272">
        <v>5150891.67</v>
      </c>
      <c r="F272">
        <v>0</v>
      </c>
    </row>
    <row r="273" spans="1:6">
      <c r="A273" t="s">
        <v>230</v>
      </c>
      <c r="B273" t="s">
        <v>233</v>
      </c>
      <c r="C273">
        <v>23</v>
      </c>
      <c r="D273">
        <v>18.899999999999999</v>
      </c>
      <c r="E273">
        <v>5151021.67</v>
      </c>
      <c r="F273">
        <v>53134338.990000002</v>
      </c>
    </row>
    <row r="274" spans="1:6">
      <c r="A274" t="s">
        <v>230</v>
      </c>
      <c r="B274" t="s">
        <v>233</v>
      </c>
      <c r="C274">
        <v>24</v>
      </c>
      <c r="D274">
        <v>8.5</v>
      </c>
      <c r="E274">
        <v>5151061.67</v>
      </c>
      <c r="F274">
        <v>36808488.460000001</v>
      </c>
    </row>
    <row r="275" spans="1:6">
      <c r="A275" t="s">
        <v>230</v>
      </c>
      <c r="B275" t="s">
        <v>233</v>
      </c>
      <c r="C275">
        <v>25</v>
      </c>
      <c r="D275">
        <v>8.5</v>
      </c>
      <c r="E275">
        <v>5150951.67</v>
      </c>
      <c r="F275">
        <v>41054975.590000004</v>
      </c>
    </row>
    <row r="276" spans="1:6">
      <c r="A276" t="s">
        <v>230</v>
      </c>
      <c r="B276" t="s">
        <v>233</v>
      </c>
      <c r="C276">
        <v>26</v>
      </c>
      <c r="D276">
        <v>10.8</v>
      </c>
      <c r="E276">
        <v>5150911.67</v>
      </c>
      <c r="F276">
        <v>42189672.149999999</v>
      </c>
    </row>
    <row r="277" spans="1:6">
      <c r="A277" t="s">
        <v>230</v>
      </c>
      <c r="B277" t="s">
        <v>233</v>
      </c>
      <c r="C277">
        <v>27</v>
      </c>
      <c r="D277">
        <v>12</v>
      </c>
      <c r="E277">
        <v>5151031.67</v>
      </c>
      <c r="F277">
        <v>44407765.43</v>
      </c>
    </row>
    <row r="278" spans="1:6">
      <c r="A278" t="s">
        <v>230</v>
      </c>
      <c r="B278" t="s">
        <v>233</v>
      </c>
      <c r="C278">
        <v>28</v>
      </c>
      <c r="D278">
        <v>0</v>
      </c>
      <c r="E278">
        <v>5151111.67</v>
      </c>
      <c r="F278">
        <v>0</v>
      </c>
    </row>
    <row r="279" spans="1:6">
      <c r="A279" t="s">
        <v>230</v>
      </c>
      <c r="B279" t="s">
        <v>233</v>
      </c>
      <c r="C279">
        <v>29</v>
      </c>
      <c r="D279">
        <v>13</v>
      </c>
      <c r="E279">
        <v>5150961.67</v>
      </c>
      <c r="F279">
        <v>51258544.670000002</v>
      </c>
    </row>
    <row r="280" spans="1:6">
      <c r="A280" t="s">
        <v>230</v>
      </c>
      <c r="B280" t="s">
        <v>233</v>
      </c>
      <c r="C280">
        <v>30</v>
      </c>
      <c r="D280">
        <v>18.5</v>
      </c>
      <c r="E280">
        <v>5151041.67</v>
      </c>
      <c r="F280">
        <v>54272835.539999999</v>
      </c>
    </row>
    <row r="281" spans="1:6">
      <c r="A281" t="s">
        <v>230</v>
      </c>
      <c r="B281" t="s">
        <v>233</v>
      </c>
      <c r="C281">
        <v>32</v>
      </c>
      <c r="D281">
        <v>10</v>
      </c>
      <c r="E281">
        <v>5150901.67</v>
      </c>
      <c r="F281">
        <v>43438168.369999997</v>
      </c>
    </row>
    <row r="282" spans="1:6">
      <c r="A282" t="s">
        <v>230</v>
      </c>
      <c r="B282" t="s">
        <v>233</v>
      </c>
      <c r="C282">
        <v>33</v>
      </c>
      <c r="D282">
        <v>19.899999999999999</v>
      </c>
      <c r="E282">
        <v>5150931.67</v>
      </c>
      <c r="F282">
        <v>41297374.859999999</v>
      </c>
    </row>
    <row r="283" spans="1:6">
      <c r="A283" t="s">
        <v>230</v>
      </c>
      <c r="B283" t="s">
        <v>233</v>
      </c>
      <c r="C283">
        <v>34</v>
      </c>
      <c r="D283">
        <v>18.8</v>
      </c>
      <c r="E283">
        <v>5150971.67</v>
      </c>
      <c r="F283">
        <v>41513174.200000003</v>
      </c>
    </row>
    <row r="284" spans="1:6">
      <c r="A284" t="s">
        <v>230</v>
      </c>
      <c r="B284" t="s">
        <v>233</v>
      </c>
      <c r="C284">
        <v>35</v>
      </c>
      <c r="D284">
        <v>0</v>
      </c>
      <c r="E284">
        <v>5151171.67</v>
      </c>
      <c r="F284">
        <v>0</v>
      </c>
    </row>
    <row r="285" spans="1:6">
      <c r="A285" t="s">
        <v>230</v>
      </c>
      <c r="B285" t="s">
        <v>233</v>
      </c>
      <c r="C285">
        <v>36</v>
      </c>
      <c r="D285">
        <v>7.6</v>
      </c>
      <c r="E285">
        <v>5150921.67</v>
      </c>
      <c r="F285">
        <v>48306253.619999997</v>
      </c>
    </row>
    <row r="286" spans="1:6">
      <c r="A286" t="s">
        <v>230</v>
      </c>
      <c r="B286" t="s">
        <v>232</v>
      </c>
      <c r="C286">
        <v>1</v>
      </c>
      <c r="D286">
        <v>30.1296</v>
      </c>
      <c r="E286">
        <v>5150951.67</v>
      </c>
      <c r="F286">
        <v>37629485.969999999</v>
      </c>
    </row>
    <row r="287" spans="1:6">
      <c r="A287" t="s">
        <v>230</v>
      </c>
      <c r="B287" t="s">
        <v>232</v>
      </c>
      <c r="C287">
        <v>2</v>
      </c>
      <c r="D287">
        <v>40.021799999999999</v>
      </c>
      <c r="E287">
        <v>5150981.67</v>
      </c>
      <c r="F287">
        <v>56821627.810000002</v>
      </c>
    </row>
    <row r="288" spans="1:6">
      <c r="A288" t="s">
        <v>230</v>
      </c>
      <c r="B288" t="s">
        <v>232</v>
      </c>
      <c r="C288">
        <v>3</v>
      </c>
      <c r="D288">
        <v>27.265499999999999</v>
      </c>
      <c r="E288">
        <v>5151011.67</v>
      </c>
      <c r="F288">
        <v>37165387.380000003</v>
      </c>
    </row>
    <row r="289" spans="1:6">
      <c r="A289" t="s">
        <v>230</v>
      </c>
      <c r="B289" t="s">
        <v>232</v>
      </c>
      <c r="C289">
        <v>4</v>
      </c>
      <c r="D289">
        <v>45.589799999999997</v>
      </c>
      <c r="E289">
        <v>5151081.67</v>
      </c>
      <c r="F289">
        <v>53589637.609999999</v>
      </c>
    </row>
    <row r="290" spans="1:6">
      <c r="A290" t="s">
        <v>230</v>
      </c>
      <c r="B290" t="s">
        <v>232</v>
      </c>
      <c r="C290">
        <v>5</v>
      </c>
      <c r="D290">
        <v>42.544800000000002</v>
      </c>
      <c r="E290">
        <v>5151081.67</v>
      </c>
      <c r="F290">
        <v>63144608.649999999</v>
      </c>
    </row>
    <row r="291" spans="1:6">
      <c r="A291" t="s">
        <v>230</v>
      </c>
      <c r="B291" t="s">
        <v>232</v>
      </c>
      <c r="C291">
        <v>6</v>
      </c>
      <c r="D291">
        <v>40.670299999999997</v>
      </c>
      <c r="E291">
        <v>5151111.67</v>
      </c>
      <c r="F291">
        <v>47570155.850000001</v>
      </c>
    </row>
    <row r="292" spans="1:6">
      <c r="A292" t="s">
        <v>230</v>
      </c>
      <c r="B292" t="s">
        <v>232</v>
      </c>
      <c r="C292">
        <v>7</v>
      </c>
      <c r="D292">
        <v>54.790300000000002</v>
      </c>
      <c r="E292">
        <v>5151051.67</v>
      </c>
      <c r="F292">
        <v>61290114.270000003</v>
      </c>
    </row>
    <row r="293" spans="1:6">
      <c r="A293" t="s">
        <v>230</v>
      </c>
      <c r="B293" t="s">
        <v>232</v>
      </c>
      <c r="C293">
        <v>8</v>
      </c>
      <c r="D293">
        <v>36.565800000000003</v>
      </c>
      <c r="E293">
        <v>5150991.67</v>
      </c>
      <c r="F293">
        <v>44165666.159999996</v>
      </c>
    </row>
    <row r="294" spans="1:6">
      <c r="A294" t="s">
        <v>230</v>
      </c>
      <c r="B294" t="s">
        <v>232</v>
      </c>
      <c r="C294">
        <v>9</v>
      </c>
      <c r="D294">
        <v>42.3369</v>
      </c>
      <c r="E294">
        <v>5151021.67</v>
      </c>
      <c r="F294">
        <v>51836742.920000002</v>
      </c>
    </row>
    <row r="295" spans="1:6">
      <c r="A295" t="s">
        <v>230</v>
      </c>
      <c r="B295" t="s">
        <v>232</v>
      </c>
      <c r="C295">
        <v>10</v>
      </c>
      <c r="D295">
        <v>38.401600000000002</v>
      </c>
      <c r="E295">
        <v>5150951.67</v>
      </c>
      <c r="F295">
        <v>53501437.869999997</v>
      </c>
    </row>
    <row r="296" spans="1:6">
      <c r="A296" t="s">
        <v>230</v>
      </c>
      <c r="B296" t="s">
        <v>232</v>
      </c>
      <c r="C296">
        <v>11</v>
      </c>
      <c r="D296">
        <v>27.805800000000001</v>
      </c>
      <c r="E296">
        <v>5150991.67</v>
      </c>
      <c r="F296">
        <v>37805685.439999998</v>
      </c>
    </row>
    <row r="297" spans="1:6">
      <c r="A297" t="s">
        <v>230</v>
      </c>
      <c r="B297" t="s">
        <v>232</v>
      </c>
      <c r="C297">
        <v>12</v>
      </c>
      <c r="D297">
        <v>39.853999999999999</v>
      </c>
      <c r="E297">
        <v>5150931.67</v>
      </c>
      <c r="F297">
        <v>53253838.619999997</v>
      </c>
    </row>
    <row r="298" spans="1:6">
      <c r="A298" t="s">
        <v>230</v>
      </c>
      <c r="B298" t="s">
        <v>232</v>
      </c>
      <c r="C298">
        <v>13</v>
      </c>
      <c r="D298">
        <v>42.346699999999998</v>
      </c>
      <c r="E298">
        <v>5151051.67</v>
      </c>
      <c r="F298">
        <v>51346544.399999999</v>
      </c>
    </row>
    <row r="299" spans="1:6">
      <c r="A299" t="s">
        <v>230</v>
      </c>
      <c r="B299" t="s">
        <v>232</v>
      </c>
      <c r="C299">
        <v>15</v>
      </c>
      <c r="D299">
        <v>34.055700000000002</v>
      </c>
      <c r="E299">
        <v>5151091.67</v>
      </c>
      <c r="F299">
        <v>38655582.859999999</v>
      </c>
    </row>
    <row r="300" spans="1:6">
      <c r="A300" t="s">
        <v>230</v>
      </c>
      <c r="B300" t="s">
        <v>232</v>
      </c>
      <c r="C300">
        <v>16</v>
      </c>
      <c r="D300">
        <v>15.2506</v>
      </c>
      <c r="E300">
        <v>5150981.67</v>
      </c>
      <c r="F300">
        <v>39650479.850000001</v>
      </c>
    </row>
    <row r="301" spans="1:6">
      <c r="A301" t="s">
        <v>230</v>
      </c>
      <c r="B301" t="s">
        <v>232</v>
      </c>
      <c r="C301">
        <v>17</v>
      </c>
      <c r="D301">
        <v>38.398400000000002</v>
      </c>
      <c r="E301">
        <v>5150991.67</v>
      </c>
      <c r="F301">
        <v>51598243.640000001</v>
      </c>
    </row>
    <row r="302" spans="1:6">
      <c r="A302" t="s">
        <v>230</v>
      </c>
      <c r="B302" t="s">
        <v>232</v>
      </c>
      <c r="C302">
        <v>18</v>
      </c>
      <c r="D302">
        <v>0</v>
      </c>
      <c r="E302">
        <v>5151141.67</v>
      </c>
      <c r="F302">
        <v>0</v>
      </c>
    </row>
    <row r="303" spans="1:6">
      <c r="A303" t="s">
        <v>230</v>
      </c>
      <c r="B303" t="s">
        <v>232</v>
      </c>
      <c r="C303">
        <v>19</v>
      </c>
      <c r="D303">
        <v>31.635200000000001</v>
      </c>
      <c r="E303">
        <v>5151101.67</v>
      </c>
      <c r="F303">
        <v>38235184.140000001</v>
      </c>
    </row>
    <row r="304" spans="1:6">
      <c r="A304" t="s">
        <v>230</v>
      </c>
      <c r="B304" t="s">
        <v>232</v>
      </c>
      <c r="C304">
        <v>20</v>
      </c>
      <c r="D304">
        <v>0</v>
      </c>
      <c r="E304">
        <v>5150891.67</v>
      </c>
      <c r="F304">
        <v>0</v>
      </c>
    </row>
    <row r="305" spans="1:6">
      <c r="A305" t="s">
        <v>230</v>
      </c>
      <c r="B305" t="s">
        <v>232</v>
      </c>
      <c r="C305">
        <v>21</v>
      </c>
      <c r="D305">
        <v>30.971800000000002</v>
      </c>
      <c r="E305">
        <v>5150871.67</v>
      </c>
      <c r="F305">
        <v>41371674.630000003</v>
      </c>
    </row>
    <row r="306" spans="1:6">
      <c r="A306" t="s">
        <v>230</v>
      </c>
      <c r="B306" t="s">
        <v>232</v>
      </c>
      <c r="C306">
        <v>22</v>
      </c>
      <c r="D306">
        <v>0</v>
      </c>
      <c r="E306">
        <v>5150891.67</v>
      </c>
      <c r="F306">
        <v>0</v>
      </c>
    </row>
    <row r="307" spans="1:6">
      <c r="A307" t="s">
        <v>230</v>
      </c>
      <c r="B307" t="s">
        <v>232</v>
      </c>
      <c r="C307">
        <v>23</v>
      </c>
      <c r="D307">
        <v>34.234499999999997</v>
      </c>
      <c r="E307">
        <v>5151021.67</v>
      </c>
      <c r="F307">
        <v>53134338.990000002</v>
      </c>
    </row>
    <row r="308" spans="1:6">
      <c r="A308" t="s">
        <v>230</v>
      </c>
      <c r="B308" t="s">
        <v>232</v>
      </c>
      <c r="C308">
        <v>24</v>
      </c>
      <c r="D308">
        <v>28.308599999999998</v>
      </c>
      <c r="E308">
        <v>5151061.67</v>
      </c>
      <c r="F308">
        <v>36808488.460000001</v>
      </c>
    </row>
    <row r="309" spans="1:6">
      <c r="A309" t="s">
        <v>230</v>
      </c>
      <c r="B309" t="s">
        <v>232</v>
      </c>
      <c r="C309">
        <v>25</v>
      </c>
      <c r="D309">
        <v>32.555100000000003</v>
      </c>
      <c r="E309">
        <v>5150951.67</v>
      </c>
      <c r="F309">
        <v>41054975.590000004</v>
      </c>
    </row>
    <row r="310" spans="1:6">
      <c r="A310" t="s">
        <v>230</v>
      </c>
      <c r="B310" t="s">
        <v>232</v>
      </c>
      <c r="C310">
        <v>26</v>
      </c>
      <c r="D310">
        <v>31.389800000000001</v>
      </c>
      <c r="E310">
        <v>5150911.67</v>
      </c>
      <c r="F310">
        <v>42189672.149999999</v>
      </c>
    </row>
    <row r="311" spans="1:6">
      <c r="A311" t="s">
        <v>230</v>
      </c>
      <c r="B311" t="s">
        <v>232</v>
      </c>
      <c r="C311">
        <v>27</v>
      </c>
      <c r="D311">
        <v>32.407899999999998</v>
      </c>
      <c r="E311">
        <v>5151031.67</v>
      </c>
      <c r="F311">
        <v>44407765.43</v>
      </c>
    </row>
    <row r="312" spans="1:6">
      <c r="A312" t="s">
        <v>230</v>
      </c>
      <c r="B312" t="s">
        <v>232</v>
      </c>
      <c r="C312">
        <v>28</v>
      </c>
      <c r="D312">
        <v>0</v>
      </c>
      <c r="E312">
        <v>5151111.67</v>
      </c>
      <c r="F312">
        <v>0</v>
      </c>
    </row>
    <row r="313" spans="1:6">
      <c r="A313" t="s">
        <v>230</v>
      </c>
      <c r="B313" t="s">
        <v>232</v>
      </c>
      <c r="C313">
        <v>29</v>
      </c>
      <c r="D313">
        <v>38.258699999999997</v>
      </c>
      <c r="E313">
        <v>5150961.67</v>
      </c>
      <c r="F313">
        <v>51258544.670000002</v>
      </c>
    </row>
    <row r="314" spans="1:6">
      <c r="A314" t="s">
        <v>230</v>
      </c>
      <c r="B314" t="s">
        <v>232</v>
      </c>
      <c r="C314">
        <v>30</v>
      </c>
      <c r="D314">
        <v>35.773000000000003</v>
      </c>
      <c r="E314">
        <v>5151041.67</v>
      </c>
      <c r="F314">
        <v>54272835.539999999</v>
      </c>
    </row>
    <row r="315" spans="1:6">
      <c r="A315" t="s">
        <v>230</v>
      </c>
      <c r="B315" t="s">
        <v>232</v>
      </c>
      <c r="C315">
        <v>32</v>
      </c>
      <c r="D315">
        <v>33.438299999999998</v>
      </c>
      <c r="E315">
        <v>5150901.67</v>
      </c>
      <c r="F315">
        <v>43438168.369999997</v>
      </c>
    </row>
    <row r="316" spans="1:6">
      <c r="A316" t="s">
        <v>230</v>
      </c>
      <c r="B316" t="s">
        <v>232</v>
      </c>
      <c r="C316">
        <v>33</v>
      </c>
      <c r="D316">
        <v>21.397500000000001</v>
      </c>
      <c r="E316">
        <v>5150931.67</v>
      </c>
      <c r="F316">
        <v>41297374.859999999</v>
      </c>
    </row>
    <row r="317" spans="1:6">
      <c r="A317" t="s">
        <v>230</v>
      </c>
      <c r="B317" t="s">
        <v>232</v>
      </c>
      <c r="C317">
        <v>34</v>
      </c>
      <c r="D317">
        <v>22.7133</v>
      </c>
      <c r="E317">
        <v>5150971.67</v>
      </c>
      <c r="F317">
        <v>41513174.200000003</v>
      </c>
    </row>
    <row r="318" spans="1:6">
      <c r="A318" t="s">
        <v>230</v>
      </c>
      <c r="B318" t="s">
        <v>232</v>
      </c>
      <c r="C318">
        <v>35</v>
      </c>
      <c r="D318">
        <v>0</v>
      </c>
      <c r="E318">
        <v>5151171.67</v>
      </c>
      <c r="F318">
        <v>0</v>
      </c>
    </row>
    <row r="319" spans="1:6">
      <c r="A319" t="s">
        <v>230</v>
      </c>
      <c r="B319" t="s">
        <v>232</v>
      </c>
      <c r="C319">
        <v>36</v>
      </c>
      <c r="D319">
        <v>40.706400000000002</v>
      </c>
      <c r="E319">
        <v>5150921.67</v>
      </c>
      <c r="F319">
        <v>48306253.619999997</v>
      </c>
    </row>
    <row r="320" spans="1:6">
      <c r="A320" t="s">
        <v>235</v>
      </c>
      <c r="B320" t="s">
        <v>229</v>
      </c>
      <c r="C320">
        <v>1</v>
      </c>
      <c r="D320">
        <v>45.839199999999998</v>
      </c>
      <c r="E320">
        <v>530675</v>
      </c>
      <c r="F320">
        <v>5158485</v>
      </c>
    </row>
    <row r="321" spans="1:6">
      <c r="A321" t="s">
        <v>235</v>
      </c>
      <c r="B321" t="s">
        <v>229</v>
      </c>
      <c r="C321">
        <v>2</v>
      </c>
      <c r="D321">
        <v>35.614199999999997</v>
      </c>
      <c r="E321">
        <v>530725</v>
      </c>
      <c r="F321">
        <v>5158425</v>
      </c>
    </row>
    <row r="322" spans="1:6">
      <c r="A322" t="s">
        <v>235</v>
      </c>
      <c r="B322" t="s">
        <v>229</v>
      </c>
      <c r="C322">
        <v>3</v>
      </c>
      <c r="D322">
        <v>45.413400000000003</v>
      </c>
      <c r="E322">
        <v>530885</v>
      </c>
      <c r="F322">
        <v>5158365</v>
      </c>
    </row>
    <row r="323" spans="1:6">
      <c r="A323" t="s">
        <v>235</v>
      </c>
      <c r="B323" t="s">
        <v>229</v>
      </c>
      <c r="C323">
        <v>4</v>
      </c>
      <c r="D323">
        <v>39.043500000000002</v>
      </c>
      <c r="E323">
        <v>530945</v>
      </c>
      <c r="F323">
        <v>5158325</v>
      </c>
    </row>
    <row r="324" spans="1:6">
      <c r="A324" t="s">
        <v>235</v>
      </c>
      <c r="B324" t="s">
        <v>229</v>
      </c>
      <c r="C324">
        <v>5</v>
      </c>
      <c r="D324">
        <v>41.862000000000002</v>
      </c>
      <c r="E324">
        <v>531065</v>
      </c>
      <c r="F324">
        <v>5158285</v>
      </c>
    </row>
    <row r="325" spans="1:6">
      <c r="A325" t="s">
        <v>235</v>
      </c>
      <c r="B325" t="s">
        <v>229</v>
      </c>
      <c r="C325">
        <v>6</v>
      </c>
      <c r="D325">
        <v>36.033799999999999</v>
      </c>
      <c r="E325">
        <v>531175</v>
      </c>
      <c r="F325">
        <v>5158305</v>
      </c>
    </row>
    <row r="326" spans="1:6">
      <c r="A326" t="s">
        <v>235</v>
      </c>
      <c r="B326" t="s">
        <v>229</v>
      </c>
      <c r="C326">
        <v>7</v>
      </c>
      <c r="D326">
        <v>35.777500000000003</v>
      </c>
      <c r="E326">
        <v>531255</v>
      </c>
      <c r="F326">
        <v>5158375</v>
      </c>
    </row>
    <row r="327" spans="1:6">
      <c r="A327" t="s">
        <v>235</v>
      </c>
      <c r="B327" t="s">
        <v>229</v>
      </c>
      <c r="C327">
        <v>8</v>
      </c>
      <c r="D327">
        <v>35.919800000000002</v>
      </c>
      <c r="E327">
        <v>531135</v>
      </c>
      <c r="F327">
        <v>5158375</v>
      </c>
    </row>
    <row r="328" spans="1:6">
      <c r="A328" t="s">
        <v>235</v>
      </c>
      <c r="B328" t="s">
        <v>229</v>
      </c>
      <c r="C328">
        <v>9</v>
      </c>
      <c r="D328">
        <v>38.0062</v>
      </c>
      <c r="E328">
        <v>531145</v>
      </c>
      <c r="F328">
        <v>5158415</v>
      </c>
    </row>
    <row r="329" spans="1:6">
      <c r="A329" t="s">
        <v>235</v>
      </c>
      <c r="B329" t="s">
        <v>229</v>
      </c>
      <c r="C329">
        <v>10</v>
      </c>
      <c r="D329">
        <v>43.205500000000001</v>
      </c>
      <c r="E329">
        <v>530985</v>
      </c>
      <c r="F329">
        <v>5158435</v>
      </c>
    </row>
    <row r="330" spans="1:6">
      <c r="A330" t="s">
        <v>235</v>
      </c>
      <c r="B330" t="s">
        <v>229</v>
      </c>
      <c r="C330">
        <v>11</v>
      </c>
      <c r="D330">
        <v>43.816000000000003</v>
      </c>
      <c r="E330">
        <v>530835</v>
      </c>
      <c r="F330">
        <v>5158505</v>
      </c>
    </row>
    <row r="331" spans="1:6">
      <c r="A331" t="s">
        <v>235</v>
      </c>
      <c r="B331" t="s">
        <v>229</v>
      </c>
      <c r="C331">
        <v>12</v>
      </c>
      <c r="D331">
        <v>40.614600000000003</v>
      </c>
      <c r="E331">
        <v>530795</v>
      </c>
      <c r="F331">
        <v>5158445</v>
      </c>
    </row>
    <row r="332" spans="1:6">
      <c r="A332" t="s">
        <v>235</v>
      </c>
      <c r="B332" t="s">
        <v>229</v>
      </c>
      <c r="C332">
        <v>13</v>
      </c>
      <c r="D332">
        <v>41.0212</v>
      </c>
      <c r="E332">
        <v>531035</v>
      </c>
      <c r="F332">
        <v>5158355</v>
      </c>
    </row>
    <row r="333" spans="1:6">
      <c r="A333" t="s">
        <v>235</v>
      </c>
      <c r="B333" t="s">
        <v>229</v>
      </c>
      <c r="C333">
        <v>14</v>
      </c>
      <c r="D333">
        <v>0</v>
      </c>
      <c r="E333">
        <v>531075</v>
      </c>
      <c r="F333">
        <v>5158425</v>
      </c>
    </row>
    <row r="334" spans="1:6">
      <c r="A334" t="s">
        <v>235</v>
      </c>
      <c r="B334" t="s">
        <v>229</v>
      </c>
      <c r="C334">
        <v>15</v>
      </c>
      <c r="D334">
        <v>38.974899999999998</v>
      </c>
      <c r="E334">
        <v>530925</v>
      </c>
      <c r="F334">
        <v>5158405</v>
      </c>
    </row>
    <row r="335" spans="1:6">
      <c r="A335" t="s">
        <v>235</v>
      </c>
      <c r="B335" t="s">
        <v>229</v>
      </c>
      <c r="C335">
        <v>16</v>
      </c>
      <c r="D335">
        <v>44.200699999999998</v>
      </c>
      <c r="E335">
        <v>530895</v>
      </c>
      <c r="F335">
        <v>5158505</v>
      </c>
    </row>
    <row r="336" spans="1:6">
      <c r="A336" t="s">
        <v>235</v>
      </c>
      <c r="B336" t="s">
        <v>229</v>
      </c>
      <c r="C336">
        <v>17</v>
      </c>
      <c r="D336">
        <v>40.673900000000003</v>
      </c>
      <c r="E336">
        <v>530765</v>
      </c>
      <c r="F336">
        <v>5158525</v>
      </c>
    </row>
    <row r="337" spans="1:6">
      <c r="A337" t="s">
        <v>235</v>
      </c>
      <c r="B337" t="s">
        <v>229</v>
      </c>
      <c r="C337">
        <v>18</v>
      </c>
      <c r="D337">
        <v>42.364699999999999</v>
      </c>
      <c r="E337">
        <v>530825</v>
      </c>
      <c r="F337">
        <v>5158385</v>
      </c>
    </row>
    <row r="338" spans="1:6">
      <c r="A338" t="s">
        <v>235</v>
      </c>
      <c r="B338" t="s">
        <v>229</v>
      </c>
      <c r="C338">
        <v>19</v>
      </c>
      <c r="D338">
        <v>48.3142</v>
      </c>
      <c r="E338">
        <v>530995</v>
      </c>
      <c r="F338">
        <v>5158255</v>
      </c>
    </row>
    <row r="339" spans="1:6">
      <c r="A339" t="s">
        <v>235</v>
      </c>
      <c r="B339" t="s">
        <v>229</v>
      </c>
      <c r="C339">
        <v>20</v>
      </c>
      <c r="D339">
        <v>37.745100000000001</v>
      </c>
      <c r="E339">
        <v>530665</v>
      </c>
      <c r="F339">
        <v>5158425</v>
      </c>
    </row>
    <row r="340" spans="1:6">
      <c r="A340" t="s">
        <v>235</v>
      </c>
      <c r="B340" t="s">
        <v>229</v>
      </c>
      <c r="C340">
        <v>21</v>
      </c>
      <c r="D340">
        <v>35.092100000000002</v>
      </c>
      <c r="E340">
        <v>530975</v>
      </c>
      <c r="F340">
        <v>5158365</v>
      </c>
    </row>
    <row r="341" spans="1:6">
      <c r="A341" t="s">
        <v>235</v>
      </c>
      <c r="B341" t="s">
        <v>229</v>
      </c>
      <c r="C341">
        <v>22</v>
      </c>
      <c r="D341">
        <v>42.873399999999997</v>
      </c>
      <c r="E341">
        <v>531185</v>
      </c>
      <c r="F341">
        <v>5158375</v>
      </c>
    </row>
    <row r="342" spans="1:6">
      <c r="A342" t="s">
        <v>235</v>
      </c>
      <c r="B342" t="s">
        <v>229</v>
      </c>
      <c r="C342">
        <v>23</v>
      </c>
      <c r="D342">
        <v>32.831000000000003</v>
      </c>
      <c r="E342">
        <v>530695</v>
      </c>
      <c r="F342">
        <v>5158545</v>
      </c>
    </row>
    <row r="343" spans="1:6">
      <c r="A343" t="s">
        <v>235</v>
      </c>
      <c r="B343" t="s">
        <v>229</v>
      </c>
      <c r="C343">
        <v>24</v>
      </c>
      <c r="D343">
        <v>46.558700000000002</v>
      </c>
      <c r="E343">
        <v>530855</v>
      </c>
      <c r="F343">
        <v>5158435</v>
      </c>
    </row>
    <row r="344" spans="1:6">
      <c r="A344" t="s">
        <v>235</v>
      </c>
      <c r="B344" t="s">
        <v>229</v>
      </c>
      <c r="C344">
        <v>25</v>
      </c>
      <c r="D344">
        <v>36.441299999999998</v>
      </c>
      <c r="E344">
        <v>531125</v>
      </c>
      <c r="F344">
        <v>5158315</v>
      </c>
    </row>
    <row r="345" spans="1:6">
      <c r="A345" t="s">
        <v>235</v>
      </c>
      <c r="B345" t="s">
        <v>229</v>
      </c>
      <c r="C345">
        <v>26</v>
      </c>
      <c r="D345">
        <v>46.467500000000001</v>
      </c>
      <c r="E345">
        <v>531005</v>
      </c>
      <c r="F345">
        <v>5158305</v>
      </c>
    </row>
    <row r="346" spans="1:6">
      <c r="A346" t="s">
        <v>235</v>
      </c>
      <c r="B346" t="s">
        <v>229</v>
      </c>
      <c r="C346">
        <v>27</v>
      </c>
      <c r="D346">
        <v>49.962800000000001</v>
      </c>
      <c r="E346">
        <v>530935</v>
      </c>
      <c r="F346">
        <v>5158465</v>
      </c>
    </row>
    <row r="347" spans="1:6">
      <c r="A347" t="s">
        <v>235</v>
      </c>
      <c r="B347" t="s">
        <v>229</v>
      </c>
      <c r="C347">
        <v>28</v>
      </c>
      <c r="D347">
        <v>34.5426</v>
      </c>
      <c r="E347">
        <v>530725</v>
      </c>
      <c r="F347">
        <v>5158485</v>
      </c>
    </row>
    <row r="348" spans="1:6">
      <c r="A348" t="s">
        <v>235</v>
      </c>
      <c r="B348" t="s">
        <v>229</v>
      </c>
      <c r="C348">
        <v>29</v>
      </c>
      <c r="D348">
        <v>48.294800000000002</v>
      </c>
      <c r="E348">
        <v>531045</v>
      </c>
      <c r="F348">
        <v>5158245</v>
      </c>
    </row>
    <row r="349" spans="1:6">
      <c r="A349" t="s">
        <v>235</v>
      </c>
      <c r="B349" t="s">
        <v>229</v>
      </c>
      <c r="C349">
        <v>30</v>
      </c>
      <c r="D349">
        <v>0</v>
      </c>
      <c r="E349">
        <v>530765</v>
      </c>
      <c r="F349">
        <v>5158385</v>
      </c>
    </row>
    <row r="350" spans="1:6">
      <c r="A350" t="s">
        <v>235</v>
      </c>
      <c r="B350" t="s">
        <v>229</v>
      </c>
      <c r="C350">
        <v>31</v>
      </c>
      <c r="D350">
        <v>54.798400000000001</v>
      </c>
      <c r="E350">
        <v>531115</v>
      </c>
      <c r="F350">
        <v>5158265</v>
      </c>
    </row>
    <row r="351" spans="1:6">
      <c r="A351" t="s">
        <v>235</v>
      </c>
      <c r="B351" t="s">
        <v>229</v>
      </c>
      <c r="C351">
        <v>32</v>
      </c>
      <c r="D351">
        <v>58.431600000000003</v>
      </c>
      <c r="E351">
        <v>531035</v>
      </c>
      <c r="F351">
        <v>5158405</v>
      </c>
    </row>
    <row r="352" spans="1:6">
      <c r="A352" t="s">
        <v>235</v>
      </c>
      <c r="B352" t="s">
        <v>229</v>
      </c>
      <c r="C352">
        <v>33</v>
      </c>
      <c r="D352">
        <v>38.622300000000003</v>
      </c>
      <c r="E352">
        <v>531085</v>
      </c>
      <c r="F352">
        <v>5158365</v>
      </c>
    </row>
    <row r="353" spans="1:6">
      <c r="A353" t="s">
        <v>235</v>
      </c>
      <c r="B353" t="s">
        <v>229</v>
      </c>
      <c r="C353">
        <v>34</v>
      </c>
      <c r="D353">
        <v>38.632399999999997</v>
      </c>
      <c r="E353">
        <v>530775</v>
      </c>
      <c r="F353">
        <v>5158485</v>
      </c>
    </row>
    <row r="354" spans="1:6">
      <c r="A354" t="s">
        <v>235</v>
      </c>
      <c r="B354" t="s">
        <v>229</v>
      </c>
      <c r="C354">
        <v>35</v>
      </c>
      <c r="D354">
        <v>45.189900000000002</v>
      </c>
      <c r="E354">
        <v>530805</v>
      </c>
      <c r="F354">
        <v>5158535</v>
      </c>
    </row>
    <row r="355" spans="1:6">
      <c r="A355" t="s">
        <v>235</v>
      </c>
      <c r="B355" t="s">
        <v>229</v>
      </c>
      <c r="C355">
        <v>36</v>
      </c>
      <c r="D355">
        <v>39.215600000000002</v>
      </c>
      <c r="E355">
        <v>530935</v>
      </c>
      <c r="F355">
        <v>5158365</v>
      </c>
    </row>
    <row r="356" spans="1:6">
      <c r="A356" t="s">
        <v>235</v>
      </c>
      <c r="B356" t="s">
        <v>233</v>
      </c>
      <c r="C356">
        <v>1</v>
      </c>
      <c r="D356">
        <v>16.190899999999999</v>
      </c>
      <c r="E356">
        <v>530675</v>
      </c>
      <c r="F356">
        <v>5158485</v>
      </c>
    </row>
    <row r="357" spans="1:6">
      <c r="A357" t="s">
        <v>235</v>
      </c>
      <c r="B357" t="s">
        <v>233</v>
      </c>
      <c r="C357">
        <v>2</v>
      </c>
      <c r="D357">
        <v>11.252000000000001</v>
      </c>
      <c r="E357">
        <v>530725</v>
      </c>
      <c r="F357">
        <v>5158425</v>
      </c>
    </row>
    <row r="358" spans="1:6">
      <c r="A358" t="s">
        <v>235</v>
      </c>
      <c r="B358" t="s">
        <v>233</v>
      </c>
      <c r="C358">
        <v>3</v>
      </c>
      <c r="D358">
        <v>18.1721</v>
      </c>
      <c r="E358">
        <v>530885</v>
      </c>
      <c r="F358">
        <v>5158365</v>
      </c>
    </row>
    <row r="359" spans="1:6">
      <c r="A359" t="s">
        <v>235</v>
      </c>
      <c r="B359" t="s">
        <v>233</v>
      </c>
      <c r="C359">
        <v>4</v>
      </c>
      <c r="D359">
        <v>17.0519</v>
      </c>
      <c r="E359">
        <v>530945</v>
      </c>
      <c r="F359">
        <v>5158325</v>
      </c>
    </row>
    <row r="360" spans="1:6">
      <c r="A360" t="s">
        <v>235</v>
      </c>
      <c r="B360" t="s">
        <v>233</v>
      </c>
      <c r="C360">
        <v>5</v>
      </c>
      <c r="D360">
        <v>15.047700000000001</v>
      </c>
      <c r="E360">
        <v>531065</v>
      </c>
      <c r="F360">
        <v>5158285</v>
      </c>
    </row>
    <row r="361" spans="1:6">
      <c r="A361" t="s">
        <v>235</v>
      </c>
      <c r="B361" t="s">
        <v>233</v>
      </c>
      <c r="C361">
        <v>6</v>
      </c>
      <c r="D361">
        <v>9.6127000000000002</v>
      </c>
      <c r="E361">
        <v>531175</v>
      </c>
      <c r="F361">
        <v>5158305</v>
      </c>
    </row>
    <row r="362" spans="1:6">
      <c r="A362" t="s">
        <v>235</v>
      </c>
      <c r="B362" t="s">
        <v>233</v>
      </c>
      <c r="C362">
        <v>7</v>
      </c>
      <c r="D362">
        <v>14.155099999999999</v>
      </c>
      <c r="E362">
        <v>531255</v>
      </c>
      <c r="F362">
        <v>5158375</v>
      </c>
    </row>
    <row r="363" spans="1:6">
      <c r="A363" t="s">
        <v>235</v>
      </c>
      <c r="B363" t="s">
        <v>233</v>
      </c>
      <c r="C363">
        <v>8</v>
      </c>
      <c r="D363">
        <v>17.592099999999999</v>
      </c>
      <c r="E363">
        <v>531135</v>
      </c>
      <c r="F363">
        <v>5158375</v>
      </c>
    </row>
    <row r="364" spans="1:6">
      <c r="A364" t="s">
        <v>235</v>
      </c>
      <c r="B364" t="s">
        <v>233</v>
      </c>
      <c r="C364">
        <v>9</v>
      </c>
      <c r="D364">
        <v>6.0487000000000002</v>
      </c>
      <c r="E364">
        <v>531145</v>
      </c>
      <c r="F364">
        <v>5158415</v>
      </c>
    </row>
    <row r="365" spans="1:6">
      <c r="A365" t="s">
        <v>235</v>
      </c>
      <c r="B365" t="s">
        <v>233</v>
      </c>
      <c r="C365">
        <v>10</v>
      </c>
      <c r="D365">
        <v>10.9008</v>
      </c>
      <c r="E365">
        <v>530985</v>
      </c>
      <c r="F365">
        <v>5158435</v>
      </c>
    </row>
    <row r="366" spans="1:6">
      <c r="A366" t="s">
        <v>235</v>
      </c>
      <c r="B366" t="s">
        <v>233</v>
      </c>
      <c r="C366">
        <v>11</v>
      </c>
      <c r="D366">
        <v>11.085100000000001</v>
      </c>
      <c r="E366">
        <v>530835</v>
      </c>
      <c r="F366">
        <v>5158505</v>
      </c>
    </row>
    <row r="367" spans="1:6">
      <c r="A367" t="s">
        <v>235</v>
      </c>
      <c r="B367" t="s">
        <v>233</v>
      </c>
      <c r="C367">
        <v>12</v>
      </c>
      <c r="D367">
        <v>15.028700000000001</v>
      </c>
      <c r="E367">
        <v>530795</v>
      </c>
      <c r="F367">
        <v>5158445</v>
      </c>
    </row>
    <row r="368" spans="1:6">
      <c r="A368" t="s">
        <v>235</v>
      </c>
      <c r="B368" t="s">
        <v>233</v>
      </c>
      <c r="C368">
        <v>13</v>
      </c>
      <c r="D368">
        <v>15.529500000000001</v>
      </c>
      <c r="E368">
        <v>531035</v>
      </c>
      <c r="F368">
        <v>5158355</v>
      </c>
    </row>
    <row r="369" spans="1:6">
      <c r="A369" t="s">
        <v>235</v>
      </c>
      <c r="B369" t="s">
        <v>233</v>
      </c>
      <c r="C369">
        <v>14</v>
      </c>
      <c r="D369">
        <v>0</v>
      </c>
      <c r="E369">
        <v>531075</v>
      </c>
      <c r="F369">
        <v>5158425</v>
      </c>
    </row>
    <row r="370" spans="1:6">
      <c r="A370" t="s">
        <v>235</v>
      </c>
      <c r="B370" t="s">
        <v>233</v>
      </c>
      <c r="C370">
        <v>15</v>
      </c>
      <c r="D370">
        <v>8.5992999999999995</v>
      </c>
      <c r="E370">
        <v>530925</v>
      </c>
      <c r="F370">
        <v>5158405</v>
      </c>
    </row>
    <row r="371" spans="1:6">
      <c r="A371" t="s">
        <v>235</v>
      </c>
      <c r="B371" t="s">
        <v>233</v>
      </c>
      <c r="C371">
        <v>16</v>
      </c>
      <c r="D371">
        <v>12.897500000000001</v>
      </c>
      <c r="E371">
        <v>530895</v>
      </c>
      <c r="F371">
        <v>5158505</v>
      </c>
    </row>
    <row r="372" spans="1:6">
      <c r="A372" t="s">
        <v>235</v>
      </c>
      <c r="B372" t="s">
        <v>233</v>
      </c>
      <c r="C372">
        <v>17</v>
      </c>
      <c r="D372">
        <v>3.9129999999999998</v>
      </c>
      <c r="E372">
        <v>530765</v>
      </c>
      <c r="F372">
        <v>5158525</v>
      </c>
    </row>
    <row r="373" spans="1:6">
      <c r="A373" t="s">
        <v>235</v>
      </c>
      <c r="B373" t="s">
        <v>233</v>
      </c>
      <c r="C373">
        <v>18</v>
      </c>
      <c r="D373">
        <v>10.8759</v>
      </c>
      <c r="E373">
        <v>530825</v>
      </c>
      <c r="F373">
        <v>5158385</v>
      </c>
    </row>
    <row r="374" spans="1:6">
      <c r="A374" t="s">
        <v>235</v>
      </c>
      <c r="B374" t="s">
        <v>233</v>
      </c>
      <c r="C374">
        <v>19</v>
      </c>
      <c r="D374">
        <v>21.922899999999998</v>
      </c>
      <c r="E374">
        <v>530995</v>
      </c>
      <c r="F374">
        <v>5158255</v>
      </c>
    </row>
    <row r="375" spans="1:6">
      <c r="A375" t="s">
        <v>235</v>
      </c>
      <c r="B375" t="s">
        <v>233</v>
      </c>
      <c r="C375">
        <v>20</v>
      </c>
      <c r="D375">
        <v>5.4473000000000003</v>
      </c>
      <c r="E375">
        <v>530665</v>
      </c>
      <c r="F375">
        <v>5158425</v>
      </c>
    </row>
    <row r="376" spans="1:6">
      <c r="A376" t="s">
        <v>235</v>
      </c>
      <c r="B376" t="s">
        <v>233</v>
      </c>
      <c r="C376">
        <v>21</v>
      </c>
      <c r="D376">
        <v>9.3633000000000006</v>
      </c>
      <c r="E376">
        <v>530975</v>
      </c>
      <c r="F376">
        <v>5158365</v>
      </c>
    </row>
    <row r="377" spans="1:6">
      <c r="A377" t="s">
        <v>235</v>
      </c>
      <c r="B377" t="s">
        <v>233</v>
      </c>
      <c r="C377">
        <v>22</v>
      </c>
      <c r="D377">
        <v>19.058800000000002</v>
      </c>
      <c r="E377">
        <v>531185</v>
      </c>
      <c r="F377">
        <v>5158375</v>
      </c>
    </row>
    <row r="378" spans="1:6">
      <c r="A378" t="s">
        <v>235</v>
      </c>
      <c r="B378" t="s">
        <v>233</v>
      </c>
      <c r="C378">
        <v>23</v>
      </c>
      <c r="D378">
        <v>3.8948999999999998</v>
      </c>
      <c r="E378">
        <v>530695</v>
      </c>
      <c r="F378">
        <v>5158545</v>
      </c>
    </row>
    <row r="379" spans="1:6">
      <c r="A379" t="s">
        <v>235</v>
      </c>
      <c r="B379" t="s">
        <v>233</v>
      </c>
      <c r="C379">
        <v>24</v>
      </c>
      <c r="D379">
        <v>14.484400000000001</v>
      </c>
      <c r="E379">
        <v>530855</v>
      </c>
      <c r="F379">
        <v>5158435</v>
      </c>
    </row>
    <row r="380" spans="1:6">
      <c r="A380" t="s">
        <v>235</v>
      </c>
      <c r="B380" t="s">
        <v>233</v>
      </c>
      <c r="C380">
        <v>25</v>
      </c>
      <c r="D380">
        <v>13.3634</v>
      </c>
      <c r="E380">
        <v>531125</v>
      </c>
      <c r="F380">
        <v>5158315</v>
      </c>
    </row>
    <row r="381" spans="1:6">
      <c r="A381" t="s">
        <v>235</v>
      </c>
      <c r="B381" t="s">
        <v>233</v>
      </c>
      <c r="C381">
        <v>26</v>
      </c>
      <c r="D381">
        <v>16.0959</v>
      </c>
      <c r="E381">
        <v>531005</v>
      </c>
      <c r="F381">
        <v>5158305</v>
      </c>
    </row>
    <row r="382" spans="1:6">
      <c r="A382" t="s">
        <v>235</v>
      </c>
      <c r="B382" t="s">
        <v>233</v>
      </c>
      <c r="C382">
        <v>27</v>
      </c>
      <c r="D382">
        <v>16.722899999999999</v>
      </c>
      <c r="E382">
        <v>530935</v>
      </c>
      <c r="F382">
        <v>5158465</v>
      </c>
    </row>
    <row r="383" spans="1:6">
      <c r="A383" t="s">
        <v>235</v>
      </c>
      <c r="B383" t="s">
        <v>233</v>
      </c>
      <c r="C383">
        <v>28</v>
      </c>
      <c r="D383">
        <v>4.6623999999999999</v>
      </c>
      <c r="E383">
        <v>530725</v>
      </c>
      <c r="F383">
        <v>5158485</v>
      </c>
    </row>
    <row r="384" spans="1:6">
      <c r="A384" t="s">
        <v>235</v>
      </c>
      <c r="B384" t="s">
        <v>233</v>
      </c>
      <c r="C384">
        <v>29</v>
      </c>
      <c r="D384">
        <v>15.311199999999999</v>
      </c>
      <c r="E384">
        <v>531045</v>
      </c>
      <c r="F384">
        <v>5158245</v>
      </c>
    </row>
    <row r="385" spans="1:6">
      <c r="A385" t="s">
        <v>235</v>
      </c>
      <c r="B385" t="s">
        <v>233</v>
      </c>
      <c r="C385">
        <v>30</v>
      </c>
      <c r="D385">
        <v>0</v>
      </c>
      <c r="E385">
        <v>530765</v>
      </c>
      <c r="F385">
        <v>5158385</v>
      </c>
    </row>
    <row r="386" spans="1:6">
      <c r="A386" t="s">
        <v>235</v>
      </c>
      <c r="B386" t="s">
        <v>233</v>
      </c>
      <c r="C386">
        <v>31</v>
      </c>
      <c r="D386">
        <v>19.3719</v>
      </c>
      <c r="E386">
        <v>531115</v>
      </c>
      <c r="F386">
        <v>5158265</v>
      </c>
    </row>
    <row r="387" spans="1:6">
      <c r="A387" t="s">
        <v>235</v>
      </c>
      <c r="B387" t="s">
        <v>233</v>
      </c>
      <c r="C387">
        <v>32</v>
      </c>
      <c r="D387">
        <v>11.193199999999999</v>
      </c>
      <c r="E387">
        <v>531035</v>
      </c>
      <c r="F387">
        <v>5158405</v>
      </c>
    </row>
    <row r="388" spans="1:6">
      <c r="A388" t="s">
        <v>235</v>
      </c>
      <c r="B388" t="s">
        <v>233</v>
      </c>
      <c r="C388">
        <v>33</v>
      </c>
      <c r="D388">
        <v>8.7454000000000001</v>
      </c>
      <c r="E388">
        <v>531085</v>
      </c>
      <c r="F388">
        <v>5158365</v>
      </c>
    </row>
    <row r="389" spans="1:6">
      <c r="A389" t="s">
        <v>235</v>
      </c>
      <c r="B389" t="s">
        <v>233</v>
      </c>
      <c r="C389">
        <v>34</v>
      </c>
      <c r="D389">
        <v>5.3996000000000004</v>
      </c>
      <c r="E389">
        <v>530775</v>
      </c>
      <c r="F389">
        <v>5158485</v>
      </c>
    </row>
    <row r="390" spans="1:6">
      <c r="A390" t="s">
        <v>235</v>
      </c>
      <c r="B390" t="s">
        <v>233</v>
      </c>
      <c r="C390">
        <v>35</v>
      </c>
      <c r="D390">
        <v>11.1813</v>
      </c>
      <c r="E390">
        <v>530805</v>
      </c>
      <c r="F390">
        <v>5158535</v>
      </c>
    </row>
    <row r="391" spans="1:6">
      <c r="A391" t="s">
        <v>235</v>
      </c>
      <c r="B391" t="s">
        <v>233</v>
      </c>
      <c r="C391">
        <v>36</v>
      </c>
      <c r="D391">
        <v>9.7843999999999998</v>
      </c>
      <c r="E391">
        <v>530935</v>
      </c>
      <c r="F391">
        <v>5158365</v>
      </c>
    </row>
    <row r="392" spans="1:6">
      <c r="A392" t="s">
        <v>235</v>
      </c>
      <c r="B392" t="s">
        <v>232</v>
      </c>
      <c r="C392">
        <v>1</v>
      </c>
      <c r="D392">
        <v>29.648299999999999</v>
      </c>
      <c r="E392">
        <v>530675</v>
      </c>
      <c r="F392">
        <v>5158485</v>
      </c>
    </row>
    <row r="393" spans="1:6">
      <c r="A393" t="s">
        <v>235</v>
      </c>
      <c r="B393" t="s">
        <v>232</v>
      </c>
      <c r="C393">
        <v>2</v>
      </c>
      <c r="D393">
        <v>24.362200000000001</v>
      </c>
      <c r="E393">
        <v>530725</v>
      </c>
      <c r="F393">
        <v>5158425</v>
      </c>
    </row>
    <row r="394" spans="1:6">
      <c r="A394" t="s">
        <v>235</v>
      </c>
      <c r="B394" t="s">
        <v>232</v>
      </c>
      <c r="C394">
        <v>3</v>
      </c>
      <c r="D394">
        <v>27.241299999999999</v>
      </c>
      <c r="E394">
        <v>530885</v>
      </c>
      <c r="F394">
        <v>5158365</v>
      </c>
    </row>
    <row r="395" spans="1:6">
      <c r="A395" t="s">
        <v>235</v>
      </c>
      <c r="B395" t="s">
        <v>232</v>
      </c>
      <c r="C395">
        <v>4</v>
      </c>
      <c r="D395">
        <v>21.991599999999998</v>
      </c>
      <c r="E395">
        <v>530945</v>
      </c>
      <c r="F395">
        <v>5158325</v>
      </c>
    </row>
    <row r="396" spans="1:6">
      <c r="A396" t="s">
        <v>235</v>
      </c>
      <c r="B396" t="s">
        <v>232</v>
      </c>
      <c r="C396">
        <v>5</v>
      </c>
      <c r="D396">
        <v>26.814299999999999</v>
      </c>
      <c r="E396">
        <v>531065</v>
      </c>
      <c r="F396">
        <v>5158285</v>
      </c>
    </row>
    <row r="397" spans="1:6">
      <c r="A397" t="s">
        <v>235</v>
      </c>
      <c r="B397" t="s">
        <v>232</v>
      </c>
      <c r="C397">
        <v>6</v>
      </c>
      <c r="D397">
        <v>26.421199999999999</v>
      </c>
      <c r="E397">
        <v>531175</v>
      </c>
      <c r="F397">
        <v>5158305</v>
      </c>
    </row>
    <row r="398" spans="1:6">
      <c r="A398" t="s">
        <v>235</v>
      </c>
      <c r="B398" t="s">
        <v>232</v>
      </c>
      <c r="C398">
        <v>7</v>
      </c>
      <c r="D398">
        <v>21.622499999999999</v>
      </c>
      <c r="E398">
        <v>531255</v>
      </c>
      <c r="F398">
        <v>5158375</v>
      </c>
    </row>
    <row r="399" spans="1:6">
      <c r="A399" t="s">
        <v>235</v>
      </c>
      <c r="B399" t="s">
        <v>232</v>
      </c>
      <c r="C399">
        <v>8</v>
      </c>
      <c r="D399">
        <v>18.3277</v>
      </c>
      <c r="E399">
        <v>531135</v>
      </c>
      <c r="F399">
        <v>5158375</v>
      </c>
    </row>
    <row r="400" spans="1:6">
      <c r="A400" t="s">
        <v>235</v>
      </c>
      <c r="B400" t="s">
        <v>232</v>
      </c>
      <c r="C400">
        <v>9</v>
      </c>
      <c r="D400">
        <v>31.9575</v>
      </c>
      <c r="E400">
        <v>531145</v>
      </c>
      <c r="F400">
        <v>5158415</v>
      </c>
    </row>
    <row r="401" spans="1:6">
      <c r="A401" t="s">
        <v>235</v>
      </c>
      <c r="B401" t="s">
        <v>232</v>
      </c>
      <c r="C401">
        <v>10</v>
      </c>
      <c r="D401">
        <v>32.304699999999997</v>
      </c>
      <c r="E401">
        <v>530985</v>
      </c>
      <c r="F401">
        <v>5158435</v>
      </c>
    </row>
    <row r="402" spans="1:6">
      <c r="A402" t="s">
        <v>235</v>
      </c>
      <c r="B402" t="s">
        <v>232</v>
      </c>
      <c r="C402">
        <v>11</v>
      </c>
      <c r="D402">
        <v>32.730899999999998</v>
      </c>
      <c r="E402">
        <v>530835</v>
      </c>
      <c r="F402">
        <v>5158505</v>
      </c>
    </row>
    <row r="403" spans="1:6">
      <c r="A403" t="s">
        <v>235</v>
      </c>
      <c r="B403" t="s">
        <v>232</v>
      </c>
      <c r="C403">
        <v>12</v>
      </c>
      <c r="D403">
        <v>25.585799999999999</v>
      </c>
      <c r="E403">
        <v>530795</v>
      </c>
      <c r="F403">
        <v>5158445</v>
      </c>
    </row>
    <row r="404" spans="1:6">
      <c r="A404" t="s">
        <v>235</v>
      </c>
      <c r="B404" t="s">
        <v>232</v>
      </c>
      <c r="C404">
        <v>13</v>
      </c>
      <c r="D404">
        <v>25.491800000000001</v>
      </c>
      <c r="E404">
        <v>531035</v>
      </c>
      <c r="F404">
        <v>5158355</v>
      </c>
    </row>
    <row r="405" spans="1:6">
      <c r="A405" t="s">
        <v>235</v>
      </c>
      <c r="B405" t="s">
        <v>232</v>
      </c>
      <c r="C405">
        <v>14</v>
      </c>
      <c r="D405">
        <v>0</v>
      </c>
      <c r="E405">
        <v>531075</v>
      </c>
      <c r="F405">
        <v>5158425</v>
      </c>
    </row>
    <row r="406" spans="1:6">
      <c r="A406" t="s">
        <v>235</v>
      </c>
      <c r="B406" t="s">
        <v>232</v>
      </c>
      <c r="C406">
        <v>15</v>
      </c>
      <c r="D406">
        <v>30.375599999999999</v>
      </c>
      <c r="E406">
        <v>530925</v>
      </c>
      <c r="F406">
        <v>5158405</v>
      </c>
    </row>
    <row r="407" spans="1:6">
      <c r="A407" t="s">
        <v>235</v>
      </c>
      <c r="B407" t="s">
        <v>232</v>
      </c>
      <c r="C407">
        <v>16</v>
      </c>
      <c r="D407">
        <v>31.3032</v>
      </c>
      <c r="E407">
        <v>530895</v>
      </c>
      <c r="F407">
        <v>5158505</v>
      </c>
    </row>
    <row r="408" spans="1:6">
      <c r="A408" t="s">
        <v>235</v>
      </c>
      <c r="B408" t="s">
        <v>232</v>
      </c>
      <c r="C408">
        <v>17</v>
      </c>
      <c r="D408">
        <v>36.760899999999999</v>
      </c>
      <c r="E408">
        <v>530765</v>
      </c>
      <c r="F408">
        <v>5158525</v>
      </c>
    </row>
    <row r="409" spans="1:6">
      <c r="A409" t="s">
        <v>235</v>
      </c>
      <c r="B409" t="s">
        <v>232</v>
      </c>
      <c r="C409">
        <v>18</v>
      </c>
      <c r="D409">
        <v>31.488800000000001</v>
      </c>
      <c r="E409">
        <v>530825</v>
      </c>
      <c r="F409">
        <v>5158385</v>
      </c>
    </row>
    <row r="410" spans="1:6">
      <c r="A410" t="s">
        <v>235</v>
      </c>
      <c r="B410" t="s">
        <v>232</v>
      </c>
      <c r="C410">
        <v>19</v>
      </c>
      <c r="D410">
        <v>26.391300000000001</v>
      </c>
      <c r="E410">
        <v>530995</v>
      </c>
      <c r="F410">
        <v>5158255</v>
      </c>
    </row>
    <row r="411" spans="1:6">
      <c r="A411" t="s">
        <v>235</v>
      </c>
      <c r="B411" t="s">
        <v>232</v>
      </c>
      <c r="C411">
        <v>20</v>
      </c>
      <c r="D411">
        <v>32.297800000000002</v>
      </c>
      <c r="E411">
        <v>530665</v>
      </c>
      <c r="F411">
        <v>5158425</v>
      </c>
    </row>
    <row r="412" spans="1:6">
      <c r="A412" t="s">
        <v>235</v>
      </c>
      <c r="B412" t="s">
        <v>232</v>
      </c>
      <c r="C412">
        <v>21</v>
      </c>
      <c r="D412">
        <v>25.7288</v>
      </c>
      <c r="E412">
        <v>530975</v>
      </c>
      <c r="F412">
        <v>5158365</v>
      </c>
    </row>
    <row r="413" spans="1:6">
      <c r="A413" t="s">
        <v>235</v>
      </c>
      <c r="B413" t="s">
        <v>232</v>
      </c>
      <c r="C413">
        <v>22</v>
      </c>
      <c r="D413">
        <v>23.814599999999999</v>
      </c>
      <c r="E413">
        <v>531185</v>
      </c>
      <c r="F413">
        <v>5158375</v>
      </c>
    </row>
    <row r="414" spans="1:6">
      <c r="A414" t="s">
        <v>235</v>
      </c>
      <c r="B414" t="s">
        <v>232</v>
      </c>
      <c r="C414">
        <v>23</v>
      </c>
      <c r="D414">
        <v>28.9361</v>
      </c>
      <c r="E414">
        <v>530695</v>
      </c>
      <c r="F414">
        <v>5158545</v>
      </c>
    </row>
    <row r="415" spans="1:6">
      <c r="A415" t="s">
        <v>235</v>
      </c>
      <c r="B415" t="s">
        <v>232</v>
      </c>
      <c r="C415">
        <v>24</v>
      </c>
      <c r="D415">
        <v>32.074399999999997</v>
      </c>
      <c r="E415">
        <v>530855</v>
      </c>
      <c r="F415">
        <v>5158435</v>
      </c>
    </row>
    <row r="416" spans="1:6">
      <c r="A416" t="s">
        <v>235</v>
      </c>
      <c r="B416" t="s">
        <v>232</v>
      </c>
      <c r="C416">
        <v>25</v>
      </c>
      <c r="D416">
        <v>23.0778</v>
      </c>
      <c r="E416">
        <v>531125</v>
      </c>
      <c r="F416">
        <v>5158315</v>
      </c>
    </row>
    <row r="417" spans="1:6">
      <c r="A417" t="s">
        <v>235</v>
      </c>
      <c r="B417" t="s">
        <v>232</v>
      </c>
      <c r="C417">
        <v>26</v>
      </c>
      <c r="D417">
        <v>30.371600000000001</v>
      </c>
      <c r="E417">
        <v>531005</v>
      </c>
      <c r="F417">
        <v>5158305</v>
      </c>
    </row>
    <row r="418" spans="1:6">
      <c r="A418" t="s">
        <v>235</v>
      </c>
      <c r="B418" t="s">
        <v>232</v>
      </c>
      <c r="C418">
        <v>27</v>
      </c>
      <c r="D418">
        <v>33.239899999999999</v>
      </c>
      <c r="E418">
        <v>530935</v>
      </c>
      <c r="F418">
        <v>5158465</v>
      </c>
    </row>
    <row r="419" spans="1:6">
      <c r="A419" t="s">
        <v>235</v>
      </c>
      <c r="B419" t="s">
        <v>232</v>
      </c>
      <c r="C419">
        <v>28</v>
      </c>
      <c r="D419">
        <v>29.880199999999999</v>
      </c>
      <c r="E419">
        <v>530725</v>
      </c>
      <c r="F419">
        <v>5158485</v>
      </c>
    </row>
    <row r="420" spans="1:6">
      <c r="A420" t="s">
        <v>235</v>
      </c>
      <c r="B420" t="s">
        <v>232</v>
      </c>
      <c r="C420">
        <v>29</v>
      </c>
      <c r="D420">
        <v>32.983600000000003</v>
      </c>
      <c r="E420">
        <v>531045</v>
      </c>
      <c r="F420">
        <v>5158245</v>
      </c>
    </row>
    <row r="421" spans="1:6">
      <c r="A421" t="s">
        <v>235</v>
      </c>
      <c r="B421" t="s">
        <v>232</v>
      </c>
      <c r="C421">
        <v>30</v>
      </c>
      <c r="D421">
        <v>0</v>
      </c>
      <c r="E421">
        <v>530765</v>
      </c>
      <c r="F421">
        <v>5158385</v>
      </c>
    </row>
    <row r="422" spans="1:6">
      <c r="A422" t="s">
        <v>235</v>
      </c>
      <c r="B422" t="s">
        <v>232</v>
      </c>
      <c r="C422">
        <v>31</v>
      </c>
      <c r="D422">
        <v>35.426499999999997</v>
      </c>
      <c r="E422">
        <v>531115</v>
      </c>
      <c r="F422">
        <v>5158265</v>
      </c>
    </row>
    <row r="423" spans="1:6">
      <c r="A423" t="s">
        <v>235</v>
      </c>
      <c r="B423" t="s">
        <v>232</v>
      </c>
      <c r="C423">
        <v>32</v>
      </c>
      <c r="D423">
        <v>47.238500000000002</v>
      </c>
      <c r="E423">
        <v>531035</v>
      </c>
      <c r="F423">
        <v>5158405</v>
      </c>
    </row>
    <row r="424" spans="1:6">
      <c r="A424" t="s">
        <v>235</v>
      </c>
      <c r="B424" t="s">
        <v>232</v>
      </c>
      <c r="C424">
        <v>33</v>
      </c>
      <c r="D424">
        <v>29.876899999999999</v>
      </c>
      <c r="E424">
        <v>531085</v>
      </c>
      <c r="F424">
        <v>5158365</v>
      </c>
    </row>
    <row r="425" spans="1:6">
      <c r="A425" t="s">
        <v>235</v>
      </c>
      <c r="B425" t="s">
        <v>232</v>
      </c>
      <c r="C425">
        <v>34</v>
      </c>
      <c r="D425">
        <v>33.232799999999997</v>
      </c>
      <c r="E425">
        <v>530775</v>
      </c>
      <c r="F425">
        <v>5158485</v>
      </c>
    </row>
    <row r="426" spans="1:6">
      <c r="A426" t="s">
        <v>235</v>
      </c>
      <c r="B426" t="s">
        <v>232</v>
      </c>
      <c r="C426">
        <v>35</v>
      </c>
      <c r="D426">
        <v>34.008600000000001</v>
      </c>
      <c r="E426">
        <v>530805</v>
      </c>
      <c r="F426">
        <v>5158535</v>
      </c>
    </row>
    <row r="427" spans="1:6">
      <c r="A427" t="s">
        <v>235</v>
      </c>
      <c r="B427" t="s">
        <v>232</v>
      </c>
      <c r="C427">
        <v>36</v>
      </c>
      <c r="D427">
        <v>29.4312</v>
      </c>
      <c r="E427">
        <v>530935</v>
      </c>
      <c r="F427">
        <v>5158365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85"/>
  <sheetViews>
    <sheetView topLeftCell="I13" workbookViewId="0">
      <selection activeCell="Y47" sqref="Y47"/>
    </sheetView>
  </sheetViews>
  <sheetFormatPr defaultRowHeight="15"/>
  <cols>
    <col min="2" max="2" width="19.42578125" customWidth="1"/>
    <col min="18" max="18" width="14.140625" style="1" customWidth="1"/>
    <col min="32" max="32" width="13.28515625" customWidth="1"/>
  </cols>
  <sheetData>
    <row r="2" spans="2:44">
      <c r="C2" t="s">
        <v>87</v>
      </c>
      <c r="D2" t="s">
        <v>88</v>
      </c>
      <c r="E2" t="s">
        <v>89</v>
      </c>
      <c r="F2" t="s">
        <v>90</v>
      </c>
      <c r="G2" t="s">
        <v>91</v>
      </c>
      <c r="H2" t="s">
        <v>92</v>
      </c>
      <c r="I2" t="s">
        <v>93</v>
      </c>
      <c r="J2" t="s">
        <v>94</v>
      </c>
      <c r="K2" t="s">
        <v>95</v>
      </c>
      <c r="L2" t="s">
        <v>96</v>
      </c>
      <c r="M2" t="s">
        <v>97</v>
      </c>
      <c r="N2" t="s">
        <v>98</v>
      </c>
      <c r="O2" t="s">
        <v>207</v>
      </c>
      <c r="P2" t="s">
        <v>208</v>
      </c>
      <c r="R2" s="45"/>
      <c r="S2" s="46" t="s">
        <v>87</v>
      </c>
      <c r="T2" s="46" t="s">
        <v>88</v>
      </c>
      <c r="U2" s="46" t="s">
        <v>89</v>
      </c>
      <c r="V2" s="46" t="s">
        <v>90</v>
      </c>
      <c r="W2" s="46" t="s">
        <v>91</v>
      </c>
      <c r="X2" s="46" t="s">
        <v>92</v>
      </c>
      <c r="Y2" s="46" t="s">
        <v>93</v>
      </c>
      <c r="Z2" s="46" t="s">
        <v>94</v>
      </c>
      <c r="AA2" s="46" t="s">
        <v>95</v>
      </c>
      <c r="AB2" s="46" t="s">
        <v>96</v>
      </c>
      <c r="AC2" s="46" t="s">
        <v>97</v>
      </c>
      <c r="AD2" s="46" t="s">
        <v>98</v>
      </c>
      <c r="AG2" s="46" t="s">
        <v>87</v>
      </c>
      <c r="AH2" s="46" t="s">
        <v>88</v>
      </c>
      <c r="AI2" s="46" t="s">
        <v>89</v>
      </c>
      <c r="AJ2" s="46" t="s">
        <v>90</v>
      </c>
      <c r="AK2" s="46" t="s">
        <v>91</v>
      </c>
      <c r="AL2" s="46" t="s">
        <v>92</v>
      </c>
      <c r="AM2" s="46" t="s">
        <v>93</v>
      </c>
      <c r="AN2" s="46" t="s">
        <v>94</v>
      </c>
      <c r="AO2" s="46" t="s">
        <v>95</v>
      </c>
      <c r="AP2" s="46" t="s">
        <v>96</v>
      </c>
      <c r="AQ2" s="46" t="s">
        <v>97</v>
      </c>
      <c r="AR2" s="46" t="s">
        <v>98</v>
      </c>
    </row>
    <row r="3" spans="2:44">
      <c r="B3" s="1">
        <v>40900</v>
      </c>
      <c r="C3" t="s">
        <v>189</v>
      </c>
      <c r="D3" t="s">
        <v>189</v>
      </c>
      <c r="E3" t="s">
        <v>189</v>
      </c>
      <c r="F3" t="s">
        <v>189</v>
      </c>
      <c r="G3" t="s">
        <v>189</v>
      </c>
      <c r="H3" t="s">
        <v>189</v>
      </c>
      <c r="I3" t="s">
        <v>189</v>
      </c>
      <c r="J3" t="s">
        <v>189</v>
      </c>
      <c r="K3" t="s">
        <v>189</v>
      </c>
      <c r="L3" t="s">
        <v>189</v>
      </c>
      <c r="M3" t="s">
        <v>209</v>
      </c>
      <c r="N3" t="s">
        <v>189</v>
      </c>
      <c r="R3" s="45">
        <v>40900</v>
      </c>
      <c r="S3" s="46">
        <f t="shared" ref="S3:U9" si="0">IF(C3="","",IF(C3="dry",LOOKUP($B3,$B$74:$B$83,C$74:C$83),C3-LOOKUP($B3,$B$48:$B$57,C$48:C$57)))</f>
        <v>3.9000000000000004</v>
      </c>
      <c r="T3" s="46" t="e">
        <f>IF(D3="","",IF(D3="dry",LOOKUP($B3,$B$74:$B$83,D$74:D$83),D3-LOOKUP($B3,$B$48:$B$57,D$48:D$57)))</f>
        <v>#N/A</v>
      </c>
      <c r="U3" s="46">
        <f>IF(E3="","",IF(E3="dry",LOOKUP($B3,$B$74:$B$83,E$74:E$83),E3-LOOKUP($B3,$B$48:$B$57,E$48:E$57)))</f>
        <v>5.1999999999999993</v>
      </c>
      <c r="V3" s="46">
        <f t="shared" ref="V3:AD18" si="1">IF(F3="","",IF(F3="dry",LOOKUP($B3,$B$74:$B$83,F$74:F$83),F3-LOOKUP($B3,$B$48:$B$57,F$48:F$57)))</f>
        <v>3.5999999999999996</v>
      </c>
      <c r="W3" s="46" t="e">
        <f t="shared" si="1"/>
        <v>#N/A</v>
      </c>
      <c r="X3" s="46" t="e">
        <f t="shared" si="1"/>
        <v>#N/A</v>
      </c>
      <c r="Y3" s="46" t="e">
        <f t="shared" si="1"/>
        <v>#N/A</v>
      </c>
      <c r="Z3" s="46">
        <f t="shared" si="1"/>
        <v>1.9999999999999998</v>
      </c>
      <c r="AA3" s="46" t="e">
        <f t="shared" si="1"/>
        <v>#N/A</v>
      </c>
      <c r="AB3" s="46" t="e">
        <f t="shared" si="1"/>
        <v>#N/A</v>
      </c>
      <c r="AC3" s="46" t="e">
        <f t="shared" si="1"/>
        <v>#VALUE!</v>
      </c>
      <c r="AD3" s="46">
        <f t="shared" si="1"/>
        <v>2.1</v>
      </c>
      <c r="AF3" s="45">
        <v>40900</v>
      </c>
      <c r="AG3">
        <f>IF(S3="","",IF(S3="dry",0,LOOKUP($AF3,$B$74:$B$83,$C$74:$C$83)-S3))</f>
        <v>0</v>
      </c>
      <c r="AH3" t="e">
        <f>IF(T3="","",IF(T3="dry",0,LOOKUP($AF3,$B$74:$B$83,$D$74:$D$83)-T3))</f>
        <v>#N/A</v>
      </c>
      <c r="AI3">
        <f>IF(U3="","",IF(U3="dry",0,LOOKUP($AF3,$B$74:$B$83,$E$74:$E$83)-U3))</f>
        <v>0</v>
      </c>
      <c r="AJ3">
        <f>IF(V3="","",IF(V3="dry",0,LOOKUP($AF3,$B$74:$B$83,$F$74:$F$83)-V3))</f>
        <v>0</v>
      </c>
      <c r="AK3" t="e">
        <f>IF(W3="","",IF(W3="dry",0,LOOKUP($AF3,$B$74:$B$83,$G$74:$G$83)-W3))</f>
        <v>#N/A</v>
      </c>
      <c r="AL3" t="e">
        <f>IF(X3="","",IF(X3="dry",0,LOOKUP($AF3,$B$74:$B$83,$H$74:$H$83)-X3))</f>
        <v>#N/A</v>
      </c>
      <c r="AM3" t="e">
        <f>IF(Y3="","",IF(Y3="dry",0,LOOKUP($AF3,$B$74:$B$83,$I$74:$I$83)-Y3))</f>
        <v>#N/A</v>
      </c>
      <c r="AN3">
        <f>IF(Z3="","",IF(Z3="dry",0,LOOKUP($AF3,$B$74:$B$83,$J$74:$J$83)-Z3))</f>
        <v>0</v>
      </c>
      <c r="AO3" t="e">
        <f>IF(AA3="","",IF(AA3="dry",0,LOOKUP($AF3,$B$74:$B$83,$K$74:$K$83)-AA3))</f>
        <v>#N/A</v>
      </c>
      <c r="AP3" t="e">
        <f>IF(AB3="","",IF(AB3="dry",0,LOOKUP($AF3,$B$74:$B$83,$L$74:$L$83)-AB3))</f>
        <v>#N/A</v>
      </c>
      <c r="AQ3" t="e">
        <f>IF(AC3="","",IF(AC3="dry",0,LOOKUP($AF3,$B$74:$B$83,$M$74:$M$83)-AC3))</f>
        <v>#VALUE!</v>
      </c>
      <c r="AR3">
        <f>IF(AD3="","",IF(AD3="dry",0,LOOKUP($AF3,$B$74:$B$83,$N$74:$N$83)-AD3))</f>
        <v>0</v>
      </c>
    </row>
    <row r="4" spans="2:44">
      <c r="B4" s="1">
        <v>40917</v>
      </c>
      <c r="C4" t="s">
        <v>189</v>
      </c>
      <c r="D4" t="s">
        <v>189</v>
      </c>
      <c r="E4" t="s">
        <v>189</v>
      </c>
      <c r="F4" t="s">
        <v>189</v>
      </c>
      <c r="G4" t="s">
        <v>189</v>
      </c>
      <c r="H4" t="s">
        <v>189</v>
      </c>
      <c r="I4" t="s">
        <v>209</v>
      </c>
      <c r="J4" t="s">
        <v>189</v>
      </c>
      <c r="K4" t="s">
        <v>209</v>
      </c>
      <c r="L4" t="s">
        <v>189</v>
      </c>
      <c r="M4" t="s">
        <v>209</v>
      </c>
      <c r="N4" t="s">
        <v>189</v>
      </c>
      <c r="R4" s="45">
        <v>40917</v>
      </c>
      <c r="S4" s="46">
        <f t="shared" si="0"/>
        <v>3.9000000000000004</v>
      </c>
      <c r="T4" s="46" t="e">
        <f t="shared" si="0"/>
        <v>#N/A</v>
      </c>
      <c r="U4" s="46">
        <f t="shared" si="0"/>
        <v>5.1999999999999993</v>
      </c>
      <c r="V4" s="46">
        <f t="shared" si="1"/>
        <v>3.5999999999999996</v>
      </c>
      <c r="W4" s="46" t="e">
        <f t="shared" si="1"/>
        <v>#N/A</v>
      </c>
      <c r="X4" s="46" t="e">
        <f t="shared" si="1"/>
        <v>#N/A</v>
      </c>
      <c r="Y4" s="46" t="e">
        <f t="shared" si="1"/>
        <v>#VALUE!</v>
      </c>
      <c r="Z4" s="46">
        <f t="shared" si="1"/>
        <v>1.9999999999999998</v>
      </c>
      <c r="AA4" s="46" t="e">
        <f t="shared" si="1"/>
        <v>#VALUE!</v>
      </c>
      <c r="AB4" s="46" t="e">
        <f t="shared" si="1"/>
        <v>#N/A</v>
      </c>
      <c r="AC4" s="46" t="e">
        <f t="shared" si="1"/>
        <v>#VALUE!</v>
      </c>
      <c r="AD4" s="46">
        <f t="shared" si="1"/>
        <v>2.1</v>
      </c>
      <c r="AF4" s="45">
        <v>40917</v>
      </c>
      <c r="AG4">
        <f t="shared" ref="AG4:AG39" si="2">IF(S4="","",IF(S4="dry",0,LOOKUP($AF4,$B$74:$B$83,$C$74:$C$83)-S4))</f>
        <v>0</v>
      </c>
      <c r="AH4" t="e">
        <f t="shared" ref="AH4:AH39" si="3">IF(T4="","",IF(T4="dry",0,LOOKUP($AF4,$B$74:$B$83,$D$74:$D$83)-T4))</f>
        <v>#N/A</v>
      </c>
      <c r="AI4">
        <f t="shared" ref="AI4:AI39" si="4">IF(U4="","",IF(U4="dry",0,LOOKUP($AF4,$B$74:$B$83,$E$74:$E$83)-U4))</f>
        <v>0</v>
      </c>
      <c r="AJ4">
        <f t="shared" ref="AJ4:AJ39" si="5">IF(V4="","",IF(V4="dry",0,LOOKUP($AF4,$B$74:$B$83,$F$74:$F$83)-V4))</f>
        <v>0</v>
      </c>
      <c r="AK4" t="e">
        <f t="shared" ref="AK4:AK39" si="6">IF(W4="","",IF(W4="dry",0,LOOKUP($AF4,$B$74:$B$83,$G$74:$G$83)-W4))</f>
        <v>#N/A</v>
      </c>
      <c r="AL4" t="e">
        <f t="shared" ref="AL4:AL39" si="7">IF(X4="","",IF(X4="dry",0,LOOKUP($AF4,$B$74:$B$83,$H$74:$H$83)-X4))</f>
        <v>#N/A</v>
      </c>
      <c r="AM4" t="e">
        <f t="shared" ref="AM4:AM39" si="8">IF(Y4="","",IF(Y4="dry",0,LOOKUP($AF4,$B$74:$B$83,$I$74:$I$83)-Y4))</f>
        <v>#VALUE!</v>
      </c>
      <c r="AN4">
        <f t="shared" ref="AN4:AN39" si="9">IF(Z4="","",IF(Z4="dry",0,LOOKUP($AF4,$B$74:$B$83,$J$74:$J$83)-Z4))</f>
        <v>0</v>
      </c>
      <c r="AO4" t="e">
        <f t="shared" ref="AO4:AO39" si="10">IF(AA4="","",IF(AA4="dry",0,LOOKUP($AF4,$B$74:$B$83,$K$74:$K$83)-AA4))</f>
        <v>#VALUE!</v>
      </c>
      <c r="AP4" t="e">
        <f t="shared" ref="AP4:AP39" si="11">IF(AB4="","",IF(AB4="dry",0,LOOKUP($AF4,$B$74:$B$83,$L$74:$L$83)-AB4))</f>
        <v>#N/A</v>
      </c>
      <c r="AQ4" t="e">
        <f t="shared" ref="AQ4:AQ39" si="12">IF(AC4="","",IF(AC4="dry",0,LOOKUP($AF4,$B$74:$B$83,$M$74:$M$83)-AC4))</f>
        <v>#VALUE!</v>
      </c>
      <c r="AR4">
        <f t="shared" ref="AR4:AR39" si="13">IF(AD4="","",IF(AD4="dry",0,LOOKUP($AF4,$B$74:$B$83,$N$74:$N$83)-AD4))</f>
        <v>0</v>
      </c>
    </row>
    <row r="5" spans="2:44">
      <c r="B5" s="1">
        <v>40931</v>
      </c>
      <c r="C5" t="s">
        <v>189</v>
      </c>
      <c r="D5" t="s">
        <v>189</v>
      </c>
      <c r="E5" t="s">
        <v>189</v>
      </c>
      <c r="F5" t="s">
        <v>189</v>
      </c>
      <c r="G5" t="s">
        <v>189</v>
      </c>
      <c r="H5" t="s">
        <v>189</v>
      </c>
      <c r="I5" t="s">
        <v>209</v>
      </c>
      <c r="J5" t="s">
        <v>189</v>
      </c>
      <c r="K5" t="s">
        <v>209</v>
      </c>
      <c r="L5" t="s">
        <v>189</v>
      </c>
      <c r="M5" t="s">
        <v>209</v>
      </c>
      <c r="N5" t="s">
        <v>189</v>
      </c>
      <c r="R5" s="45">
        <v>40931</v>
      </c>
      <c r="S5" s="46">
        <f t="shared" si="0"/>
        <v>3.9000000000000004</v>
      </c>
      <c r="T5" s="46" t="e">
        <f t="shared" si="0"/>
        <v>#N/A</v>
      </c>
      <c r="U5" s="46">
        <f t="shared" si="0"/>
        <v>5.1999999999999993</v>
      </c>
      <c r="V5" s="46">
        <f t="shared" si="1"/>
        <v>3.5999999999999996</v>
      </c>
      <c r="W5" s="46" t="e">
        <f t="shared" si="1"/>
        <v>#N/A</v>
      </c>
      <c r="X5" s="46" t="e">
        <f t="shared" si="1"/>
        <v>#N/A</v>
      </c>
      <c r="Y5" s="46" t="e">
        <f t="shared" si="1"/>
        <v>#VALUE!</v>
      </c>
      <c r="Z5" s="46">
        <f t="shared" si="1"/>
        <v>1.9999999999999998</v>
      </c>
      <c r="AA5" s="46" t="e">
        <f t="shared" si="1"/>
        <v>#VALUE!</v>
      </c>
      <c r="AB5" s="46" t="e">
        <f t="shared" si="1"/>
        <v>#N/A</v>
      </c>
      <c r="AC5" s="46" t="e">
        <f t="shared" si="1"/>
        <v>#VALUE!</v>
      </c>
      <c r="AD5" s="46">
        <f t="shared" si="1"/>
        <v>2.1</v>
      </c>
      <c r="AF5" s="45">
        <v>40931</v>
      </c>
      <c r="AG5">
        <f t="shared" si="2"/>
        <v>0</v>
      </c>
      <c r="AH5" t="e">
        <f t="shared" si="3"/>
        <v>#N/A</v>
      </c>
      <c r="AI5">
        <f t="shared" si="4"/>
        <v>0</v>
      </c>
      <c r="AJ5">
        <f t="shared" si="5"/>
        <v>0</v>
      </c>
      <c r="AK5" t="e">
        <f t="shared" si="6"/>
        <v>#N/A</v>
      </c>
      <c r="AL5" t="e">
        <f t="shared" si="7"/>
        <v>#N/A</v>
      </c>
      <c r="AM5" t="e">
        <f t="shared" si="8"/>
        <v>#VALUE!</v>
      </c>
      <c r="AN5">
        <f t="shared" si="9"/>
        <v>0</v>
      </c>
      <c r="AO5" t="e">
        <f t="shared" si="10"/>
        <v>#VALUE!</v>
      </c>
      <c r="AP5" t="e">
        <f t="shared" si="11"/>
        <v>#N/A</v>
      </c>
      <c r="AQ5" t="e">
        <f t="shared" si="12"/>
        <v>#VALUE!</v>
      </c>
      <c r="AR5">
        <f t="shared" si="13"/>
        <v>0</v>
      </c>
    </row>
    <row r="6" spans="2:44">
      <c r="B6" s="1">
        <v>40935.671527777777</v>
      </c>
      <c r="C6" t="s">
        <v>189</v>
      </c>
      <c r="D6" t="s">
        <v>189</v>
      </c>
      <c r="E6" t="s">
        <v>189</v>
      </c>
      <c r="F6" t="s">
        <v>189</v>
      </c>
      <c r="G6" t="s">
        <v>189</v>
      </c>
      <c r="H6" t="s">
        <v>189</v>
      </c>
      <c r="I6" t="s">
        <v>209</v>
      </c>
      <c r="J6" t="s">
        <v>189</v>
      </c>
      <c r="K6" t="s">
        <v>209</v>
      </c>
      <c r="L6" t="s">
        <v>189</v>
      </c>
      <c r="M6" t="s">
        <v>209</v>
      </c>
      <c r="N6" t="s">
        <v>189</v>
      </c>
      <c r="R6" s="45">
        <v>40935.671527777777</v>
      </c>
      <c r="S6" s="46">
        <f t="shared" si="0"/>
        <v>3.9000000000000004</v>
      </c>
      <c r="T6" s="46" t="e">
        <f t="shared" si="0"/>
        <v>#N/A</v>
      </c>
      <c r="U6" s="46">
        <f t="shared" si="0"/>
        <v>5.1999999999999993</v>
      </c>
      <c r="V6" s="46">
        <f t="shared" si="1"/>
        <v>3.5999999999999996</v>
      </c>
      <c r="W6" s="46" t="e">
        <f t="shared" si="1"/>
        <v>#N/A</v>
      </c>
      <c r="X6" s="46" t="e">
        <f t="shared" si="1"/>
        <v>#N/A</v>
      </c>
      <c r="Y6" s="46" t="e">
        <f t="shared" si="1"/>
        <v>#VALUE!</v>
      </c>
      <c r="Z6" s="46">
        <f t="shared" si="1"/>
        <v>1.9999999999999998</v>
      </c>
      <c r="AA6" s="46" t="e">
        <f t="shared" si="1"/>
        <v>#VALUE!</v>
      </c>
      <c r="AB6" s="46" t="e">
        <f t="shared" si="1"/>
        <v>#N/A</v>
      </c>
      <c r="AC6" s="46" t="e">
        <f t="shared" si="1"/>
        <v>#VALUE!</v>
      </c>
      <c r="AD6" s="46">
        <f t="shared" si="1"/>
        <v>2.1</v>
      </c>
      <c r="AF6" s="45">
        <v>40935.671527777777</v>
      </c>
      <c r="AG6">
        <f t="shared" si="2"/>
        <v>0</v>
      </c>
      <c r="AH6" t="e">
        <f t="shared" si="3"/>
        <v>#N/A</v>
      </c>
      <c r="AI6">
        <f t="shared" si="4"/>
        <v>0</v>
      </c>
      <c r="AJ6">
        <f t="shared" si="5"/>
        <v>0</v>
      </c>
      <c r="AK6" t="e">
        <f t="shared" si="6"/>
        <v>#N/A</v>
      </c>
      <c r="AL6" t="e">
        <f t="shared" si="7"/>
        <v>#N/A</v>
      </c>
      <c r="AM6" t="e">
        <f t="shared" si="8"/>
        <v>#VALUE!</v>
      </c>
      <c r="AN6">
        <f t="shared" si="9"/>
        <v>0</v>
      </c>
      <c r="AO6" t="e">
        <f t="shared" si="10"/>
        <v>#VALUE!</v>
      </c>
      <c r="AP6" t="e">
        <f t="shared" si="11"/>
        <v>#N/A</v>
      </c>
      <c r="AQ6" t="e">
        <f t="shared" si="12"/>
        <v>#VALUE!</v>
      </c>
      <c r="AR6">
        <f t="shared" si="13"/>
        <v>0</v>
      </c>
    </row>
    <row r="7" spans="2:44">
      <c r="B7" s="1">
        <v>40956</v>
      </c>
      <c r="C7" t="s">
        <v>189</v>
      </c>
      <c r="D7" t="s">
        <v>189</v>
      </c>
      <c r="E7" t="s">
        <v>189</v>
      </c>
      <c r="F7" t="s">
        <v>189</v>
      </c>
      <c r="G7" t="s">
        <v>189</v>
      </c>
      <c r="I7" t="s">
        <v>189</v>
      </c>
      <c r="K7" t="s">
        <v>209</v>
      </c>
      <c r="L7" t="s">
        <v>189</v>
      </c>
      <c r="M7">
        <v>5.9</v>
      </c>
      <c r="N7" t="s">
        <v>189</v>
      </c>
      <c r="R7" s="45">
        <v>40956</v>
      </c>
      <c r="S7" s="46">
        <f t="shared" si="0"/>
        <v>3.9000000000000004</v>
      </c>
      <c r="T7" s="46" t="e">
        <f t="shared" si="0"/>
        <v>#N/A</v>
      </c>
      <c r="U7" s="46">
        <f t="shared" si="0"/>
        <v>5.1999999999999993</v>
      </c>
      <c r="V7" s="46">
        <f t="shared" si="1"/>
        <v>3.5999999999999996</v>
      </c>
      <c r="W7" s="46" t="e">
        <f t="shared" si="1"/>
        <v>#N/A</v>
      </c>
      <c r="X7" s="46" t="str">
        <f t="shared" si="1"/>
        <v/>
      </c>
      <c r="Y7" s="46" t="e">
        <f t="shared" si="1"/>
        <v>#N/A</v>
      </c>
      <c r="Z7" s="46" t="str">
        <f t="shared" si="1"/>
        <v/>
      </c>
      <c r="AA7" s="46" t="e">
        <f t="shared" si="1"/>
        <v>#VALUE!</v>
      </c>
      <c r="AB7" s="46" t="e">
        <f t="shared" si="1"/>
        <v>#N/A</v>
      </c>
      <c r="AC7" s="46">
        <f t="shared" si="1"/>
        <v>4.25</v>
      </c>
      <c r="AD7" s="46">
        <f t="shared" si="1"/>
        <v>2.1</v>
      </c>
      <c r="AF7" s="45">
        <v>40956</v>
      </c>
      <c r="AG7">
        <f t="shared" si="2"/>
        <v>0</v>
      </c>
      <c r="AH7" t="e">
        <f t="shared" si="3"/>
        <v>#N/A</v>
      </c>
      <c r="AI7">
        <f t="shared" si="4"/>
        <v>0</v>
      </c>
      <c r="AJ7">
        <f t="shared" si="5"/>
        <v>0</v>
      </c>
      <c r="AK7" t="e">
        <f t="shared" si="6"/>
        <v>#N/A</v>
      </c>
      <c r="AL7" t="str">
        <f t="shared" si="7"/>
        <v/>
      </c>
      <c r="AM7" t="e">
        <f t="shared" si="8"/>
        <v>#N/A</v>
      </c>
      <c r="AN7" t="str">
        <f t="shared" si="9"/>
        <v/>
      </c>
      <c r="AO7" t="e">
        <f t="shared" si="10"/>
        <v>#VALUE!</v>
      </c>
      <c r="AP7" t="e">
        <f t="shared" si="11"/>
        <v>#N/A</v>
      </c>
      <c r="AQ7">
        <f t="shared" si="12"/>
        <v>0.90000000000000036</v>
      </c>
      <c r="AR7">
        <f t="shared" si="13"/>
        <v>0</v>
      </c>
    </row>
    <row r="8" spans="2:44">
      <c r="B8" s="1">
        <v>40976</v>
      </c>
      <c r="C8" t="s">
        <v>189</v>
      </c>
      <c r="D8" t="s">
        <v>189</v>
      </c>
      <c r="E8" t="s">
        <v>189</v>
      </c>
      <c r="F8" t="s">
        <v>189</v>
      </c>
      <c r="G8" t="s">
        <v>189</v>
      </c>
      <c r="H8" t="s">
        <v>189</v>
      </c>
      <c r="I8" t="s">
        <v>189</v>
      </c>
      <c r="J8" t="s">
        <v>189</v>
      </c>
      <c r="K8" t="s">
        <v>209</v>
      </c>
      <c r="L8" t="s">
        <v>189</v>
      </c>
      <c r="M8" t="s">
        <v>189</v>
      </c>
      <c r="N8" t="s">
        <v>189</v>
      </c>
      <c r="R8" s="45">
        <v>40976</v>
      </c>
      <c r="S8" s="46">
        <f t="shared" si="0"/>
        <v>3.9000000000000004</v>
      </c>
      <c r="T8" s="46" t="e">
        <f t="shared" si="0"/>
        <v>#N/A</v>
      </c>
      <c r="U8" s="46">
        <f t="shared" si="0"/>
        <v>5.1999999999999993</v>
      </c>
      <c r="V8" s="46">
        <f t="shared" si="1"/>
        <v>3.5999999999999996</v>
      </c>
      <c r="W8" s="46" t="e">
        <f t="shared" si="1"/>
        <v>#N/A</v>
      </c>
      <c r="X8" s="46" t="e">
        <f t="shared" si="1"/>
        <v>#N/A</v>
      </c>
      <c r="Y8" s="46" t="e">
        <f t="shared" si="1"/>
        <v>#N/A</v>
      </c>
      <c r="Z8" s="46">
        <f t="shared" si="1"/>
        <v>1.9999999999999998</v>
      </c>
      <c r="AA8" s="46" t="e">
        <f t="shared" si="1"/>
        <v>#VALUE!</v>
      </c>
      <c r="AB8" s="46" t="e">
        <f t="shared" si="1"/>
        <v>#N/A</v>
      </c>
      <c r="AC8" s="46">
        <f t="shared" si="1"/>
        <v>5.15</v>
      </c>
      <c r="AD8" s="46">
        <f t="shared" si="1"/>
        <v>2.1</v>
      </c>
      <c r="AF8" s="45">
        <v>40976</v>
      </c>
      <c r="AG8">
        <f t="shared" si="2"/>
        <v>0</v>
      </c>
      <c r="AH8" t="e">
        <f t="shared" si="3"/>
        <v>#N/A</v>
      </c>
      <c r="AI8">
        <f t="shared" si="4"/>
        <v>0</v>
      </c>
      <c r="AJ8">
        <f t="shared" si="5"/>
        <v>0</v>
      </c>
      <c r="AK8" t="e">
        <f t="shared" si="6"/>
        <v>#N/A</v>
      </c>
      <c r="AL8" t="e">
        <f t="shared" si="7"/>
        <v>#N/A</v>
      </c>
      <c r="AM8" t="e">
        <f t="shared" si="8"/>
        <v>#N/A</v>
      </c>
      <c r="AN8">
        <f t="shared" si="9"/>
        <v>0</v>
      </c>
      <c r="AO8" t="e">
        <f t="shared" si="10"/>
        <v>#VALUE!</v>
      </c>
      <c r="AP8" t="e">
        <f t="shared" si="11"/>
        <v>#N/A</v>
      </c>
      <c r="AQ8">
        <f t="shared" si="12"/>
        <v>0</v>
      </c>
      <c r="AR8">
        <f t="shared" si="13"/>
        <v>0</v>
      </c>
    </row>
    <row r="9" spans="2:44">
      <c r="B9" s="1">
        <v>40977</v>
      </c>
      <c r="C9" t="s">
        <v>189</v>
      </c>
      <c r="D9" t="s">
        <v>189</v>
      </c>
      <c r="E9" t="s">
        <v>189</v>
      </c>
      <c r="F9" t="s">
        <v>189</v>
      </c>
      <c r="G9" t="s">
        <v>189</v>
      </c>
      <c r="H9" t="s">
        <v>189</v>
      </c>
      <c r="I9" t="s">
        <v>189</v>
      </c>
      <c r="J9" t="s">
        <v>189</v>
      </c>
      <c r="K9" t="s">
        <v>209</v>
      </c>
      <c r="L9" t="s">
        <v>189</v>
      </c>
      <c r="M9">
        <v>5.3</v>
      </c>
      <c r="N9" t="s">
        <v>189</v>
      </c>
      <c r="R9" s="45">
        <v>40977</v>
      </c>
      <c r="S9" s="46">
        <f t="shared" si="0"/>
        <v>3.9000000000000004</v>
      </c>
      <c r="T9" s="46" t="e">
        <f t="shared" si="0"/>
        <v>#N/A</v>
      </c>
      <c r="U9" s="46">
        <f t="shared" si="0"/>
        <v>5.1999999999999993</v>
      </c>
      <c r="V9" s="46">
        <f t="shared" si="1"/>
        <v>3.5999999999999996</v>
      </c>
      <c r="W9" s="46" t="e">
        <f t="shared" si="1"/>
        <v>#N/A</v>
      </c>
      <c r="X9" s="46" t="e">
        <f t="shared" si="1"/>
        <v>#N/A</v>
      </c>
      <c r="Y9" s="46" t="e">
        <f t="shared" si="1"/>
        <v>#N/A</v>
      </c>
      <c r="Z9" s="46">
        <f t="shared" si="1"/>
        <v>1.9999999999999998</v>
      </c>
      <c r="AA9" s="46" t="e">
        <f t="shared" si="1"/>
        <v>#VALUE!</v>
      </c>
      <c r="AB9" s="46" t="e">
        <f t="shared" si="1"/>
        <v>#N/A</v>
      </c>
      <c r="AC9" s="46">
        <f t="shared" si="1"/>
        <v>3.65</v>
      </c>
      <c r="AD9" s="46">
        <f t="shared" si="1"/>
        <v>2.1</v>
      </c>
      <c r="AF9" s="45">
        <v>40977</v>
      </c>
      <c r="AG9">
        <f t="shared" si="2"/>
        <v>0</v>
      </c>
      <c r="AH9" t="e">
        <f t="shared" si="3"/>
        <v>#N/A</v>
      </c>
      <c r="AI9">
        <f t="shared" si="4"/>
        <v>0</v>
      </c>
      <c r="AJ9">
        <f t="shared" si="5"/>
        <v>0</v>
      </c>
      <c r="AK9" t="e">
        <f t="shared" si="6"/>
        <v>#N/A</v>
      </c>
      <c r="AL9" t="e">
        <f t="shared" si="7"/>
        <v>#N/A</v>
      </c>
      <c r="AM9" t="e">
        <f t="shared" si="8"/>
        <v>#N/A</v>
      </c>
      <c r="AN9">
        <f t="shared" si="9"/>
        <v>0</v>
      </c>
      <c r="AO9" t="e">
        <f t="shared" si="10"/>
        <v>#VALUE!</v>
      </c>
      <c r="AP9" t="e">
        <f t="shared" si="11"/>
        <v>#N/A</v>
      </c>
      <c r="AQ9">
        <f t="shared" si="12"/>
        <v>1.5000000000000004</v>
      </c>
      <c r="AR9">
        <f t="shared" si="13"/>
        <v>0</v>
      </c>
    </row>
    <row r="10" spans="2:44">
      <c r="B10" s="1">
        <v>40998</v>
      </c>
      <c r="C10">
        <v>1.1000000000000001</v>
      </c>
      <c r="D10">
        <v>3.9</v>
      </c>
      <c r="E10" t="s">
        <v>189</v>
      </c>
      <c r="F10" t="s">
        <v>189</v>
      </c>
      <c r="G10">
        <v>1.6</v>
      </c>
      <c r="H10" t="s">
        <v>189</v>
      </c>
      <c r="I10">
        <v>5</v>
      </c>
      <c r="J10" t="s">
        <v>189</v>
      </c>
      <c r="K10" t="s">
        <v>209</v>
      </c>
      <c r="L10">
        <v>2.2999999999999998</v>
      </c>
      <c r="M10">
        <v>2.1</v>
      </c>
      <c r="N10" t="s">
        <v>189</v>
      </c>
      <c r="R10" s="45">
        <v>40998</v>
      </c>
      <c r="S10" s="46">
        <f>IF(C10="","",IF(C10="dry",LOOKUP($B10,$B$74:$B$83,C$74:C$83),C10-LOOKUP($B10,$B$48:$B$57,C$48:C$57)))</f>
        <v>0.10000000000000009</v>
      </c>
      <c r="T10" s="46">
        <f>IF(D10="","",IF(D10="dry",LOOKUP($B10,$B$74:$B$83,D$74:D$83),D10-LOOKUP($B10,$B$48:$B$57,D$48:D$57)))</f>
        <v>3.15</v>
      </c>
      <c r="U10" s="46">
        <f>IF(E10="","",IF(E10="dry",LOOKUP($B10,$B$74:$B$83,E$74:E$83),E10-LOOKUP($B10,$B$48:$B$57,E$48:E$57)))</f>
        <v>5.1999999999999993</v>
      </c>
      <c r="V10" s="46">
        <f t="shared" si="1"/>
        <v>3.5999999999999996</v>
      </c>
      <c r="W10" s="46">
        <f t="shared" si="1"/>
        <v>0.40000000000000013</v>
      </c>
      <c r="X10" s="46" t="e">
        <f t="shared" si="1"/>
        <v>#N/A</v>
      </c>
      <c r="Y10" s="46">
        <f t="shared" si="1"/>
        <v>3.3</v>
      </c>
      <c r="Z10" s="46">
        <f t="shared" si="1"/>
        <v>1.9999999999999998</v>
      </c>
      <c r="AA10" s="46" t="e">
        <f t="shared" si="1"/>
        <v>#VALUE!</v>
      </c>
      <c r="AB10" s="46">
        <f t="shared" si="1"/>
        <v>0.79999999999999982</v>
      </c>
      <c r="AC10" s="46">
        <f t="shared" si="1"/>
        <v>0.45000000000000018</v>
      </c>
      <c r="AD10" s="46">
        <f t="shared" si="1"/>
        <v>2.1</v>
      </c>
      <c r="AF10" s="45">
        <v>40998</v>
      </c>
      <c r="AG10">
        <f t="shared" si="2"/>
        <v>3.8000000000000003</v>
      </c>
      <c r="AH10" t="e">
        <f t="shared" si="3"/>
        <v>#N/A</v>
      </c>
      <c r="AI10">
        <f t="shared" si="4"/>
        <v>0</v>
      </c>
      <c r="AJ10">
        <f t="shared" si="5"/>
        <v>0</v>
      </c>
      <c r="AK10" t="e">
        <f t="shared" si="6"/>
        <v>#N/A</v>
      </c>
      <c r="AL10" t="e">
        <f t="shared" si="7"/>
        <v>#N/A</v>
      </c>
      <c r="AM10" t="e">
        <f t="shared" si="8"/>
        <v>#N/A</v>
      </c>
      <c r="AN10">
        <f t="shared" si="9"/>
        <v>0</v>
      </c>
      <c r="AO10" t="e">
        <f t="shared" si="10"/>
        <v>#VALUE!</v>
      </c>
      <c r="AP10" t="e">
        <f t="shared" si="11"/>
        <v>#N/A</v>
      </c>
      <c r="AQ10">
        <f t="shared" si="12"/>
        <v>4.7</v>
      </c>
      <c r="AR10">
        <f t="shared" si="13"/>
        <v>0</v>
      </c>
    </row>
    <row r="11" spans="2:44">
      <c r="B11" s="1">
        <v>41005</v>
      </c>
      <c r="C11">
        <v>1</v>
      </c>
      <c r="D11">
        <v>4.0999999999999996</v>
      </c>
      <c r="E11" t="s">
        <v>189</v>
      </c>
      <c r="F11" t="s">
        <v>189</v>
      </c>
      <c r="G11">
        <v>2.2000000000000002</v>
      </c>
      <c r="H11">
        <v>3.9</v>
      </c>
      <c r="I11">
        <v>6.2</v>
      </c>
      <c r="J11" t="s">
        <v>189</v>
      </c>
      <c r="K11" t="s">
        <v>209</v>
      </c>
      <c r="L11">
        <v>3.1</v>
      </c>
      <c r="M11">
        <v>2.2999999999999998</v>
      </c>
      <c r="N11">
        <v>3.3</v>
      </c>
      <c r="R11" s="45">
        <v>41005</v>
      </c>
      <c r="S11" s="46">
        <f t="shared" ref="S11:AD38" si="14">IF(C11="","",IF(C11="dry",LOOKUP($B11,$B$74:$B$83,C$74:C$83),C11-LOOKUP($B11,$B$48:$B$57,C$48:C$57)))</f>
        <v>0</v>
      </c>
      <c r="T11" s="46">
        <f t="shared" si="14"/>
        <v>3.3499999999999996</v>
      </c>
      <c r="U11" s="46">
        <f t="shared" si="14"/>
        <v>5.1999999999999993</v>
      </c>
      <c r="V11" s="46">
        <f t="shared" si="1"/>
        <v>3.5999999999999996</v>
      </c>
      <c r="W11" s="46">
        <f t="shared" si="1"/>
        <v>1.0000000000000002</v>
      </c>
      <c r="X11" s="46">
        <f t="shared" si="1"/>
        <v>2.25</v>
      </c>
      <c r="Y11" s="46">
        <f t="shared" si="1"/>
        <v>4.5</v>
      </c>
      <c r="Z11" s="46">
        <f t="shared" si="1"/>
        <v>1.9999999999999998</v>
      </c>
      <c r="AA11" s="46" t="e">
        <f t="shared" si="1"/>
        <v>#VALUE!</v>
      </c>
      <c r="AB11" s="46">
        <f t="shared" si="1"/>
        <v>1.6</v>
      </c>
      <c r="AC11" s="46">
        <f t="shared" si="1"/>
        <v>0.49999999999999978</v>
      </c>
      <c r="AD11" s="46">
        <f t="shared" si="1"/>
        <v>1.9</v>
      </c>
      <c r="AF11" s="45">
        <v>41005</v>
      </c>
      <c r="AG11">
        <f t="shared" si="2"/>
        <v>3.9000000000000004</v>
      </c>
      <c r="AH11" t="e">
        <f t="shared" si="3"/>
        <v>#N/A</v>
      </c>
      <c r="AI11">
        <f t="shared" si="4"/>
        <v>0</v>
      </c>
      <c r="AJ11">
        <f t="shared" si="5"/>
        <v>0</v>
      </c>
      <c r="AK11" t="e">
        <f t="shared" si="6"/>
        <v>#N/A</v>
      </c>
      <c r="AL11" t="e">
        <f t="shared" si="7"/>
        <v>#N/A</v>
      </c>
      <c r="AM11" t="e">
        <f t="shared" si="8"/>
        <v>#N/A</v>
      </c>
      <c r="AN11">
        <f t="shared" si="9"/>
        <v>0</v>
      </c>
      <c r="AO11" t="e">
        <f t="shared" si="10"/>
        <v>#VALUE!</v>
      </c>
      <c r="AP11" t="e">
        <f t="shared" si="11"/>
        <v>#N/A</v>
      </c>
      <c r="AQ11">
        <f t="shared" si="12"/>
        <v>4.5</v>
      </c>
      <c r="AR11">
        <f t="shared" si="13"/>
        <v>0.20000000000000018</v>
      </c>
    </row>
    <row r="12" spans="2:44">
      <c r="B12" s="1">
        <v>41060</v>
      </c>
      <c r="C12">
        <f>32/12</f>
        <v>2.6666666666666665</v>
      </c>
      <c r="D12" t="s">
        <v>189</v>
      </c>
      <c r="E12" t="s">
        <v>189</v>
      </c>
      <c r="F12" t="s">
        <v>189</v>
      </c>
      <c r="G12" t="s">
        <v>209</v>
      </c>
      <c r="H12" t="s">
        <v>189</v>
      </c>
      <c r="I12" t="s">
        <v>189</v>
      </c>
      <c r="J12" t="s">
        <v>189</v>
      </c>
      <c r="K12" t="s">
        <v>209</v>
      </c>
      <c r="L12" t="s">
        <v>189</v>
      </c>
      <c r="M12">
        <f>50/12</f>
        <v>4.166666666666667</v>
      </c>
      <c r="N12" t="s">
        <v>189</v>
      </c>
      <c r="R12" s="45">
        <v>41060</v>
      </c>
      <c r="S12" s="46">
        <f t="shared" si="14"/>
        <v>1.6666666666666665</v>
      </c>
      <c r="T12" s="46" t="e">
        <f t="shared" si="14"/>
        <v>#N/A</v>
      </c>
      <c r="U12" s="46">
        <f t="shared" si="14"/>
        <v>5.1999999999999993</v>
      </c>
      <c r="V12" s="46">
        <f t="shared" si="1"/>
        <v>3.5999999999999996</v>
      </c>
      <c r="W12" s="46" t="e">
        <f t="shared" si="1"/>
        <v>#VALUE!</v>
      </c>
      <c r="X12" s="46" t="e">
        <f t="shared" si="1"/>
        <v>#N/A</v>
      </c>
      <c r="Y12" s="46" t="e">
        <f t="shared" si="1"/>
        <v>#N/A</v>
      </c>
      <c r="Z12" s="46">
        <f t="shared" si="1"/>
        <v>1.9999999999999998</v>
      </c>
      <c r="AA12" s="46" t="e">
        <f t="shared" si="1"/>
        <v>#VALUE!</v>
      </c>
      <c r="AB12" s="46" t="e">
        <f t="shared" si="1"/>
        <v>#N/A</v>
      </c>
      <c r="AC12" s="46">
        <f t="shared" si="1"/>
        <v>2.3666666666666671</v>
      </c>
      <c r="AD12" s="46">
        <f t="shared" si="1"/>
        <v>2.1</v>
      </c>
      <c r="AF12" s="45">
        <v>41060</v>
      </c>
      <c r="AG12">
        <f t="shared" si="2"/>
        <v>2.2333333333333338</v>
      </c>
      <c r="AH12" t="e">
        <f t="shared" si="3"/>
        <v>#N/A</v>
      </c>
      <c r="AI12">
        <f t="shared" si="4"/>
        <v>0</v>
      </c>
      <c r="AJ12">
        <f t="shared" si="5"/>
        <v>0</v>
      </c>
      <c r="AK12" t="e">
        <f t="shared" si="6"/>
        <v>#VALUE!</v>
      </c>
      <c r="AL12" t="e">
        <f t="shared" si="7"/>
        <v>#N/A</v>
      </c>
      <c r="AM12" t="e">
        <f t="shared" si="8"/>
        <v>#N/A</v>
      </c>
      <c r="AN12">
        <f t="shared" si="9"/>
        <v>0</v>
      </c>
      <c r="AO12" t="e">
        <f t="shared" si="10"/>
        <v>#VALUE!</v>
      </c>
      <c r="AP12" t="e">
        <f t="shared" si="11"/>
        <v>#N/A</v>
      </c>
      <c r="AQ12">
        <f t="shared" si="12"/>
        <v>2.6333333333333329</v>
      </c>
      <c r="AR12">
        <f t="shared" si="13"/>
        <v>0</v>
      </c>
    </row>
    <row r="13" spans="2:44">
      <c r="B13" s="1">
        <v>41064</v>
      </c>
      <c r="C13">
        <v>2.8</v>
      </c>
      <c r="D13" t="s">
        <v>189</v>
      </c>
      <c r="E13" t="s">
        <v>189</v>
      </c>
      <c r="F13" t="s">
        <v>189</v>
      </c>
      <c r="G13" t="s">
        <v>209</v>
      </c>
      <c r="H13" t="s">
        <v>189</v>
      </c>
      <c r="I13" t="s">
        <v>189</v>
      </c>
      <c r="J13" t="s">
        <v>189</v>
      </c>
      <c r="L13" t="s">
        <v>189</v>
      </c>
      <c r="M13">
        <v>2.5</v>
      </c>
      <c r="N13" t="s">
        <v>189</v>
      </c>
      <c r="O13" t="s">
        <v>189</v>
      </c>
      <c r="P13" t="s">
        <v>189</v>
      </c>
      <c r="R13" s="45">
        <v>41064</v>
      </c>
      <c r="S13" s="46">
        <f t="shared" si="14"/>
        <v>1.7999999999999998</v>
      </c>
      <c r="T13" s="46" t="e">
        <f t="shared" si="14"/>
        <v>#N/A</v>
      </c>
      <c r="U13" s="46">
        <f t="shared" si="14"/>
        <v>5.1999999999999993</v>
      </c>
      <c r="V13" s="46">
        <f t="shared" si="1"/>
        <v>3.5999999999999996</v>
      </c>
      <c r="W13" s="46" t="e">
        <f t="shared" si="1"/>
        <v>#VALUE!</v>
      </c>
      <c r="X13" s="46" t="e">
        <f t="shared" si="1"/>
        <v>#N/A</v>
      </c>
      <c r="Y13" s="46" t="e">
        <f t="shared" si="1"/>
        <v>#N/A</v>
      </c>
      <c r="Z13" s="46">
        <f t="shared" si="1"/>
        <v>1.9999999999999998</v>
      </c>
      <c r="AA13" s="46" t="str">
        <f t="shared" si="1"/>
        <v/>
      </c>
      <c r="AB13" s="46" t="e">
        <f t="shared" si="1"/>
        <v>#N/A</v>
      </c>
      <c r="AC13" s="7">
        <f t="shared" si="1"/>
        <v>0.7</v>
      </c>
      <c r="AD13" s="46">
        <f t="shared" si="1"/>
        <v>2.1</v>
      </c>
      <c r="AF13" s="45">
        <v>41064</v>
      </c>
      <c r="AG13">
        <f t="shared" si="2"/>
        <v>2.1000000000000005</v>
      </c>
      <c r="AH13" t="e">
        <f t="shared" si="3"/>
        <v>#N/A</v>
      </c>
      <c r="AI13">
        <f t="shared" si="4"/>
        <v>0</v>
      </c>
      <c r="AJ13">
        <f t="shared" si="5"/>
        <v>0</v>
      </c>
      <c r="AK13" t="e">
        <f t="shared" si="6"/>
        <v>#VALUE!</v>
      </c>
      <c r="AL13" t="e">
        <f t="shared" si="7"/>
        <v>#N/A</v>
      </c>
      <c r="AM13" t="e">
        <f t="shared" si="8"/>
        <v>#N/A</v>
      </c>
      <c r="AN13">
        <f t="shared" si="9"/>
        <v>0</v>
      </c>
      <c r="AO13" t="str">
        <f t="shared" si="10"/>
        <v/>
      </c>
      <c r="AP13" t="e">
        <f t="shared" si="11"/>
        <v>#N/A</v>
      </c>
      <c r="AQ13">
        <f t="shared" si="12"/>
        <v>4.3</v>
      </c>
      <c r="AR13">
        <f t="shared" si="13"/>
        <v>0</v>
      </c>
    </row>
    <row r="14" spans="2:44">
      <c r="B14" s="1">
        <v>41065.444444444445</v>
      </c>
      <c r="C14">
        <f>91/(2.54*12)</f>
        <v>2.9855643044619424</v>
      </c>
      <c r="D14" t="s">
        <v>189</v>
      </c>
      <c r="E14" t="s">
        <v>189</v>
      </c>
      <c r="F14" t="s">
        <v>189</v>
      </c>
      <c r="G14" t="s">
        <v>209</v>
      </c>
      <c r="H14" t="s">
        <v>189</v>
      </c>
      <c r="R14" s="45">
        <v>41065.444444444445</v>
      </c>
      <c r="S14" s="46">
        <f t="shared" si="14"/>
        <v>1.9855643044619424</v>
      </c>
      <c r="T14" s="46" t="e">
        <f t="shared" si="14"/>
        <v>#N/A</v>
      </c>
      <c r="U14" s="46">
        <f t="shared" si="14"/>
        <v>5.1999999999999993</v>
      </c>
      <c r="V14" s="46">
        <f t="shared" si="1"/>
        <v>3.5999999999999996</v>
      </c>
      <c r="W14" s="46" t="e">
        <f t="shared" si="1"/>
        <v>#VALUE!</v>
      </c>
      <c r="X14" s="46" t="e">
        <f t="shared" si="1"/>
        <v>#N/A</v>
      </c>
      <c r="Y14" s="46" t="str">
        <f t="shared" si="1"/>
        <v/>
      </c>
      <c r="Z14" s="46" t="str">
        <f t="shared" si="1"/>
        <v/>
      </c>
      <c r="AA14" s="46" t="str">
        <f t="shared" si="1"/>
        <v/>
      </c>
      <c r="AB14" s="46" t="str">
        <f t="shared" si="1"/>
        <v/>
      </c>
      <c r="AC14" s="46" t="str">
        <f t="shared" si="1"/>
        <v/>
      </c>
      <c r="AD14" s="46" t="str">
        <f t="shared" si="1"/>
        <v/>
      </c>
      <c r="AF14" s="45">
        <v>41065.444444444445</v>
      </c>
      <c r="AG14">
        <f t="shared" si="2"/>
        <v>1.9144356955380579</v>
      </c>
      <c r="AH14" t="e">
        <f t="shared" si="3"/>
        <v>#N/A</v>
      </c>
      <c r="AI14">
        <f t="shared" si="4"/>
        <v>0</v>
      </c>
      <c r="AJ14">
        <f t="shared" si="5"/>
        <v>0</v>
      </c>
      <c r="AK14" t="e">
        <f t="shared" si="6"/>
        <v>#VALUE!</v>
      </c>
      <c r="AL14" t="e">
        <f t="shared" si="7"/>
        <v>#N/A</v>
      </c>
      <c r="AM14" t="str">
        <f t="shared" si="8"/>
        <v/>
      </c>
      <c r="AN14" t="str">
        <f t="shared" si="9"/>
        <v/>
      </c>
      <c r="AO14" t="str">
        <f t="shared" si="10"/>
        <v/>
      </c>
      <c r="AP14" t="str">
        <f t="shared" si="11"/>
        <v/>
      </c>
      <c r="AQ14" t="str">
        <f t="shared" si="12"/>
        <v/>
      </c>
      <c r="AR14" t="str">
        <f t="shared" si="13"/>
        <v/>
      </c>
    </row>
    <row r="15" spans="2:44">
      <c r="B15" s="1">
        <v>41072</v>
      </c>
      <c r="I15" t="s">
        <v>189</v>
      </c>
      <c r="J15" t="s">
        <v>189</v>
      </c>
      <c r="L15" t="s">
        <v>189</v>
      </c>
      <c r="M15">
        <f>140/(2.54*12)</f>
        <v>4.5931758530183728</v>
      </c>
      <c r="N15" t="s">
        <v>189</v>
      </c>
      <c r="O15" t="s">
        <v>189</v>
      </c>
      <c r="R15" s="45">
        <v>41072</v>
      </c>
      <c r="S15" s="46" t="str">
        <f t="shared" si="14"/>
        <v/>
      </c>
      <c r="T15" s="46" t="str">
        <f t="shared" si="14"/>
        <v/>
      </c>
      <c r="U15" s="46" t="str">
        <f t="shared" si="14"/>
        <v/>
      </c>
      <c r="V15" s="46" t="str">
        <f t="shared" si="1"/>
        <v/>
      </c>
      <c r="W15" s="46" t="str">
        <f t="shared" si="1"/>
        <v/>
      </c>
      <c r="X15" s="46" t="str">
        <f t="shared" si="1"/>
        <v/>
      </c>
      <c r="Y15" s="46" t="e">
        <f t="shared" si="1"/>
        <v>#N/A</v>
      </c>
      <c r="Z15" s="46">
        <f t="shared" si="1"/>
        <v>1.9999999999999998</v>
      </c>
      <c r="AA15" s="46" t="str">
        <f t="shared" si="1"/>
        <v/>
      </c>
      <c r="AB15" s="46" t="e">
        <f t="shared" si="1"/>
        <v>#N/A</v>
      </c>
      <c r="AC15" s="46">
        <f t="shared" si="1"/>
        <v>2.793175853018373</v>
      </c>
      <c r="AD15" s="46">
        <f t="shared" si="1"/>
        <v>2.1</v>
      </c>
      <c r="AF15" s="45">
        <v>41072</v>
      </c>
      <c r="AG15" t="str">
        <f t="shared" si="2"/>
        <v/>
      </c>
      <c r="AH15" t="str">
        <f t="shared" si="3"/>
        <v/>
      </c>
      <c r="AI15" t="str">
        <f t="shared" si="4"/>
        <v/>
      </c>
      <c r="AJ15" t="str">
        <f t="shared" si="5"/>
        <v/>
      </c>
      <c r="AK15" t="str">
        <f t="shared" si="6"/>
        <v/>
      </c>
      <c r="AL15" t="str">
        <f t="shared" si="7"/>
        <v/>
      </c>
      <c r="AM15" t="e">
        <f t="shared" si="8"/>
        <v>#N/A</v>
      </c>
      <c r="AN15">
        <f t="shared" si="9"/>
        <v>0</v>
      </c>
      <c r="AO15" t="str">
        <f t="shared" si="10"/>
        <v/>
      </c>
      <c r="AP15" t="e">
        <f t="shared" si="11"/>
        <v>#N/A</v>
      </c>
      <c r="AQ15">
        <f t="shared" si="12"/>
        <v>2.206824146981627</v>
      </c>
      <c r="AR15">
        <f t="shared" si="13"/>
        <v>0</v>
      </c>
    </row>
    <row r="16" spans="2:44">
      <c r="B16" s="1">
        <v>41074</v>
      </c>
      <c r="C16">
        <f>99/2.54/12</f>
        <v>3.2480314960629921</v>
      </c>
      <c r="D16" t="s">
        <v>189</v>
      </c>
      <c r="E16" t="s">
        <v>189</v>
      </c>
      <c r="F16" t="s">
        <v>189</v>
      </c>
      <c r="H16" t="s">
        <v>189</v>
      </c>
      <c r="I16" t="s">
        <v>189</v>
      </c>
      <c r="J16" t="s">
        <v>189</v>
      </c>
      <c r="L16" t="s">
        <v>189</v>
      </c>
      <c r="M16">
        <f>142/12/2.54</f>
        <v>4.6587926509186355</v>
      </c>
      <c r="N16" t="s">
        <v>189</v>
      </c>
      <c r="O16" t="s">
        <v>189</v>
      </c>
      <c r="P16" t="s">
        <v>189</v>
      </c>
      <c r="R16" s="45">
        <v>41074</v>
      </c>
      <c r="S16" s="46">
        <f t="shared" si="14"/>
        <v>2.2480314960629921</v>
      </c>
      <c r="T16" s="46" t="e">
        <f t="shared" si="14"/>
        <v>#N/A</v>
      </c>
      <c r="U16" s="46">
        <f t="shared" si="14"/>
        <v>5.1999999999999993</v>
      </c>
      <c r="V16" s="46">
        <f t="shared" si="1"/>
        <v>3.5999999999999996</v>
      </c>
      <c r="W16" s="46" t="str">
        <f t="shared" si="1"/>
        <v/>
      </c>
      <c r="X16" s="46" t="e">
        <f t="shared" si="1"/>
        <v>#N/A</v>
      </c>
      <c r="Y16" s="46" t="e">
        <f t="shared" si="1"/>
        <v>#N/A</v>
      </c>
      <c r="Z16" s="46">
        <f t="shared" si="1"/>
        <v>1.9999999999999998</v>
      </c>
      <c r="AA16" s="46" t="str">
        <f t="shared" si="1"/>
        <v/>
      </c>
      <c r="AB16" s="46" t="e">
        <f t="shared" si="1"/>
        <v>#N/A</v>
      </c>
      <c r="AC16" s="46">
        <f t="shared" si="1"/>
        <v>2.9199475065616802</v>
      </c>
      <c r="AD16" s="46">
        <f t="shared" si="1"/>
        <v>2.1</v>
      </c>
      <c r="AF16" s="45">
        <v>41074</v>
      </c>
      <c r="AG16">
        <f t="shared" si="2"/>
        <v>1.6519685039370082</v>
      </c>
      <c r="AH16" t="e">
        <f t="shared" si="3"/>
        <v>#N/A</v>
      </c>
      <c r="AI16">
        <f t="shared" si="4"/>
        <v>0</v>
      </c>
      <c r="AJ16">
        <f t="shared" si="5"/>
        <v>0</v>
      </c>
      <c r="AK16" t="str">
        <f t="shared" si="6"/>
        <v/>
      </c>
      <c r="AL16" t="e">
        <f t="shared" si="7"/>
        <v>#N/A</v>
      </c>
      <c r="AM16" t="e">
        <f t="shared" si="8"/>
        <v>#N/A</v>
      </c>
      <c r="AN16">
        <f t="shared" si="9"/>
        <v>0</v>
      </c>
      <c r="AO16" t="str">
        <f t="shared" si="10"/>
        <v/>
      </c>
      <c r="AP16" t="e">
        <f t="shared" si="11"/>
        <v>#N/A</v>
      </c>
      <c r="AQ16">
        <f t="shared" si="12"/>
        <v>2.1412073490813643</v>
      </c>
      <c r="AR16">
        <f t="shared" si="13"/>
        <v>0</v>
      </c>
    </row>
    <row r="17" spans="2:44">
      <c r="B17" s="1">
        <v>41080</v>
      </c>
      <c r="C17">
        <f>112/12/2.54</f>
        <v>3.6745406824146984</v>
      </c>
      <c r="D17" t="s">
        <v>189</v>
      </c>
      <c r="F17" t="s">
        <v>189</v>
      </c>
      <c r="H17" t="s">
        <v>189</v>
      </c>
      <c r="I17" t="s">
        <v>189</v>
      </c>
      <c r="J17" t="s">
        <v>189</v>
      </c>
      <c r="K17" t="s">
        <v>189</v>
      </c>
      <c r="L17" t="s">
        <v>189</v>
      </c>
      <c r="M17">
        <f>150/12/2.54</f>
        <v>4.9212598425196852</v>
      </c>
      <c r="N17" t="s">
        <v>189</v>
      </c>
      <c r="O17" t="s">
        <v>189</v>
      </c>
      <c r="R17" s="45">
        <v>41080</v>
      </c>
      <c r="S17" s="46">
        <f t="shared" si="14"/>
        <v>2.6745406824146984</v>
      </c>
      <c r="T17" s="46" t="e">
        <f t="shared" si="14"/>
        <v>#N/A</v>
      </c>
      <c r="U17" s="46" t="str">
        <f t="shared" si="14"/>
        <v/>
      </c>
      <c r="V17" s="46">
        <f t="shared" si="1"/>
        <v>3.5999999999999996</v>
      </c>
      <c r="W17" s="46" t="str">
        <f t="shared" si="1"/>
        <v/>
      </c>
      <c r="X17" s="46" t="e">
        <f t="shared" si="1"/>
        <v>#N/A</v>
      </c>
      <c r="Y17" s="46" t="e">
        <f t="shared" si="1"/>
        <v>#N/A</v>
      </c>
      <c r="Z17" s="46">
        <f t="shared" si="1"/>
        <v>1.9999999999999998</v>
      </c>
      <c r="AA17" s="46" t="e">
        <f t="shared" si="1"/>
        <v>#N/A</v>
      </c>
      <c r="AB17" s="46" t="e">
        <f t="shared" si="1"/>
        <v>#N/A</v>
      </c>
      <c r="AC17" s="46">
        <f t="shared" si="1"/>
        <v>3.1824146981627299</v>
      </c>
      <c r="AD17" s="46">
        <f t="shared" si="1"/>
        <v>2.1</v>
      </c>
      <c r="AF17" s="45">
        <v>41080</v>
      </c>
      <c r="AG17">
        <f t="shared" si="2"/>
        <v>1.2254593175853019</v>
      </c>
      <c r="AH17" t="e">
        <f t="shared" si="3"/>
        <v>#N/A</v>
      </c>
      <c r="AI17" t="str">
        <f t="shared" si="4"/>
        <v/>
      </c>
      <c r="AJ17">
        <f t="shared" si="5"/>
        <v>0</v>
      </c>
      <c r="AK17" t="str">
        <f t="shared" si="6"/>
        <v/>
      </c>
      <c r="AL17" t="e">
        <f t="shared" si="7"/>
        <v>#N/A</v>
      </c>
      <c r="AM17" t="e">
        <f t="shared" si="8"/>
        <v>#N/A</v>
      </c>
      <c r="AN17">
        <f t="shared" si="9"/>
        <v>0</v>
      </c>
      <c r="AO17" t="e">
        <f t="shared" si="10"/>
        <v>#N/A</v>
      </c>
      <c r="AP17" t="e">
        <f t="shared" si="11"/>
        <v>#N/A</v>
      </c>
      <c r="AQ17">
        <f t="shared" si="12"/>
        <v>1.8787401574803146</v>
      </c>
      <c r="AR17">
        <f t="shared" si="13"/>
        <v>0</v>
      </c>
    </row>
    <row r="18" spans="2:44">
      <c r="B18" s="47">
        <v>41089.337500000001</v>
      </c>
      <c r="C18">
        <f>137/12/2.54</f>
        <v>4.4947506561679784</v>
      </c>
      <c r="D18" t="s">
        <v>189</v>
      </c>
      <c r="E18" t="s">
        <v>189</v>
      </c>
      <c r="F18" t="s">
        <v>189</v>
      </c>
      <c r="H18" t="s">
        <v>189</v>
      </c>
      <c r="I18" t="s">
        <v>189</v>
      </c>
      <c r="J18" t="s">
        <v>189</v>
      </c>
      <c r="K18" t="s">
        <v>189</v>
      </c>
      <c r="L18" t="s">
        <v>189</v>
      </c>
      <c r="M18">
        <f>167/2.54/12</f>
        <v>5.4790026246719163</v>
      </c>
      <c r="N18" t="s">
        <v>189</v>
      </c>
      <c r="R18" s="45">
        <v>41089</v>
      </c>
      <c r="S18" s="46">
        <f t="shared" si="14"/>
        <v>3.4947506561679784</v>
      </c>
      <c r="T18" s="46" t="e">
        <f t="shared" si="14"/>
        <v>#N/A</v>
      </c>
      <c r="U18" s="46">
        <f t="shared" si="14"/>
        <v>5.1999999999999993</v>
      </c>
      <c r="V18" s="46">
        <f t="shared" si="1"/>
        <v>3.5999999999999996</v>
      </c>
      <c r="W18" s="46" t="str">
        <f t="shared" si="1"/>
        <v/>
      </c>
      <c r="X18" s="46" t="e">
        <f t="shared" si="1"/>
        <v>#N/A</v>
      </c>
      <c r="Y18" s="46" t="e">
        <f t="shared" si="1"/>
        <v>#N/A</v>
      </c>
      <c r="Z18" s="46">
        <f t="shared" si="1"/>
        <v>1.9999999999999998</v>
      </c>
      <c r="AA18" s="46" t="e">
        <f t="shared" si="1"/>
        <v>#N/A</v>
      </c>
      <c r="AB18" s="46" t="e">
        <f t="shared" si="1"/>
        <v>#N/A</v>
      </c>
      <c r="AC18" s="46">
        <f t="shared" si="1"/>
        <v>3.7401574803149611</v>
      </c>
      <c r="AD18" s="46">
        <f t="shared" si="1"/>
        <v>2.1</v>
      </c>
      <c r="AF18" s="45">
        <v>41089</v>
      </c>
      <c r="AG18">
        <f t="shared" si="2"/>
        <v>0.40524934383202194</v>
      </c>
      <c r="AH18" t="e">
        <f t="shared" si="3"/>
        <v>#N/A</v>
      </c>
      <c r="AI18">
        <f t="shared" si="4"/>
        <v>0</v>
      </c>
      <c r="AJ18">
        <f t="shared" si="5"/>
        <v>0</v>
      </c>
      <c r="AK18" t="str">
        <f t="shared" si="6"/>
        <v/>
      </c>
      <c r="AL18" t="e">
        <f t="shared" si="7"/>
        <v>#N/A</v>
      </c>
      <c r="AM18" t="e">
        <f t="shared" si="8"/>
        <v>#N/A</v>
      </c>
      <c r="AN18">
        <f t="shared" si="9"/>
        <v>0</v>
      </c>
      <c r="AO18" t="e">
        <f t="shared" si="10"/>
        <v>#N/A</v>
      </c>
      <c r="AP18" t="e">
        <f t="shared" si="11"/>
        <v>#N/A</v>
      </c>
      <c r="AQ18">
        <f t="shared" si="12"/>
        <v>1.3209973753280835</v>
      </c>
      <c r="AR18">
        <f t="shared" si="13"/>
        <v>0</v>
      </c>
    </row>
    <row r="19" spans="2:44">
      <c r="B19" s="47">
        <v>41092.604166666664</v>
      </c>
      <c r="C19">
        <f>131/2.54/12</f>
        <v>4.2979002624671914</v>
      </c>
      <c r="D19" t="s">
        <v>189</v>
      </c>
      <c r="E19" t="s">
        <v>189</v>
      </c>
      <c r="F19" t="s">
        <v>189</v>
      </c>
      <c r="G19" t="s">
        <v>189</v>
      </c>
      <c r="H19" t="s">
        <v>189</v>
      </c>
      <c r="I19" t="s">
        <v>189</v>
      </c>
      <c r="J19" t="s">
        <v>189</v>
      </c>
      <c r="K19" t="s">
        <v>189</v>
      </c>
      <c r="L19" t="s">
        <v>189</v>
      </c>
      <c r="M19">
        <f>167/2.54/12</f>
        <v>5.4790026246719163</v>
      </c>
      <c r="N19" t="s">
        <v>189</v>
      </c>
      <c r="O19" t="s">
        <v>189</v>
      </c>
      <c r="P19" t="s">
        <v>189</v>
      </c>
      <c r="R19" s="45">
        <v>41092</v>
      </c>
      <c r="S19" s="46">
        <f t="shared" si="14"/>
        <v>3.2979002624671914</v>
      </c>
      <c r="T19" s="46" t="e">
        <f t="shared" si="14"/>
        <v>#N/A</v>
      </c>
      <c r="U19" s="46">
        <f t="shared" si="14"/>
        <v>5.1999999999999993</v>
      </c>
      <c r="V19" s="46">
        <f t="shared" si="14"/>
        <v>3.5999999999999996</v>
      </c>
      <c r="W19" s="46" t="e">
        <f t="shared" si="14"/>
        <v>#N/A</v>
      </c>
      <c r="X19" s="46" t="e">
        <f t="shared" si="14"/>
        <v>#N/A</v>
      </c>
      <c r="Y19" s="46" t="e">
        <f t="shared" si="14"/>
        <v>#N/A</v>
      </c>
      <c r="Z19" s="46">
        <f t="shared" si="14"/>
        <v>1.9999999999999998</v>
      </c>
      <c r="AA19" s="46" t="e">
        <f t="shared" si="14"/>
        <v>#N/A</v>
      </c>
      <c r="AB19" s="46" t="e">
        <f t="shared" si="14"/>
        <v>#N/A</v>
      </c>
      <c r="AC19" s="46">
        <f t="shared" si="14"/>
        <v>3.7401574803149611</v>
      </c>
      <c r="AD19" s="46">
        <f t="shared" si="14"/>
        <v>2.1</v>
      </c>
      <c r="AF19" s="45">
        <v>41092</v>
      </c>
      <c r="AG19">
        <f t="shared" si="2"/>
        <v>0.60209973753280899</v>
      </c>
      <c r="AH19" t="e">
        <f t="shared" si="3"/>
        <v>#N/A</v>
      </c>
      <c r="AI19">
        <f t="shared" si="4"/>
        <v>0</v>
      </c>
      <c r="AJ19">
        <f t="shared" si="5"/>
        <v>0</v>
      </c>
      <c r="AK19" t="e">
        <f t="shared" si="6"/>
        <v>#N/A</v>
      </c>
      <c r="AL19" t="e">
        <f t="shared" si="7"/>
        <v>#N/A</v>
      </c>
      <c r="AM19" t="e">
        <f t="shared" si="8"/>
        <v>#N/A</v>
      </c>
      <c r="AN19">
        <f t="shared" si="9"/>
        <v>0</v>
      </c>
      <c r="AO19" t="e">
        <f t="shared" si="10"/>
        <v>#N/A</v>
      </c>
      <c r="AP19" t="e">
        <f t="shared" si="11"/>
        <v>#N/A</v>
      </c>
      <c r="AQ19">
        <f t="shared" si="12"/>
        <v>1.3209973753280835</v>
      </c>
      <c r="AR19">
        <f t="shared" si="13"/>
        <v>0</v>
      </c>
    </row>
    <row r="20" spans="2:44">
      <c r="B20" s="1">
        <v>41138.299305555556</v>
      </c>
      <c r="C20" t="s">
        <v>189</v>
      </c>
      <c r="P20" t="s">
        <v>189</v>
      </c>
      <c r="R20" s="45">
        <v>41138.299305555556</v>
      </c>
      <c r="S20" s="46">
        <f t="shared" si="14"/>
        <v>2.9000000000000004</v>
      </c>
      <c r="T20" s="46" t="str">
        <f t="shared" si="14"/>
        <v/>
      </c>
      <c r="U20" s="46" t="str">
        <f t="shared" si="14"/>
        <v/>
      </c>
      <c r="V20" s="46" t="str">
        <f t="shared" si="14"/>
        <v/>
      </c>
      <c r="W20" s="46" t="str">
        <f t="shared" si="14"/>
        <v/>
      </c>
      <c r="X20" s="46" t="str">
        <f t="shared" si="14"/>
        <v/>
      </c>
      <c r="Y20" s="46" t="str">
        <f t="shared" si="14"/>
        <v/>
      </c>
      <c r="Z20" s="46" t="str">
        <f t="shared" si="14"/>
        <v/>
      </c>
      <c r="AA20" s="46" t="str">
        <f t="shared" si="14"/>
        <v/>
      </c>
      <c r="AB20" s="46" t="str">
        <f t="shared" si="14"/>
        <v/>
      </c>
      <c r="AC20" s="46" t="str">
        <f t="shared" si="14"/>
        <v/>
      </c>
      <c r="AD20" s="46" t="str">
        <f t="shared" si="14"/>
        <v/>
      </c>
      <c r="AF20" s="45">
        <v>41138.299305555556</v>
      </c>
      <c r="AG20">
        <f t="shared" si="2"/>
        <v>0</v>
      </c>
      <c r="AH20" t="str">
        <f t="shared" si="3"/>
        <v/>
      </c>
      <c r="AI20" t="str">
        <f t="shared" si="4"/>
        <v/>
      </c>
      <c r="AJ20" t="str">
        <f t="shared" si="5"/>
        <v/>
      </c>
      <c r="AK20" t="str">
        <f t="shared" si="6"/>
        <v/>
      </c>
      <c r="AL20" t="str">
        <f t="shared" si="7"/>
        <v/>
      </c>
      <c r="AM20" t="str">
        <f t="shared" si="8"/>
        <v/>
      </c>
      <c r="AN20" t="str">
        <f t="shared" si="9"/>
        <v/>
      </c>
      <c r="AO20" t="str">
        <f t="shared" si="10"/>
        <v/>
      </c>
      <c r="AP20" t="str">
        <f t="shared" si="11"/>
        <v/>
      </c>
      <c r="AQ20" t="str">
        <f t="shared" si="12"/>
        <v/>
      </c>
      <c r="AR20" t="str">
        <f t="shared" si="13"/>
        <v/>
      </c>
    </row>
    <row r="21" spans="2:44">
      <c r="B21" s="1">
        <v>41150</v>
      </c>
      <c r="C21" t="s">
        <v>189</v>
      </c>
      <c r="O21" t="s">
        <v>189</v>
      </c>
      <c r="R21" s="45">
        <v>41150</v>
      </c>
      <c r="S21" s="46">
        <f t="shared" si="14"/>
        <v>3.7800000000000002</v>
      </c>
      <c r="T21" s="46" t="str">
        <f t="shared" si="14"/>
        <v/>
      </c>
      <c r="U21" s="46" t="str">
        <f t="shared" si="14"/>
        <v/>
      </c>
      <c r="V21" s="46" t="str">
        <f t="shared" si="14"/>
        <v/>
      </c>
      <c r="W21" s="46" t="str">
        <f t="shared" si="14"/>
        <v/>
      </c>
      <c r="X21" s="46" t="str">
        <f t="shared" si="14"/>
        <v/>
      </c>
      <c r="Y21" s="46" t="str">
        <f t="shared" si="14"/>
        <v/>
      </c>
      <c r="Z21" s="46" t="str">
        <f t="shared" si="14"/>
        <v/>
      </c>
      <c r="AA21" s="46" t="str">
        <f t="shared" si="14"/>
        <v/>
      </c>
      <c r="AB21" s="46" t="str">
        <f t="shared" si="14"/>
        <v/>
      </c>
      <c r="AC21" s="46" t="str">
        <f t="shared" si="14"/>
        <v/>
      </c>
      <c r="AD21" s="46" t="str">
        <f t="shared" si="14"/>
        <v/>
      </c>
      <c r="AF21" s="45">
        <v>41150</v>
      </c>
      <c r="AG21">
        <f t="shared" si="2"/>
        <v>0</v>
      </c>
      <c r="AH21" t="str">
        <f t="shared" si="3"/>
        <v/>
      </c>
      <c r="AI21" t="str">
        <f t="shared" si="4"/>
        <v/>
      </c>
      <c r="AJ21" t="str">
        <f t="shared" si="5"/>
        <v/>
      </c>
      <c r="AK21" t="str">
        <f t="shared" si="6"/>
        <v/>
      </c>
      <c r="AL21" t="str">
        <f t="shared" si="7"/>
        <v/>
      </c>
      <c r="AM21" t="str">
        <f t="shared" si="8"/>
        <v/>
      </c>
      <c r="AN21" t="str">
        <f t="shared" si="9"/>
        <v/>
      </c>
      <c r="AO21" t="str">
        <f t="shared" si="10"/>
        <v/>
      </c>
      <c r="AP21" t="str">
        <f t="shared" si="11"/>
        <v/>
      </c>
      <c r="AQ21" t="str">
        <f t="shared" si="12"/>
        <v/>
      </c>
      <c r="AR21" t="str">
        <f t="shared" si="13"/>
        <v/>
      </c>
    </row>
    <row r="22" spans="2:44">
      <c r="B22" s="1">
        <v>41200</v>
      </c>
      <c r="C22" t="s">
        <v>189</v>
      </c>
      <c r="M22" t="s">
        <v>189</v>
      </c>
      <c r="N22" t="s">
        <v>189</v>
      </c>
      <c r="R22" s="45">
        <v>41200</v>
      </c>
      <c r="S22" s="46">
        <f t="shared" si="14"/>
        <v>3.7800000000000002</v>
      </c>
      <c r="T22" s="46" t="str">
        <f t="shared" si="14"/>
        <v/>
      </c>
      <c r="U22" s="46" t="str">
        <f t="shared" si="14"/>
        <v/>
      </c>
      <c r="V22" s="46" t="str">
        <f t="shared" si="14"/>
        <v/>
      </c>
      <c r="W22" s="46" t="str">
        <f t="shared" si="14"/>
        <v/>
      </c>
      <c r="X22" s="46" t="str">
        <f t="shared" si="14"/>
        <v/>
      </c>
      <c r="Y22" s="46" t="str">
        <f t="shared" si="14"/>
        <v/>
      </c>
      <c r="Z22" s="46" t="str">
        <f t="shared" si="14"/>
        <v/>
      </c>
      <c r="AA22" s="46" t="str">
        <f t="shared" si="14"/>
        <v/>
      </c>
      <c r="AB22" s="46" t="str">
        <f t="shared" si="14"/>
        <v/>
      </c>
      <c r="AC22" s="46">
        <f t="shared" si="14"/>
        <v>4.6999999999999993</v>
      </c>
      <c r="AD22" s="46">
        <f t="shared" si="14"/>
        <v>2.1</v>
      </c>
      <c r="AF22" s="45">
        <v>41200</v>
      </c>
      <c r="AG22">
        <f t="shared" si="2"/>
        <v>0</v>
      </c>
      <c r="AH22" t="str">
        <f t="shared" si="3"/>
        <v/>
      </c>
      <c r="AI22" t="str">
        <f t="shared" si="4"/>
        <v/>
      </c>
      <c r="AJ22" t="str">
        <f t="shared" si="5"/>
        <v/>
      </c>
      <c r="AK22" t="str">
        <f t="shared" si="6"/>
        <v/>
      </c>
      <c r="AL22" t="str">
        <f t="shared" si="7"/>
        <v/>
      </c>
      <c r="AM22" t="str">
        <f t="shared" si="8"/>
        <v/>
      </c>
      <c r="AN22" t="str">
        <f t="shared" si="9"/>
        <v/>
      </c>
      <c r="AO22" t="str">
        <f t="shared" si="10"/>
        <v/>
      </c>
      <c r="AP22" t="str">
        <f t="shared" si="11"/>
        <v/>
      </c>
      <c r="AQ22">
        <f t="shared" si="12"/>
        <v>0</v>
      </c>
      <c r="AR22">
        <f t="shared" si="13"/>
        <v>0</v>
      </c>
    </row>
    <row r="23" spans="2:44">
      <c r="B23" s="1">
        <v>41263</v>
      </c>
      <c r="C23" t="s">
        <v>189</v>
      </c>
      <c r="R23" s="45">
        <v>41263</v>
      </c>
      <c r="S23" s="46">
        <f t="shared" si="14"/>
        <v>3.7800000000000002</v>
      </c>
      <c r="T23" s="46" t="str">
        <f t="shared" si="14"/>
        <v/>
      </c>
      <c r="U23" s="46" t="str">
        <f t="shared" si="14"/>
        <v/>
      </c>
      <c r="V23" s="46" t="str">
        <f t="shared" si="14"/>
        <v/>
      </c>
      <c r="W23" s="46" t="str">
        <f t="shared" si="14"/>
        <v/>
      </c>
      <c r="X23" s="46" t="str">
        <f t="shared" si="14"/>
        <v/>
      </c>
      <c r="Y23" s="46" t="str">
        <f t="shared" si="14"/>
        <v/>
      </c>
      <c r="Z23" s="46" t="str">
        <f t="shared" si="14"/>
        <v/>
      </c>
      <c r="AA23" s="46" t="str">
        <f t="shared" si="14"/>
        <v/>
      </c>
      <c r="AB23" s="46" t="str">
        <f t="shared" si="14"/>
        <v/>
      </c>
      <c r="AC23" s="46" t="str">
        <f t="shared" si="14"/>
        <v/>
      </c>
      <c r="AD23" s="46" t="str">
        <f t="shared" si="14"/>
        <v/>
      </c>
      <c r="AF23" s="45">
        <v>41263</v>
      </c>
      <c r="AG23">
        <f t="shared" si="2"/>
        <v>0</v>
      </c>
      <c r="AH23" t="str">
        <f t="shared" si="3"/>
        <v/>
      </c>
      <c r="AI23" t="str">
        <f t="shared" si="4"/>
        <v/>
      </c>
      <c r="AJ23" t="str">
        <f t="shared" si="5"/>
        <v/>
      </c>
      <c r="AK23" t="str">
        <f t="shared" si="6"/>
        <v/>
      </c>
      <c r="AL23" t="str">
        <f t="shared" si="7"/>
        <v/>
      </c>
      <c r="AM23" t="str">
        <f t="shared" si="8"/>
        <v/>
      </c>
      <c r="AN23" t="str">
        <f t="shared" si="9"/>
        <v/>
      </c>
      <c r="AO23" t="str">
        <f t="shared" si="10"/>
        <v/>
      </c>
      <c r="AP23" t="str">
        <f t="shared" si="11"/>
        <v/>
      </c>
      <c r="AQ23" t="str">
        <f t="shared" si="12"/>
        <v/>
      </c>
      <c r="AR23" t="str">
        <f t="shared" si="13"/>
        <v/>
      </c>
    </row>
    <row r="24" spans="2:44">
      <c r="B24" s="1">
        <v>41278</v>
      </c>
      <c r="C24" t="s">
        <v>189</v>
      </c>
      <c r="K24" t="s">
        <v>209</v>
      </c>
      <c r="M24" t="s">
        <v>189</v>
      </c>
      <c r="N24" t="s">
        <v>189</v>
      </c>
      <c r="O24" s="28" t="s">
        <v>210</v>
      </c>
      <c r="P24" t="s">
        <v>211</v>
      </c>
      <c r="R24" s="45">
        <v>41278</v>
      </c>
      <c r="S24" s="46">
        <f t="shared" si="14"/>
        <v>3.7800000000000002</v>
      </c>
      <c r="T24" s="46" t="str">
        <f t="shared" si="14"/>
        <v/>
      </c>
      <c r="U24" s="46" t="str">
        <f t="shared" si="14"/>
        <v/>
      </c>
      <c r="V24" s="46" t="str">
        <f t="shared" si="14"/>
        <v/>
      </c>
      <c r="W24" s="46" t="str">
        <f t="shared" si="14"/>
        <v/>
      </c>
      <c r="X24" s="46" t="str">
        <f t="shared" si="14"/>
        <v/>
      </c>
      <c r="Y24" s="46" t="str">
        <f t="shared" si="14"/>
        <v/>
      </c>
      <c r="Z24" s="46" t="str">
        <f t="shared" si="14"/>
        <v/>
      </c>
      <c r="AA24" s="46" t="e">
        <f t="shared" si="14"/>
        <v>#VALUE!</v>
      </c>
      <c r="AB24" s="46" t="str">
        <f t="shared" si="14"/>
        <v/>
      </c>
      <c r="AC24" s="46">
        <f t="shared" si="14"/>
        <v>4.6999999999999993</v>
      </c>
      <c r="AD24" s="46">
        <f t="shared" si="14"/>
        <v>2.1</v>
      </c>
      <c r="AF24" s="45">
        <v>41278</v>
      </c>
      <c r="AG24">
        <f t="shared" si="2"/>
        <v>0</v>
      </c>
      <c r="AH24" t="str">
        <f t="shared" si="3"/>
        <v/>
      </c>
      <c r="AI24" t="str">
        <f t="shared" si="4"/>
        <v/>
      </c>
      <c r="AJ24" t="str">
        <f t="shared" si="5"/>
        <v/>
      </c>
      <c r="AK24" t="str">
        <f t="shared" si="6"/>
        <v/>
      </c>
      <c r="AL24" t="str">
        <f t="shared" si="7"/>
        <v/>
      </c>
      <c r="AM24" t="str">
        <f t="shared" si="8"/>
        <v/>
      </c>
      <c r="AN24" t="str">
        <f t="shared" si="9"/>
        <v/>
      </c>
      <c r="AO24" t="e">
        <f t="shared" si="10"/>
        <v>#VALUE!</v>
      </c>
      <c r="AP24" t="str">
        <f t="shared" si="11"/>
        <v/>
      </c>
      <c r="AQ24">
        <f t="shared" si="12"/>
        <v>0</v>
      </c>
      <c r="AR24">
        <f t="shared" si="13"/>
        <v>0</v>
      </c>
    </row>
    <row r="25" spans="2:44">
      <c r="B25" s="1">
        <v>41284.597222222219</v>
      </c>
      <c r="C25">
        <v>3.8</v>
      </c>
      <c r="M25" t="s">
        <v>189</v>
      </c>
      <c r="R25" s="45">
        <v>41284.597222222219</v>
      </c>
      <c r="S25" s="46">
        <f t="shared" si="14"/>
        <v>2.6333333333333329</v>
      </c>
      <c r="T25" s="46" t="str">
        <f t="shared" si="14"/>
        <v/>
      </c>
      <c r="U25" s="46" t="str">
        <f t="shared" si="14"/>
        <v/>
      </c>
      <c r="V25" s="46" t="str">
        <f t="shared" si="14"/>
        <v/>
      </c>
      <c r="W25" s="46" t="str">
        <f t="shared" si="14"/>
        <v/>
      </c>
      <c r="X25" s="46" t="str">
        <f t="shared" si="14"/>
        <v/>
      </c>
      <c r="Y25" s="46" t="str">
        <f t="shared" si="14"/>
        <v/>
      </c>
      <c r="Z25" s="46" t="str">
        <f t="shared" si="14"/>
        <v/>
      </c>
      <c r="AA25" s="46" t="str">
        <f t="shared" si="14"/>
        <v/>
      </c>
      <c r="AB25" s="46" t="str">
        <f t="shared" si="14"/>
        <v/>
      </c>
      <c r="AC25" s="46">
        <f t="shared" si="14"/>
        <v>4.6999999999999993</v>
      </c>
      <c r="AD25" s="46" t="str">
        <f t="shared" si="14"/>
        <v/>
      </c>
      <c r="AF25" s="45">
        <v>41284.597222222219</v>
      </c>
      <c r="AG25">
        <f t="shared" si="2"/>
        <v>1.1000000000000005</v>
      </c>
      <c r="AH25" t="str">
        <f t="shared" si="3"/>
        <v/>
      </c>
      <c r="AI25" t="str">
        <f t="shared" si="4"/>
        <v/>
      </c>
      <c r="AJ25" t="str">
        <f t="shared" si="5"/>
        <v/>
      </c>
      <c r="AK25" t="str">
        <f t="shared" si="6"/>
        <v/>
      </c>
      <c r="AL25" t="str">
        <f t="shared" si="7"/>
        <v/>
      </c>
      <c r="AM25" t="str">
        <f t="shared" si="8"/>
        <v/>
      </c>
      <c r="AN25" t="str">
        <f t="shared" si="9"/>
        <v/>
      </c>
      <c r="AO25" t="str">
        <f t="shared" si="10"/>
        <v/>
      </c>
      <c r="AP25" t="str">
        <f t="shared" si="11"/>
        <v/>
      </c>
      <c r="AQ25">
        <f t="shared" si="12"/>
        <v>0</v>
      </c>
      <c r="AR25" t="str">
        <f t="shared" si="13"/>
        <v/>
      </c>
    </row>
    <row r="26" spans="2:44">
      <c r="B26" s="1">
        <v>41304</v>
      </c>
      <c r="C26">
        <v>3.95</v>
      </c>
      <c r="K26" t="s">
        <v>209</v>
      </c>
      <c r="M26" t="s">
        <v>189</v>
      </c>
      <c r="N26" t="s">
        <v>189</v>
      </c>
      <c r="O26" s="28" t="s">
        <v>212</v>
      </c>
      <c r="P26" t="s">
        <v>211</v>
      </c>
      <c r="R26" s="45">
        <v>41304</v>
      </c>
      <c r="S26" s="46">
        <f t="shared" si="14"/>
        <v>2.7833333333333332</v>
      </c>
      <c r="T26" s="46" t="str">
        <f t="shared" si="14"/>
        <v/>
      </c>
      <c r="U26" s="46" t="str">
        <f t="shared" si="14"/>
        <v/>
      </c>
      <c r="V26" s="46" t="str">
        <f t="shared" si="14"/>
        <v/>
      </c>
      <c r="W26" s="46" t="str">
        <f t="shared" si="14"/>
        <v/>
      </c>
      <c r="X26" s="46" t="str">
        <f t="shared" si="14"/>
        <v/>
      </c>
      <c r="Y26" s="46" t="str">
        <f t="shared" si="14"/>
        <v/>
      </c>
      <c r="Z26" s="46" t="str">
        <f t="shared" si="14"/>
        <v/>
      </c>
      <c r="AA26" s="46" t="e">
        <f t="shared" si="14"/>
        <v>#VALUE!</v>
      </c>
      <c r="AB26" s="46" t="str">
        <f t="shared" si="14"/>
        <v/>
      </c>
      <c r="AC26" s="46">
        <f t="shared" si="14"/>
        <v>4.6999999999999993</v>
      </c>
      <c r="AD26" s="46">
        <f t="shared" si="14"/>
        <v>2.1</v>
      </c>
      <c r="AF26" s="45">
        <v>41304</v>
      </c>
      <c r="AG26">
        <f t="shared" si="2"/>
        <v>0.95000000000000018</v>
      </c>
      <c r="AH26" t="str">
        <f t="shared" si="3"/>
        <v/>
      </c>
      <c r="AI26" t="str">
        <f t="shared" si="4"/>
        <v/>
      </c>
      <c r="AJ26" t="str">
        <f t="shared" si="5"/>
        <v/>
      </c>
      <c r="AK26" t="str">
        <f t="shared" si="6"/>
        <v/>
      </c>
      <c r="AL26" t="str">
        <f t="shared" si="7"/>
        <v/>
      </c>
      <c r="AM26" t="str">
        <f t="shared" si="8"/>
        <v/>
      </c>
      <c r="AN26" t="str">
        <f t="shared" si="9"/>
        <v/>
      </c>
      <c r="AO26" t="e">
        <f t="shared" si="10"/>
        <v>#VALUE!</v>
      </c>
      <c r="AP26" t="str">
        <f t="shared" si="11"/>
        <v/>
      </c>
      <c r="AQ26">
        <f t="shared" si="12"/>
        <v>0</v>
      </c>
      <c r="AR26">
        <f t="shared" si="13"/>
        <v>0</v>
      </c>
    </row>
    <row r="27" spans="2:44">
      <c r="B27" s="1">
        <v>41311</v>
      </c>
      <c r="C27">
        <v>3.36</v>
      </c>
      <c r="M27">
        <v>5.03</v>
      </c>
      <c r="N27" t="s">
        <v>189</v>
      </c>
      <c r="O27">
        <v>7.4</v>
      </c>
      <c r="P27" t="s">
        <v>189</v>
      </c>
      <c r="R27" s="45">
        <v>41311</v>
      </c>
      <c r="S27" s="46">
        <f t="shared" si="14"/>
        <v>2.1933333333333334</v>
      </c>
      <c r="T27" s="46" t="str">
        <f t="shared" si="14"/>
        <v/>
      </c>
      <c r="U27" s="46" t="str">
        <f t="shared" si="14"/>
        <v/>
      </c>
      <c r="V27" s="46" t="str">
        <f t="shared" si="14"/>
        <v/>
      </c>
      <c r="W27" s="46" t="str">
        <f t="shared" si="14"/>
        <v/>
      </c>
      <c r="X27" s="46" t="str">
        <f t="shared" si="14"/>
        <v/>
      </c>
      <c r="Y27" s="46" t="str">
        <f t="shared" si="14"/>
        <v/>
      </c>
      <c r="Z27" s="46" t="str">
        <f t="shared" si="14"/>
        <v/>
      </c>
      <c r="AA27" s="46" t="str">
        <f t="shared" si="14"/>
        <v/>
      </c>
      <c r="AB27" s="46" t="str">
        <f t="shared" si="14"/>
        <v/>
      </c>
      <c r="AC27" s="46">
        <f t="shared" si="14"/>
        <v>2.93</v>
      </c>
      <c r="AD27" s="46">
        <f t="shared" si="14"/>
        <v>2.1</v>
      </c>
      <c r="AF27" s="45">
        <v>41311</v>
      </c>
      <c r="AG27">
        <f t="shared" si="2"/>
        <v>1.54</v>
      </c>
      <c r="AH27" t="str">
        <f t="shared" si="3"/>
        <v/>
      </c>
      <c r="AI27" t="str">
        <f t="shared" si="4"/>
        <v/>
      </c>
      <c r="AJ27" t="str">
        <f t="shared" si="5"/>
        <v/>
      </c>
      <c r="AK27" t="str">
        <f t="shared" si="6"/>
        <v/>
      </c>
      <c r="AL27" t="str">
        <f t="shared" si="7"/>
        <v/>
      </c>
      <c r="AM27" t="str">
        <f t="shared" si="8"/>
        <v/>
      </c>
      <c r="AN27" t="str">
        <f t="shared" si="9"/>
        <v/>
      </c>
      <c r="AO27" t="str">
        <f t="shared" si="10"/>
        <v/>
      </c>
      <c r="AP27" t="str">
        <f t="shared" si="11"/>
        <v/>
      </c>
      <c r="AQ27">
        <f t="shared" si="12"/>
        <v>1.7699999999999991</v>
      </c>
      <c r="AR27">
        <f t="shared" si="13"/>
        <v>0</v>
      </c>
    </row>
    <row r="28" spans="2:44">
      <c r="B28" s="1">
        <v>41318</v>
      </c>
      <c r="C28">
        <v>3.96</v>
      </c>
      <c r="M28">
        <v>4.74</v>
      </c>
      <c r="N28" t="s">
        <v>189</v>
      </c>
      <c r="P28" t="s">
        <v>189</v>
      </c>
      <c r="R28" s="45">
        <v>41318</v>
      </c>
      <c r="S28" s="46">
        <f t="shared" si="14"/>
        <v>2.793333333333333</v>
      </c>
      <c r="T28" s="46" t="str">
        <f t="shared" si="14"/>
        <v/>
      </c>
      <c r="U28" s="46" t="str">
        <f t="shared" si="14"/>
        <v/>
      </c>
      <c r="V28" s="46" t="str">
        <f t="shared" si="14"/>
        <v/>
      </c>
      <c r="W28" s="46" t="str">
        <f t="shared" si="14"/>
        <v/>
      </c>
      <c r="X28" s="46" t="str">
        <f t="shared" si="14"/>
        <v/>
      </c>
      <c r="Y28" s="46" t="str">
        <f t="shared" si="14"/>
        <v/>
      </c>
      <c r="Z28" s="46" t="str">
        <f t="shared" si="14"/>
        <v/>
      </c>
      <c r="AA28" s="46" t="str">
        <f t="shared" si="14"/>
        <v/>
      </c>
      <c r="AB28" s="46" t="str">
        <f t="shared" si="14"/>
        <v/>
      </c>
      <c r="AC28" s="46">
        <f t="shared" si="14"/>
        <v>2.64</v>
      </c>
      <c r="AD28" s="46">
        <f t="shared" si="14"/>
        <v>2.1</v>
      </c>
      <c r="AF28" s="45">
        <v>41318</v>
      </c>
      <c r="AG28">
        <f t="shared" si="2"/>
        <v>0.94000000000000039</v>
      </c>
      <c r="AH28" t="str">
        <f t="shared" si="3"/>
        <v/>
      </c>
      <c r="AI28" t="str">
        <f t="shared" si="4"/>
        <v/>
      </c>
      <c r="AJ28" t="str">
        <f t="shared" si="5"/>
        <v/>
      </c>
      <c r="AK28" t="str">
        <f t="shared" si="6"/>
        <v/>
      </c>
      <c r="AL28" t="str">
        <f t="shared" si="7"/>
        <v/>
      </c>
      <c r="AM28" t="str">
        <f t="shared" si="8"/>
        <v/>
      </c>
      <c r="AN28" t="str">
        <f t="shared" si="9"/>
        <v/>
      </c>
      <c r="AO28" t="str">
        <f t="shared" si="10"/>
        <v/>
      </c>
      <c r="AP28" t="str">
        <f t="shared" si="11"/>
        <v/>
      </c>
      <c r="AQ28">
        <f t="shared" si="12"/>
        <v>2.0599999999999992</v>
      </c>
      <c r="AR28">
        <f t="shared" si="13"/>
        <v>0</v>
      </c>
    </row>
    <row r="29" spans="2:44">
      <c r="B29" s="1">
        <v>41338</v>
      </c>
      <c r="C29">
        <v>3.8</v>
      </c>
      <c r="M29">
        <v>4.2</v>
      </c>
      <c r="N29" t="s">
        <v>189</v>
      </c>
      <c r="O29" t="s">
        <v>213</v>
      </c>
      <c r="P29" t="s">
        <v>189</v>
      </c>
      <c r="R29" s="45">
        <v>41338</v>
      </c>
      <c r="S29" s="46">
        <f t="shared" si="14"/>
        <v>2.6333333333333329</v>
      </c>
      <c r="T29" s="46" t="str">
        <f t="shared" si="14"/>
        <v/>
      </c>
      <c r="U29" s="46" t="str">
        <f t="shared" si="14"/>
        <v/>
      </c>
      <c r="V29" s="46" t="str">
        <f t="shared" si="14"/>
        <v/>
      </c>
      <c r="W29" s="46" t="str">
        <f t="shared" si="14"/>
        <v/>
      </c>
      <c r="X29" s="46" t="str">
        <f t="shared" si="14"/>
        <v/>
      </c>
      <c r="Y29" s="46" t="str">
        <f t="shared" si="14"/>
        <v/>
      </c>
      <c r="Z29" s="46" t="str">
        <f t="shared" si="14"/>
        <v/>
      </c>
      <c r="AA29" s="46" t="str">
        <f t="shared" si="14"/>
        <v/>
      </c>
      <c r="AB29" s="46" t="str">
        <f t="shared" si="14"/>
        <v/>
      </c>
      <c r="AC29" s="46">
        <f t="shared" si="14"/>
        <v>2.1</v>
      </c>
      <c r="AD29" s="46">
        <f t="shared" si="14"/>
        <v>2.1</v>
      </c>
      <c r="AF29" s="45">
        <v>41338</v>
      </c>
      <c r="AG29">
        <f t="shared" si="2"/>
        <v>1.1000000000000005</v>
      </c>
      <c r="AH29" t="str">
        <f t="shared" si="3"/>
        <v/>
      </c>
      <c r="AI29" t="str">
        <f t="shared" si="4"/>
        <v/>
      </c>
      <c r="AJ29" t="str">
        <f t="shared" si="5"/>
        <v/>
      </c>
      <c r="AK29" t="str">
        <f t="shared" si="6"/>
        <v/>
      </c>
      <c r="AL29" t="str">
        <f t="shared" si="7"/>
        <v/>
      </c>
      <c r="AM29" t="str">
        <f t="shared" si="8"/>
        <v/>
      </c>
      <c r="AN29" t="str">
        <f t="shared" si="9"/>
        <v/>
      </c>
      <c r="AO29" t="str">
        <f t="shared" si="10"/>
        <v/>
      </c>
      <c r="AP29" t="str">
        <f t="shared" si="11"/>
        <v/>
      </c>
      <c r="AQ29">
        <f t="shared" si="12"/>
        <v>2.5999999999999992</v>
      </c>
      <c r="AR29">
        <f t="shared" si="13"/>
        <v>0</v>
      </c>
    </row>
    <row r="30" spans="2:44">
      <c r="B30" s="1">
        <v>41358</v>
      </c>
      <c r="C30">
        <v>4.2699999999999996</v>
      </c>
      <c r="M30">
        <v>4.66</v>
      </c>
      <c r="N30" t="s">
        <v>189</v>
      </c>
      <c r="O30">
        <v>7.7</v>
      </c>
      <c r="P30" t="s">
        <v>189</v>
      </c>
      <c r="R30" s="45">
        <v>41358</v>
      </c>
      <c r="S30" s="46">
        <f t="shared" si="14"/>
        <v>2.9399999999999995</v>
      </c>
      <c r="T30" s="46" t="str">
        <f t="shared" si="14"/>
        <v/>
      </c>
      <c r="U30" s="46" t="str">
        <f t="shared" si="14"/>
        <v/>
      </c>
      <c r="V30" s="46" t="str">
        <f t="shared" si="14"/>
        <v/>
      </c>
      <c r="W30" s="46" t="str">
        <f t="shared" si="14"/>
        <v/>
      </c>
      <c r="X30" s="46" t="str">
        <f t="shared" si="14"/>
        <v/>
      </c>
      <c r="Y30" s="46" t="str">
        <f t="shared" si="14"/>
        <v/>
      </c>
      <c r="Z30" s="46" t="str">
        <f t="shared" si="14"/>
        <v/>
      </c>
      <c r="AA30" s="46" t="str">
        <f t="shared" si="14"/>
        <v/>
      </c>
      <c r="AB30" s="46" t="str">
        <f t="shared" si="14"/>
        <v/>
      </c>
      <c r="AC30" s="46">
        <f t="shared" si="14"/>
        <v>2.3800000000000003</v>
      </c>
      <c r="AD30" s="46">
        <f t="shared" si="14"/>
        <v>1.69</v>
      </c>
      <c r="AF30" s="45">
        <v>41358</v>
      </c>
      <c r="AG30">
        <f t="shared" si="2"/>
        <v>0.71000000000000085</v>
      </c>
      <c r="AH30" t="str">
        <f t="shared" si="3"/>
        <v/>
      </c>
      <c r="AI30" t="str">
        <f t="shared" si="4"/>
        <v/>
      </c>
      <c r="AJ30" t="str">
        <f t="shared" si="5"/>
        <v/>
      </c>
      <c r="AK30" t="str">
        <f t="shared" si="6"/>
        <v/>
      </c>
      <c r="AL30" t="str">
        <f t="shared" si="7"/>
        <v/>
      </c>
      <c r="AM30" t="str">
        <f t="shared" si="8"/>
        <v/>
      </c>
      <c r="AN30" t="str">
        <f t="shared" si="9"/>
        <v/>
      </c>
      <c r="AO30" t="str">
        <f t="shared" si="10"/>
        <v/>
      </c>
      <c r="AP30" t="str">
        <f t="shared" si="11"/>
        <v/>
      </c>
      <c r="AQ30">
        <f t="shared" si="12"/>
        <v>2.3400000000000003</v>
      </c>
      <c r="AR30">
        <f t="shared" si="13"/>
        <v>0</v>
      </c>
    </row>
    <row r="31" spans="2:44">
      <c r="B31" s="1">
        <v>41418</v>
      </c>
      <c r="C31" t="s">
        <v>189</v>
      </c>
      <c r="M31">
        <f>64/12</f>
        <v>5.333333333333333</v>
      </c>
      <c r="N31" t="s">
        <v>189</v>
      </c>
      <c r="P31" t="s">
        <v>189</v>
      </c>
      <c r="R31" s="45">
        <v>41418</v>
      </c>
      <c r="S31" s="46">
        <f t="shared" si="14"/>
        <v>3.625</v>
      </c>
      <c r="T31" s="46" t="str">
        <f t="shared" si="14"/>
        <v/>
      </c>
      <c r="U31" s="46" t="str">
        <f t="shared" si="14"/>
        <v/>
      </c>
      <c r="V31" s="46" t="str">
        <f t="shared" si="14"/>
        <v/>
      </c>
      <c r="W31" s="46" t="str">
        <f t="shared" si="14"/>
        <v/>
      </c>
      <c r="X31" s="46" t="str">
        <f t="shared" si="14"/>
        <v/>
      </c>
      <c r="Y31" s="46" t="str">
        <f t="shared" si="14"/>
        <v/>
      </c>
      <c r="Z31" s="46" t="str">
        <f t="shared" si="14"/>
        <v/>
      </c>
      <c r="AA31" s="46" t="str">
        <f t="shared" si="14"/>
        <v/>
      </c>
      <c r="AB31" s="46" t="str">
        <f t="shared" si="14"/>
        <v/>
      </c>
      <c r="AC31" s="46">
        <f t="shared" si="14"/>
        <v>4.25</v>
      </c>
      <c r="AD31" s="46">
        <f t="shared" si="14"/>
        <v>2</v>
      </c>
      <c r="AF31" s="45">
        <v>41418</v>
      </c>
      <c r="AG31">
        <f t="shared" si="2"/>
        <v>0</v>
      </c>
      <c r="AH31" t="str">
        <f t="shared" si="3"/>
        <v/>
      </c>
      <c r="AI31" t="str">
        <f t="shared" si="4"/>
        <v/>
      </c>
      <c r="AJ31" t="str">
        <f t="shared" si="5"/>
        <v/>
      </c>
      <c r="AK31" t="str">
        <f t="shared" si="6"/>
        <v/>
      </c>
      <c r="AL31" t="str">
        <f t="shared" si="7"/>
        <v/>
      </c>
      <c r="AM31" t="str">
        <f t="shared" si="8"/>
        <v/>
      </c>
      <c r="AN31" t="str">
        <f t="shared" si="9"/>
        <v/>
      </c>
      <c r="AO31" t="str">
        <f t="shared" si="10"/>
        <v/>
      </c>
      <c r="AP31" t="str">
        <f t="shared" si="11"/>
        <v/>
      </c>
      <c r="AQ31">
        <f t="shared" si="12"/>
        <v>0.91666666666666696</v>
      </c>
      <c r="AR31">
        <f t="shared" si="13"/>
        <v>0</v>
      </c>
    </row>
    <row r="32" spans="2:44">
      <c r="B32" s="1">
        <v>41647</v>
      </c>
      <c r="C32" t="s">
        <v>189</v>
      </c>
      <c r="D32" t="s">
        <v>189</v>
      </c>
      <c r="E32" t="s">
        <v>189</v>
      </c>
      <c r="F32" t="s">
        <v>189</v>
      </c>
      <c r="G32" t="s">
        <v>189</v>
      </c>
      <c r="H32" t="s">
        <v>189</v>
      </c>
      <c r="I32" t="s">
        <v>189</v>
      </c>
      <c r="J32" t="s">
        <v>189</v>
      </c>
      <c r="K32" t="s">
        <v>189</v>
      </c>
      <c r="L32" t="s">
        <v>189</v>
      </c>
      <c r="M32" t="s">
        <v>189</v>
      </c>
      <c r="N32" t="s">
        <v>189</v>
      </c>
      <c r="O32" t="s">
        <v>189</v>
      </c>
      <c r="P32" t="s">
        <v>189</v>
      </c>
      <c r="R32" s="45">
        <v>41647</v>
      </c>
      <c r="S32" s="46">
        <f t="shared" si="14"/>
        <v>3.625</v>
      </c>
      <c r="T32" s="46" t="e">
        <f t="shared" si="14"/>
        <v>#N/A</v>
      </c>
      <c r="U32" s="46">
        <f t="shared" si="14"/>
        <v>5.1999999999999993</v>
      </c>
      <c r="V32" s="46">
        <f t="shared" si="14"/>
        <v>3.5999999999999996</v>
      </c>
      <c r="W32" s="46" t="e">
        <f t="shared" si="14"/>
        <v>#N/A</v>
      </c>
      <c r="X32" s="46" t="e">
        <f t="shared" si="14"/>
        <v>#N/A</v>
      </c>
      <c r="Y32" s="46" t="e">
        <f t="shared" si="14"/>
        <v>#N/A</v>
      </c>
      <c r="Z32" s="46">
        <f t="shared" si="14"/>
        <v>1.9999999999999998</v>
      </c>
      <c r="AA32" s="46">
        <f t="shared" si="14"/>
        <v>1.4583333333333333</v>
      </c>
      <c r="AB32" s="46" t="e">
        <f t="shared" si="14"/>
        <v>#N/A</v>
      </c>
      <c r="AC32" s="46">
        <f t="shared" si="14"/>
        <v>5.166666666666667</v>
      </c>
      <c r="AD32" s="46">
        <f t="shared" si="14"/>
        <v>2</v>
      </c>
      <c r="AF32" s="45">
        <v>41647</v>
      </c>
      <c r="AG32">
        <f t="shared" si="2"/>
        <v>0</v>
      </c>
      <c r="AH32" t="e">
        <f t="shared" si="3"/>
        <v>#N/A</v>
      </c>
      <c r="AI32">
        <f t="shared" si="4"/>
        <v>0</v>
      </c>
      <c r="AJ32">
        <f t="shared" si="5"/>
        <v>0</v>
      </c>
      <c r="AK32" t="e">
        <f t="shared" si="6"/>
        <v>#N/A</v>
      </c>
      <c r="AL32" t="e">
        <f t="shared" si="7"/>
        <v>#N/A</v>
      </c>
      <c r="AM32" t="e">
        <f t="shared" si="8"/>
        <v>#N/A</v>
      </c>
      <c r="AN32">
        <f t="shared" si="9"/>
        <v>0</v>
      </c>
      <c r="AO32">
        <f t="shared" si="10"/>
        <v>0</v>
      </c>
      <c r="AP32" t="e">
        <f t="shared" si="11"/>
        <v>#N/A</v>
      </c>
      <c r="AQ32">
        <f t="shared" si="12"/>
        <v>0</v>
      </c>
      <c r="AR32">
        <f t="shared" si="13"/>
        <v>0</v>
      </c>
    </row>
    <row r="33" spans="2:44">
      <c r="B33" s="1">
        <v>41653</v>
      </c>
      <c r="C33">
        <v>4</v>
      </c>
      <c r="O33" s="28" t="s">
        <v>214</v>
      </c>
      <c r="P33" t="s">
        <v>189</v>
      </c>
      <c r="R33" s="45">
        <v>41653</v>
      </c>
      <c r="S33" s="46">
        <f t="shared" si="14"/>
        <v>2.625</v>
      </c>
      <c r="T33" s="46" t="str">
        <f t="shared" si="14"/>
        <v/>
      </c>
      <c r="U33" s="46" t="str">
        <f t="shared" si="14"/>
        <v/>
      </c>
      <c r="V33" s="46" t="str">
        <f t="shared" si="14"/>
        <v/>
      </c>
      <c r="W33" s="46" t="str">
        <f t="shared" si="14"/>
        <v/>
      </c>
      <c r="X33" s="46" t="str">
        <f t="shared" si="14"/>
        <v/>
      </c>
      <c r="Y33" s="46" t="str">
        <f t="shared" si="14"/>
        <v/>
      </c>
      <c r="Z33" s="46" t="str">
        <f t="shared" si="14"/>
        <v/>
      </c>
      <c r="AA33" s="46" t="str">
        <f t="shared" si="14"/>
        <v/>
      </c>
      <c r="AB33" s="46" t="str">
        <f t="shared" si="14"/>
        <v/>
      </c>
      <c r="AC33" s="46" t="str">
        <f t="shared" si="14"/>
        <v/>
      </c>
      <c r="AD33" s="46" t="str">
        <f t="shared" si="14"/>
        <v/>
      </c>
      <c r="AF33" s="45">
        <v>41653</v>
      </c>
      <c r="AG33">
        <f t="shared" si="2"/>
        <v>1</v>
      </c>
      <c r="AH33" t="str">
        <f t="shared" si="3"/>
        <v/>
      </c>
      <c r="AI33" t="str">
        <f t="shared" si="4"/>
        <v/>
      </c>
      <c r="AJ33" t="str">
        <f t="shared" si="5"/>
        <v/>
      </c>
      <c r="AK33" t="str">
        <f t="shared" si="6"/>
        <v/>
      </c>
      <c r="AL33" t="str">
        <f t="shared" si="7"/>
        <v/>
      </c>
      <c r="AM33" t="str">
        <f t="shared" si="8"/>
        <v/>
      </c>
      <c r="AN33" t="str">
        <f t="shared" si="9"/>
        <v/>
      </c>
      <c r="AO33" t="str">
        <f t="shared" si="10"/>
        <v/>
      </c>
      <c r="AP33" t="str">
        <f t="shared" si="11"/>
        <v/>
      </c>
      <c r="AQ33" t="str">
        <f t="shared" si="12"/>
        <v/>
      </c>
      <c r="AR33" t="str">
        <f t="shared" si="13"/>
        <v/>
      </c>
    </row>
    <row r="34" spans="2:44">
      <c r="B34" s="1">
        <v>41689</v>
      </c>
      <c r="C34">
        <v>3.2</v>
      </c>
      <c r="E34" t="s">
        <v>189</v>
      </c>
      <c r="K34" t="s">
        <v>189</v>
      </c>
      <c r="M34">
        <v>3.68</v>
      </c>
      <c r="N34" t="s">
        <v>189</v>
      </c>
      <c r="O34" s="28" t="s">
        <v>215</v>
      </c>
      <c r="P34" s="28" t="s">
        <v>216</v>
      </c>
      <c r="R34" s="45">
        <v>41689</v>
      </c>
      <c r="S34" s="46">
        <f t="shared" si="14"/>
        <v>1.8250000000000002</v>
      </c>
      <c r="T34" s="46" t="str">
        <f t="shared" si="14"/>
        <v/>
      </c>
      <c r="U34" s="46">
        <f t="shared" si="14"/>
        <v>5.1999999999999993</v>
      </c>
      <c r="V34" s="46" t="str">
        <f t="shared" si="14"/>
        <v/>
      </c>
      <c r="W34" s="46" t="str">
        <f t="shared" si="14"/>
        <v/>
      </c>
      <c r="X34" s="46" t="str">
        <f t="shared" si="14"/>
        <v/>
      </c>
      <c r="Y34" s="46" t="str">
        <f t="shared" si="14"/>
        <v/>
      </c>
      <c r="Z34" s="46" t="str">
        <f t="shared" si="14"/>
        <v/>
      </c>
      <c r="AA34" s="46">
        <f t="shared" si="14"/>
        <v>1.4583333333333333</v>
      </c>
      <c r="AB34" s="46" t="str">
        <f t="shared" si="14"/>
        <v/>
      </c>
      <c r="AC34" s="46">
        <f t="shared" si="14"/>
        <v>2.5966666666666667</v>
      </c>
      <c r="AD34" s="46">
        <f t="shared" si="14"/>
        <v>2</v>
      </c>
      <c r="AF34" s="45">
        <v>41689</v>
      </c>
      <c r="AG34">
        <f t="shared" si="2"/>
        <v>1.7999999999999998</v>
      </c>
      <c r="AH34" t="str">
        <f t="shared" si="3"/>
        <v/>
      </c>
      <c r="AI34">
        <f t="shared" si="4"/>
        <v>0</v>
      </c>
      <c r="AJ34" t="str">
        <f t="shared" si="5"/>
        <v/>
      </c>
      <c r="AK34" t="str">
        <f t="shared" si="6"/>
        <v/>
      </c>
      <c r="AL34" t="str">
        <f t="shared" si="7"/>
        <v/>
      </c>
      <c r="AM34" t="str">
        <f t="shared" si="8"/>
        <v/>
      </c>
      <c r="AN34" t="str">
        <f t="shared" si="9"/>
        <v/>
      </c>
      <c r="AO34">
        <f t="shared" si="10"/>
        <v>0</v>
      </c>
      <c r="AP34" t="str">
        <f t="shared" si="11"/>
        <v/>
      </c>
      <c r="AQ34">
        <f t="shared" si="12"/>
        <v>2.5700000000000003</v>
      </c>
      <c r="AR34">
        <f t="shared" si="13"/>
        <v>0</v>
      </c>
    </row>
    <row r="35" spans="2:44">
      <c r="B35" s="1">
        <v>41704</v>
      </c>
      <c r="C35">
        <v>2.02</v>
      </c>
      <c r="E35" t="s">
        <v>189</v>
      </c>
      <c r="K35" t="s">
        <v>217</v>
      </c>
      <c r="M35">
        <v>2.68</v>
      </c>
      <c r="N35" t="s">
        <v>189</v>
      </c>
      <c r="O35">
        <v>7.15</v>
      </c>
      <c r="P35" s="28" t="s">
        <v>215</v>
      </c>
      <c r="R35" s="45">
        <v>41704</v>
      </c>
      <c r="S35" s="46">
        <f t="shared" si="14"/>
        <v>0.64500000000000002</v>
      </c>
      <c r="T35" s="46" t="str">
        <f t="shared" si="14"/>
        <v/>
      </c>
      <c r="U35" s="46">
        <f t="shared" si="14"/>
        <v>5.1999999999999993</v>
      </c>
      <c r="V35" s="46" t="str">
        <f t="shared" si="14"/>
        <v/>
      </c>
      <c r="W35" s="46" t="str">
        <f t="shared" si="14"/>
        <v/>
      </c>
      <c r="X35" s="46" t="str">
        <f t="shared" si="14"/>
        <v/>
      </c>
      <c r="Y35" s="46" t="str">
        <f t="shared" si="14"/>
        <v/>
      </c>
      <c r="Z35" s="46" t="str">
        <f t="shared" si="14"/>
        <v/>
      </c>
      <c r="AA35" s="46" t="e">
        <f t="shared" si="14"/>
        <v>#VALUE!</v>
      </c>
      <c r="AB35" s="46" t="str">
        <f t="shared" si="14"/>
        <v/>
      </c>
      <c r="AC35" s="46">
        <f t="shared" si="14"/>
        <v>1.5966666666666669</v>
      </c>
      <c r="AD35" s="46">
        <f t="shared" si="14"/>
        <v>2</v>
      </c>
      <c r="AF35" s="45">
        <v>41704</v>
      </c>
      <c r="AG35">
        <f t="shared" si="2"/>
        <v>2.98</v>
      </c>
      <c r="AH35" t="str">
        <f t="shared" si="3"/>
        <v/>
      </c>
      <c r="AI35">
        <f t="shared" si="4"/>
        <v>0</v>
      </c>
      <c r="AJ35" t="str">
        <f t="shared" si="5"/>
        <v/>
      </c>
      <c r="AK35" t="str">
        <f t="shared" si="6"/>
        <v/>
      </c>
      <c r="AL35" t="str">
        <f t="shared" si="7"/>
        <v/>
      </c>
      <c r="AM35" t="str">
        <f t="shared" si="8"/>
        <v/>
      </c>
      <c r="AN35" t="str">
        <f t="shared" si="9"/>
        <v/>
      </c>
      <c r="AO35" t="e">
        <f t="shared" si="10"/>
        <v>#VALUE!</v>
      </c>
      <c r="AP35" t="str">
        <f t="shared" si="11"/>
        <v/>
      </c>
      <c r="AQ35">
        <f t="shared" si="12"/>
        <v>3.5700000000000003</v>
      </c>
      <c r="AR35">
        <f t="shared" si="13"/>
        <v>0</v>
      </c>
    </row>
    <row r="36" spans="2:44">
      <c r="B36" s="1">
        <v>41711</v>
      </c>
      <c r="C36">
        <v>2.6</v>
      </c>
      <c r="E36" t="s">
        <v>189</v>
      </c>
      <c r="K36" t="s">
        <v>189</v>
      </c>
      <c r="M36">
        <v>3.15</v>
      </c>
      <c r="N36" t="s">
        <v>189</v>
      </c>
      <c r="O36">
        <v>7.37</v>
      </c>
      <c r="P36" s="28" t="s">
        <v>216</v>
      </c>
      <c r="R36" s="45">
        <v>41711</v>
      </c>
      <c r="S36" s="46">
        <f t="shared" si="14"/>
        <v>1.2250000000000001</v>
      </c>
      <c r="T36" s="46" t="str">
        <f t="shared" si="14"/>
        <v/>
      </c>
      <c r="U36" s="46">
        <f t="shared" si="14"/>
        <v>5.1999999999999993</v>
      </c>
      <c r="V36" s="46" t="str">
        <f t="shared" si="14"/>
        <v/>
      </c>
      <c r="W36" s="46" t="str">
        <f t="shared" si="14"/>
        <v/>
      </c>
      <c r="X36" s="46" t="str">
        <f t="shared" si="14"/>
        <v/>
      </c>
      <c r="Y36" s="46" t="str">
        <f t="shared" si="14"/>
        <v/>
      </c>
      <c r="Z36" s="46" t="str">
        <f t="shared" si="14"/>
        <v/>
      </c>
      <c r="AA36" s="46">
        <f t="shared" si="14"/>
        <v>1.4583333333333333</v>
      </c>
      <c r="AB36" s="46" t="str">
        <f t="shared" si="14"/>
        <v/>
      </c>
      <c r="AC36" s="46">
        <f t="shared" si="14"/>
        <v>2.0666666666666664</v>
      </c>
      <c r="AD36" s="46">
        <f t="shared" si="14"/>
        <v>2</v>
      </c>
      <c r="AF36" s="45">
        <v>41711</v>
      </c>
      <c r="AG36">
        <f t="shared" si="2"/>
        <v>2.4</v>
      </c>
      <c r="AH36" t="str">
        <f t="shared" si="3"/>
        <v/>
      </c>
      <c r="AI36">
        <f t="shared" si="4"/>
        <v>0</v>
      </c>
      <c r="AJ36" t="str">
        <f t="shared" si="5"/>
        <v/>
      </c>
      <c r="AK36" t="str">
        <f t="shared" si="6"/>
        <v/>
      </c>
      <c r="AL36" t="str">
        <f t="shared" si="7"/>
        <v/>
      </c>
      <c r="AM36" t="str">
        <f t="shared" si="8"/>
        <v/>
      </c>
      <c r="AN36" t="str">
        <f t="shared" si="9"/>
        <v/>
      </c>
      <c r="AO36">
        <f t="shared" si="10"/>
        <v>0</v>
      </c>
      <c r="AP36" t="str">
        <f t="shared" si="11"/>
        <v/>
      </c>
      <c r="AQ36">
        <f t="shared" si="12"/>
        <v>3.1000000000000005</v>
      </c>
      <c r="AR36">
        <f t="shared" si="13"/>
        <v>0</v>
      </c>
    </row>
    <row r="37" spans="2:44">
      <c r="B37" s="1">
        <v>41717</v>
      </c>
      <c r="C37">
        <v>2.7</v>
      </c>
      <c r="E37" t="s">
        <v>189</v>
      </c>
      <c r="K37" t="s">
        <v>189</v>
      </c>
      <c r="M37">
        <v>3.5</v>
      </c>
      <c r="N37" t="s">
        <v>189</v>
      </c>
      <c r="O37" s="28" t="s">
        <v>216</v>
      </c>
      <c r="P37" t="s">
        <v>189</v>
      </c>
      <c r="R37" s="45">
        <v>41717</v>
      </c>
      <c r="S37" s="46">
        <f t="shared" si="14"/>
        <v>1.3250000000000002</v>
      </c>
      <c r="T37" s="46" t="str">
        <f t="shared" si="14"/>
        <v/>
      </c>
      <c r="U37" s="46">
        <f t="shared" si="14"/>
        <v>5.1999999999999993</v>
      </c>
      <c r="V37" s="46" t="str">
        <f t="shared" si="14"/>
        <v/>
      </c>
      <c r="W37" s="46" t="str">
        <f t="shared" si="14"/>
        <v/>
      </c>
      <c r="X37" s="46" t="str">
        <f t="shared" si="14"/>
        <v/>
      </c>
      <c r="Y37" s="46" t="str">
        <f t="shared" si="14"/>
        <v/>
      </c>
      <c r="Z37" s="46" t="str">
        <f t="shared" si="14"/>
        <v/>
      </c>
      <c r="AA37" s="46">
        <f t="shared" si="14"/>
        <v>1.4583333333333333</v>
      </c>
      <c r="AB37" s="46" t="str">
        <f t="shared" si="14"/>
        <v/>
      </c>
      <c r="AC37" s="46">
        <f t="shared" si="14"/>
        <v>2.416666666666667</v>
      </c>
      <c r="AD37" s="46">
        <f t="shared" si="14"/>
        <v>2</v>
      </c>
      <c r="AF37" s="45">
        <v>41717</v>
      </c>
      <c r="AG37">
        <f t="shared" si="2"/>
        <v>2.2999999999999998</v>
      </c>
      <c r="AH37" t="str">
        <f t="shared" si="3"/>
        <v/>
      </c>
      <c r="AI37">
        <f t="shared" si="4"/>
        <v>0</v>
      </c>
      <c r="AJ37" t="str">
        <f t="shared" si="5"/>
        <v/>
      </c>
      <c r="AK37" t="str">
        <f t="shared" si="6"/>
        <v/>
      </c>
      <c r="AL37" t="str">
        <f t="shared" si="7"/>
        <v/>
      </c>
      <c r="AM37" t="str">
        <f t="shared" si="8"/>
        <v/>
      </c>
      <c r="AN37" t="str">
        <f t="shared" si="9"/>
        <v/>
      </c>
      <c r="AO37">
        <f t="shared" si="10"/>
        <v>0</v>
      </c>
      <c r="AP37" t="str">
        <f t="shared" si="11"/>
        <v/>
      </c>
      <c r="AQ37">
        <f t="shared" si="12"/>
        <v>2.75</v>
      </c>
      <c r="AR37">
        <f t="shared" si="13"/>
        <v>0</v>
      </c>
    </row>
    <row r="38" spans="2:44">
      <c r="B38" s="1">
        <v>41731</v>
      </c>
      <c r="C38">
        <v>2.4500000000000002</v>
      </c>
      <c r="E38" t="s">
        <v>189</v>
      </c>
      <c r="K38" t="s">
        <v>189</v>
      </c>
      <c r="M38">
        <v>3.45</v>
      </c>
      <c r="N38" t="s">
        <v>189</v>
      </c>
      <c r="O38" t="s">
        <v>218</v>
      </c>
      <c r="P38" t="s">
        <v>189</v>
      </c>
      <c r="R38" s="45">
        <v>41731</v>
      </c>
      <c r="S38" s="46">
        <f t="shared" si="14"/>
        <v>1.0750000000000002</v>
      </c>
      <c r="T38" s="46" t="str">
        <f t="shared" si="14"/>
        <v/>
      </c>
      <c r="U38" s="46">
        <f t="shared" si="14"/>
        <v>5.1999999999999993</v>
      </c>
      <c r="V38" s="46" t="str">
        <f t="shared" ref="V38:AD39" si="15">IF(F38="","",IF(F38="dry",LOOKUP($B38,$B$74:$B$83,F$74:F$83),F38-LOOKUP($B38,$B$48:$B$57,F$48:F$57)))</f>
        <v/>
      </c>
      <c r="W38" s="46" t="str">
        <f t="shared" si="15"/>
        <v/>
      </c>
      <c r="X38" s="46" t="str">
        <f t="shared" si="15"/>
        <v/>
      </c>
      <c r="Y38" s="46" t="str">
        <f t="shared" si="15"/>
        <v/>
      </c>
      <c r="Z38" s="46" t="str">
        <f t="shared" si="15"/>
        <v/>
      </c>
      <c r="AA38" s="46">
        <f t="shared" si="15"/>
        <v>1.4583333333333333</v>
      </c>
      <c r="AB38" s="46" t="str">
        <f t="shared" si="15"/>
        <v/>
      </c>
      <c r="AC38" s="46">
        <f t="shared" si="15"/>
        <v>2.3666666666666671</v>
      </c>
      <c r="AD38" s="46">
        <f t="shared" si="15"/>
        <v>2</v>
      </c>
      <c r="AF38" s="45">
        <v>41731</v>
      </c>
      <c r="AG38">
        <f t="shared" si="2"/>
        <v>2.5499999999999998</v>
      </c>
      <c r="AH38" t="str">
        <f t="shared" si="3"/>
        <v/>
      </c>
      <c r="AI38">
        <f t="shared" si="4"/>
        <v>0</v>
      </c>
      <c r="AJ38" t="str">
        <f t="shared" si="5"/>
        <v/>
      </c>
      <c r="AK38" t="str">
        <f t="shared" si="6"/>
        <v/>
      </c>
      <c r="AL38" t="str">
        <f t="shared" si="7"/>
        <v/>
      </c>
      <c r="AM38" t="str">
        <f t="shared" si="8"/>
        <v/>
      </c>
      <c r="AN38" t="str">
        <f t="shared" si="9"/>
        <v/>
      </c>
      <c r="AO38">
        <f t="shared" si="10"/>
        <v>0</v>
      </c>
      <c r="AP38" t="str">
        <f t="shared" si="11"/>
        <v/>
      </c>
      <c r="AQ38">
        <f t="shared" si="12"/>
        <v>2.8</v>
      </c>
      <c r="AR38">
        <f t="shared" si="13"/>
        <v>0</v>
      </c>
    </row>
    <row r="39" spans="2:44">
      <c r="B39" s="1">
        <v>41740</v>
      </c>
      <c r="C39">
        <f>(15.5+1.375*12)/12</f>
        <v>2.6666666666666665</v>
      </c>
      <c r="E39" t="s">
        <v>189</v>
      </c>
      <c r="K39" t="s">
        <v>189</v>
      </c>
      <c r="M39">
        <v>3.45</v>
      </c>
      <c r="N39" t="s">
        <v>189</v>
      </c>
      <c r="P39" t="s">
        <v>189</v>
      </c>
      <c r="R39" s="45">
        <v>41740</v>
      </c>
      <c r="S39" s="46">
        <f t="shared" ref="S39:U39" si="16">IF(C39="","",IF(C39="dry",LOOKUP($B39,$B$74:$B$83,C$74:C$83),C39-LOOKUP($B39,$B$48:$B$57,C$48:C$57)))</f>
        <v>1.2916666666666665</v>
      </c>
      <c r="T39" s="46" t="str">
        <f t="shared" si="16"/>
        <v/>
      </c>
      <c r="U39" s="46">
        <f t="shared" si="16"/>
        <v>5.1999999999999993</v>
      </c>
      <c r="V39" s="46" t="str">
        <f t="shared" si="15"/>
        <v/>
      </c>
      <c r="W39" s="46" t="str">
        <f t="shared" si="15"/>
        <v/>
      </c>
      <c r="X39" s="46" t="str">
        <f t="shared" si="15"/>
        <v/>
      </c>
      <c r="Y39" s="46" t="str">
        <f t="shared" si="15"/>
        <v/>
      </c>
      <c r="Z39" s="46" t="str">
        <f t="shared" si="15"/>
        <v/>
      </c>
      <c r="AA39" s="46">
        <f t="shared" si="15"/>
        <v>1.4583333333333333</v>
      </c>
      <c r="AB39" s="46" t="str">
        <f t="shared" si="15"/>
        <v/>
      </c>
      <c r="AC39" s="46">
        <f t="shared" si="15"/>
        <v>2.3666666666666671</v>
      </c>
      <c r="AD39" s="46">
        <f t="shared" si="15"/>
        <v>2</v>
      </c>
      <c r="AF39" s="45">
        <v>41740</v>
      </c>
      <c r="AG39">
        <f t="shared" si="2"/>
        <v>2.3333333333333335</v>
      </c>
      <c r="AH39" t="str">
        <f t="shared" si="3"/>
        <v/>
      </c>
      <c r="AI39">
        <f t="shared" si="4"/>
        <v>0</v>
      </c>
      <c r="AJ39" t="str">
        <f t="shared" si="5"/>
        <v/>
      </c>
      <c r="AK39" t="str">
        <f t="shared" si="6"/>
        <v/>
      </c>
      <c r="AL39" t="str">
        <f t="shared" si="7"/>
        <v/>
      </c>
      <c r="AM39" t="str">
        <f t="shared" si="8"/>
        <v/>
      </c>
      <c r="AN39" t="str">
        <f t="shared" si="9"/>
        <v/>
      </c>
      <c r="AO39">
        <f t="shared" si="10"/>
        <v>0</v>
      </c>
      <c r="AP39" t="str">
        <f t="shared" si="11"/>
        <v/>
      </c>
      <c r="AQ39">
        <f t="shared" si="12"/>
        <v>2.8</v>
      </c>
      <c r="AR39">
        <f t="shared" si="13"/>
        <v>0</v>
      </c>
    </row>
    <row r="45" spans="2:44">
      <c r="B45" t="s">
        <v>219</v>
      </c>
    </row>
    <row r="47" spans="2:44">
      <c r="C47" t="s">
        <v>87</v>
      </c>
      <c r="D47" t="s">
        <v>88</v>
      </c>
      <c r="E47" t="s">
        <v>89</v>
      </c>
      <c r="F47" t="s">
        <v>90</v>
      </c>
      <c r="G47" t="s">
        <v>91</v>
      </c>
      <c r="H47" t="s">
        <v>92</v>
      </c>
      <c r="I47" t="s">
        <v>93</v>
      </c>
      <c r="J47" t="s">
        <v>94</v>
      </c>
      <c r="K47" t="s">
        <v>95</v>
      </c>
      <c r="L47" t="s">
        <v>96</v>
      </c>
      <c r="M47" t="s">
        <v>97</v>
      </c>
      <c r="N47" t="s">
        <v>98</v>
      </c>
      <c r="O47" t="s">
        <v>207</v>
      </c>
      <c r="P47" t="s">
        <v>208</v>
      </c>
      <c r="R47" s="45"/>
    </row>
    <row r="48" spans="2:44">
      <c r="B48" s="1">
        <v>40897</v>
      </c>
      <c r="C48" s="7">
        <v>1</v>
      </c>
      <c r="D48" s="7">
        <v>0.75</v>
      </c>
      <c r="E48" s="7">
        <v>0.9</v>
      </c>
      <c r="F48" s="7">
        <v>0.5</v>
      </c>
      <c r="G48" s="7">
        <v>1.2</v>
      </c>
      <c r="H48" s="7">
        <v>1.65</v>
      </c>
      <c r="I48" s="7">
        <v>1.7</v>
      </c>
      <c r="J48" s="7">
        <v>1.8</v>
      </c>
      <c r="K48" s="7" t="s">
        <v>209</v>
      </c>
      <c r="L48" s="7">
        <v>1.5</v>
      </c>
      <c r="M48" s="7">
        <v>1.65</v>
      </c>
      <c r="N48" s="7">
        <v>1.4</v>
      </c>
      <c r="O48" s="7">
        <f t="shared" ref="O48:O54" si="17">11.375/12</f>
        <v>0.94791666666666663</v>
      </c>
      <c r="P48" s="7">
        <v>1.38</v>
      </c>
      <c r="R48" s="45"/>
    </row>
    <row r="49" spans="2:18">
      <c r="B49" s="1">
        <v>40956</v>
      </c>
      <c r="C49" s="7">
        <v>1</v>
      </c>
      <c r="D49" s="7">
        <v>0.75</v>
      </c>
      <c r="E49" s="7">
        <v>0.9</v>
      </c>
      <c r="F49" s="7">
        <v>0.5</v>
      </c>
      <c r="G49" s="7">
        <v>1.2</v>
      </c>
      <c r="H49" s="7">
        <v>1.65</v>
      </c>
      <c r="I49" s="7">
        <v>1.7</v>
      </c>
      <c r="J49" s="7">
        <v>1.8</v>
      </c>
      <c r="K49" t="s">
        <v>209</v>
      </c>
      <c r="L49" s="7">
        <v>1.5</v>
      </c>
      <c r="M49">
        <v>1.65</v>
      </c>
      <c r="N49" s="7">
        <v>1.4</v>
      </c>
      <c r="O49" s="7">
        <f t="shared" si="17"/>
        <v>0.94791666666666663</v>
      </c>
      <c r="P49" s="7">
        <v>1.38</v>
      </c>
      <c r="R49" s="45"/>
    </row>
    <row r="50" spans="2:18">
      <c r="B50" s="1">
        <v>41005</v>
      </c>
      <c r="C50">
        <v>1</v>
      </c>
      <c r="D50">
        <v>0.75</v>
      </c>
      <c r="E50">
        <v>0.9</v>
      </c>
      <c r="F50">
        <v>0.5</v>
      </c>
      <c r="G50">
        <v>1.2</v>
      </c>
      <c r="H50">
        <v>1.65</v>
      </c>
      <c r="I50">
        <v>1.7</v>
      </c>
      <c r="J50">
        <v>1.8</v>
      </c>
      <c r="K50" t="s">
        <v>209</v>
      </c>
      <c r="L50">
        <v>1.5</v>
      </c>
      <c r="M50">
        <v>1.8</v>
      </c>
      <c r="N50" s="7">
        <v>1.4</v>
      </c>
      <c r="O50" s="7">
        <f t="shared" si="17"/>
        <v>0.94791666666666663</v>
      </c>
      <c r="P50" s="7">
        <v>1.38</v>
      </c>
      <c r="R50" s="45"/>
    </row>
    <row r="51" spans="2:18">
      <c r="B51" s="1">
        <v>41074</v>
      </c>
      <c r="C51">
        <v>1</v>
      </c>
      <c r="D51" s="7">
        <v>0.75</v>
      </c>
      <c r="E51" s="7">
        <v>0.9</v>
      </c>
      <c r="F51" s="7">
        <v>0.5</v>
      </c>
      <c r="G51" s="7">
        <v>1.2</v>
      </c>
      <c r="H51" s="7">
        <v>1.65</v>
      </c>
      <c r="I51" s="7">
        <v>1.7</v>
      </c>
      <c r="J51" s="7">
        <v>1.8</v>
      </c>
      <c r="K51" s="7" t="s">
        <v>209</v>
      </c>
      <c r="L51" s="7">
        <v>1.5</v>
      </c>
      <c r="M51">
        <f>53/12/2.54</f>
        <v>1.7388451443569555</v>
      </c>
      <c r="N51" s="7">
        <v>1.4</v>
      </c>
      <c r="O51" s="7">
        <f t="shared" si="17"/>
        <v>0.94791666666666663</v>
      </c>
      <c r="P51" s="7">
        <v>1.38</v>
      </c>
      <c r="R51" s="45"/>
    </row>
    <row r="52" spans="2:18">
      <c r="B52" s="1">
        <v>41138.299305555556</v>
      </c>
      <c r="C52">
        <v>2</v>
      </c>
      <c r="D52" s="7">
        <v>0.75</v>
      </c>
      <c r="E52" s="7">
        <v>0.9</v>
      </c>
      <c r="F52" s="7">
        <v>0.5</v>
      </c>
      <c r="G52" s="7">
        <v>1.2</v>
      </c>
      <c r="H52" s="7">
        <v>1.65</v>
      </c>
      <c r="I52" s="7">
        <v>1.7</v>
      </c>
      <c r="J52" s="7">
        <v>1.8</v>
      </c>
      <c r="K52" t="s">
        <v>209</v>
      </c>
      <c r="L52" s="7">
        <v>1.5</v>
      </c>
      <c r="M52">
        <f>22.5/12</f>
        <v>1.875</v>
      </c>
      <c r="N52" s="7">
        <v>1.4</v>
      </c>
      <c r="O52">
        <f t="shared" si="17"/>
        <v>0.94791666666666663</v>
      </c>
      <c r="P52" s="7">
        <v>1.38</v>
      </c>
      <c r="R52" s="45"/>
    </row>
    <row r="53" spans="2:18">
      <c r="B53" s="1">
        <v>41150</v>
      </c>
      <c r="C53">
        <v>1.1200000000000001</v>
      </c>
      <c r="D53" s="7">
        <v>0.75</v>
      </c>
      <c r="E53" s="7">
        <v>0.9</v>
      </c>
      <c r="F53" s="7">
        <v>0.5</v>
      </c>
      <c r="G53" s="7">
        <v>1.2</v>
      </c>
      <c r="H53" s="7">
        <v>1.65</v>
      </c>
      <c r="I53" s="7">
        <v>1.7</v>
      </c>
      <c r="J53" s="7">
        <v>1.8</v>
      </c>
      <c r="K53" s="7" t="s">
        <v>209</v>
      </c>
      <c r="L53" s="7">
        <v>1.5</v>
      </c>
      <c r="M53">
        <v>2.1</v>
      </c>
      <c r="N53" s="7">
        <v>1.4</v>
      </c>
      <c r="O53" s="7">
        <f t="shared" si="17"/>
        <v>0.94791666666666663</v>
      </c>
      <c r="P53" s="7">
        <v>1.38</v>
      </c>
      <c r="R53" s="45"/>
    </row>
    <row r="54" spans="2:18">
      <c r="B54" s="1">
        <v>41284.597222222219</v>
      </c>
      <c r="C54">
        <f>14/12</f>
        <v>1.1666666666666667</v>
      </c>
      <c r="D54" s="7">
        <v>0.75</v>
      </c>
      <c r="E54" s="7">
        <v>0.9</v>
      </c>
      <c r="F54" s="7">
        <v>0.5</v>
      </c>
      <c r="G54" s="7">
        <v>1.2</v>
      </c>
      <c r="H54" s="7">
        <v>1.65</v>
      </c>
      <c r="I54" s="7">
        <v>1.7</v>
      </c>
      <c r="J54" s="7">
        <v>1.8</v>
      </c>
      <c r="K54" s="7" t="s">
        <v>209</v>
      </c>
      <c r="L54" s="7">
        <v>1.5</v>
      </c>
      <c r="M54" s="7">
        <v>2.1</v>
      </c>
      <c r="N54" s="7">
        <v>1.4</v>
      </c>
      <c r="O54" s="7">
        <f t="shared" si="17"/>
        <v>0.94791666666666663</v>
      </c>
      <c r="P54" s="7">
        <v>1.38</v>
      </c>
      <c r="R54" s="45"/>
    </row>
    <row r="55" spans="2:18">
      <c r="B55" s="1">
        <v>41358</v>
      </c>
      <c r="C55">
        <v>1.33</v>
      </c>
      <c r="D55" s="7">
        <v>0.75</v>
      </c>
      <c r="E55" s="7">
        <v>0.9</v>
      </c>
      <c r="F55" s="7">
        <v>0.5</v>
      </c>
      <c r="G55" s="7">
        <v>1.2</v>
      </c>
      <c r="H55" s="7">
        <v>1.65</v>
      </c>
      <c r="I55" s="7">
        <v>1.7</v>
      </c>
      <c r="J55" s="7">
        <v>1.8</v>
      </c>
      <c r="K55" s="7" t="s">
        <v>209</v>
      </c>
      <c r="L55" s="7">
        <v>1.5</v>
      </c>
      <c r="M55">
        <v>2.2799999999999998</v>
      </c>
      <c r="N55">
        <v>1.81</v>
      </c>
      <c r="O55">
        <v>1.1000000000000001</v>
      </c>
      <c r="P55">
        <v>1.38</v>
      </c>
      <c r="R55" s="45"/>
    </row>
    <row r="56" spans="2:18">
      <c r="B56" s="1">
        <v>41418</v>
      </c>
      <c r="C56">
        <f>16.5/12</f>
        <v>1.375</v>
      </c>
      <c r="D56" s="7">
        <v>0.75</v>
      </c>
      <c r="E56" s="7">
        <v>0.9</v>
      </c>
      <c r="F56" s="7">
        <v>0.5</v>
      </c>
      <c r="G56" s="7">
        <v>1.2</v>
      </c>
      <c r="H56" s="7">
        <v>1.65</v>
      </c>
      <c r="I56" s="7">
        <v>1.7</v>
      </c>
      <c r="J56" s="7">
        <v>1.8</v>
      </c>
      <c r="K56">
        <f>13/12</f>
        <v>1.0833333333333333</v>
      </c>
      <c r="L56" s="7">
        <v>1.5</v>
      </c>
      <c r="M56">
        <f>13/12</f>
        <v>1.0833333333333333</v>
      </c>
      <c r="N56">
        <v>1</v>
      </c>
      <c r="O56" s="7">
        <v>1.1000000000000001</v>
      </c>
      <c r="P56" s="7">
        <v>1.38</v>
      </c>
      <c r="R56" s="45"/>
    </row>
    <row r="57" spans="2:18">
      <c r="B57" s="1">
        <v>41743</v>
      </c>
      <c r="C57" s="7">
        <f>16.5/12</f>
        <v>1.375</v>
      </c>
      <c r="D57" s="7">
        <v>0.75</v>
      </c>
      <c r="E57" s="7">
        <v>0.9</v>
      </c>
      <c r="F57" s="7">
        <v>0.5</v>
      </c>
      <c r="G57" s="7">
        <v>1.2</v>
      </c>
      <c r="H57" s="7">
        <v>1.65</v>
      </c>
      <c r="I57" s="7">
        <v>1.7</v>
      </c>
      <c r="J57" s="7">
        <v>1.8</v>
      </c>
      <c r="K57" s="7">
        <f>13/12</f>
        <v>1.0833333333333333</v>
      </c>
      <c r="L57" s="7">
        <v>2.5</v>
      </c>
      <c r="M57" s="7">
        <f>13/12</f>
        <v>1.0833333333333333</v>
      </c>
      <c r="N57" s="7">
        <v>1</v>
      </c>
      <c r="O57" s="7">
        <v>1.1000000000000001</v>
      </c>
      <c r="P57" s="7">
        <v>1.38</v>
      </c>
      <c r="R57" s="45"/>
    </row>
    <row r="58" spans="2:18">
      <c r="B58" t="s">
        <v>220</v>
      </c>
      <c r="R58" s="45"/>
    </row>
    <row r="59" spans="2:18">
      <c r="C59" t="s">
        <v>87</v>
      </c>
      <c r="D59" t="s">
        <v>88</v>
      </c>
      <c r="E59" t="s">
        <v>89</v>
      </c>
      <c r="F59" t="s">
        <v>90</v>
      </c>
      <c r="G59" t="s">
        <v>91</v>
      </c>
      <c r="H59" t="s">
        <v>92</v>
      </c>
      <c r="I59" t="s">
        <v>93</v>
      </c>
      <c r="J59" t="s">
        <v>94</v>
      </c>
      <c r="K59" t="s">
        <v>95</v>
      </c>
      <c r="L59" t="s">
        <v>96</v>
      </c>
      <c r="M59" t="s">
        <v>97</v>
      </c>
      <c r="N59" t="s">
        <v>98</v>
      </c>
      <c r="O59" t="s">
        <v>207</v>
      </c>
      <c r="P59" t="s">
        <v>208</v>
      </c>
      <c r="R59" s="45"/>
    </row>
    <row r="60" spans="2:18">
      <c r="B60" s="1">
        <v>40897</v>
      </c>
      <c r="C60" s="7">
        <v>4.9000000000000004</v>
      </c>
      <c r="D60" s="7"/>
      <c r="E60" s="7">
        <v>6.1</v>
      </c>
      <c r="F60" s="7">
        <v>4.0999999999999996</v>
      </c>
      <c r="G60" s="7"/>
      <c r="H60" s="7"/>
      <c r="I60" s="7"/>
      <c r="J60" s="7">
        <v>3.8</v>
      </c>
      <c r="K60" s="7">
        <f t="shared" ref="K60:K67" si="18">30.5/12</f>
        <v>2.5416666666666665</v>
      </c>
      <c r="L60" s="7"/>
      <c r="M60" s="7">
        <v>6.8</v>
      </c>
      <c r="N60" s="7">
        <v>3.5</v>
      </c>
      <c r="O60" s="7">
        <v>7.7</v>
      </c>
      <c r="P60" s="7">
        <v>7.9</v>
      </c>
      <c r="R60" s="45"/>
    </row>
    <row r="61" spans="2:18">
      <c r="B61" s="1">
        <v>40956</v>
      </c>
      <c r="C61" s="7">
        <v>4.9000000000000004</v>
      </c>
      <c r="D61" s="7"/>
      <c r="E61" s="7">
        <v>6.1</v>
      </c>
      <c r="F61" s="7">
        <v>4.0999999999999996</v>
      </c>
      <c r="G61" s="7"/>
      <c r="H61" s="7"/>
      <c r="I61" s="7"/>
      <c r="J61" s="7">
        <v>3.8</v>
      </c>
      <c r="K61" s="7">
        <f t="shared" si="18"/>
        <v>2.5416666666666665</v>
      </c>
      <c r="L61" s="7"/>
      <c r="M61" s="7">
        <v>6.8</v>
      </c>
      <c r="N61" s="7">
        <v>3.5</v>
      </c>
      <c r="O61" s="7">
        <v>7.7</v>
      </c>
      <c r="P61" s="7">
        <v>7.9</v>
      </c>
      <c r="R61" s="45"/>
    </row>
    <row r="62" spans="2:18">
      <c r="B62" s="1">
        <v>41005</v>
      </c>
      <c r="C62" s="7">
        <v>4.9000000000000004</v>
      </c>
      <c r="E62">
        <v>6.1</v>
      </c>
      <c r="F62">
        <v>4.0999999999999996</v>
      </c>
      <c r="J62">
        <v>3.8</v>
      </c>
      <c r="K62" s="7">
        <f t="shared" si="18"/>
        <v>2.5416666666666665</v>
      </c>
      <c r="M62" s="7">
        <v>6.8</v>
      </c>
      <c r="N62" s="7">
        <v>3.5</v>
      </c>
      <c r="O62" s="7">
        <v>7.7</v>
      </c>
      <c r="P62" s="7">
        <v>7.9</v>
      </c>
      <c r="R62" s="45"/>
    </row>
    <row r="63" spans="2:18">
      <c r="B63" s="1">
        <v>41074</v>
      </c>
      <c r="C63" s="7">
        <v>4.9000000000000004</v>
      </c>
      <c r="D63" s="7"/>
      <c r="E63" s="7">
        <v>6.1</v>
      </c>
      <c r="F63" s="7">
        <v>4.0999999999999996</v>
      </c>
      <c r="G63" s="7"/>
      <c r="H63" s="7"/>
      <c r="I63" s="7"/>
      <c r="J63" s="7">
        <v>3.8</v>
      </c>
      <c r="K63" s="7">
        <f t="shared" si="18"/>
        <v>2.5416666666666665</v>
      </c>
      <c r="L63" s="7"/>
      <c r="M63" s="7">
        <v>6.8</v>
      </c>
      <c r="N63" s="7">
        <v>3.5</v>
      </c>
      <c r="O63" s="7">
        <v>7.7</v>
      </c>
      <c r="P63" s="7">
        <v>7.9</v>
      </c>
      <c r="R63" s="45"/>
    </row>
    <row r="64" spans="2:18">
      <c r="B64" s="1">
        <v>41138</v>
      </c>
      <c r="C64" s="7">
        <v>4.9000000000000004</v>
      </c>
      <c r="D64" s="7"/>
      <c r="E64" s="7">
        <v>6.1</v>
      </c>
      <c r="F64" s="7">
        <v>4.0999999999999996</v>
      </c>
      <c r="G64" s="7"/>
      <c r="H64" s="7"/>
      <c r="I64" s="7"/>
      <c r="J64" s="7">
        <v>3.8</v>
      </c>
      <c r="K64" s="7">
        <f t="shared" si="18"/>
        <v>2.5416666666666665</v>
      </c>
      <c r="L64" s="7"/>
      <c r="M64" s="7">
        <v>6.8</v>
      </c>
      <c r="N64" s="7">
        <v>3.5</v>
      </c>
      <c r="O64" s="7">
        <v>7.7</v>
      </c>
      <c r="P64" s="7">
        <v>7.9</v>
      </c>
      <c r="R64" s="45"/>
    </row>
    <row r="65" spans="2:18">
      <c r="B65" s="1">
        <v>41150</v>
      </c>
      <c r="C65">
        <v>4.9000000000000004</v>
      </c>
      <c r="E65" s="7">
        <v>6.1</v>
      </c>
      <c r="F65" s="7">
        <v>4.0999999999999996</v>
      </c>
      <c r="J65" s="7">
        <v>3.8</v>
      </c>
      <c r="K65" s="7">
        <f t="shared" si="18"/>
        <v>2.5416666666666665</v>
      </c>
      <c r="M65">
        <v>6.8</v>
      </c>
      <c r="N65" s="7">
        <v>3.5</v>
      </c>
      <c r="O65" s="7">
        <v>7.7</v>
      </c>
      <c r="P65" s="7">
        <v>7.9</v>
      </c>
      <c r="R65" s="45"/>
    </row>
    <row r="66" spans="2:18">
      <c r="B66" s="1">
        <v>41284</v>
      </c>
      <c r="C66" s="7">
        <v>4.9000000000000004</v>
      </c>
      <c r="D66" s="7"/>
      <c r="E66" s="7">
        <v>6.1</v>
      </c>
      <c r="F66" s="7">
        <v>4.0999999999999996</v>
      </c>
      <c r="G66" s="7"/>
      <c r="H66" s="7"/>
      <c r="I66" s="7"/>
      <c r="J66" s="7">
        <v>3.8</v>
      </c>
      <c r="K66" s="7">
        <f t="shared" si="18"/>
        <v>2.5416666666666665</v>
      </c>
      <c r="L66" s="7"/>
      <c r="M66" s="7">
        <v>6.8</v>
      </c>
      <c r="N66" s="7">
        <v>3.5</v>
      </c>
      <c r="O66" s="7">
        <v>7.7</v>
      </c>
      <c r="P66" s="7">
        <v>7.9</v>
      </c>
      <c r="R66" s="45"/>
    </row>
    <row r="67" spans="2:18">
      <c r="B67" s="1">
        <v>41358</v>
      </c>
      <c r="C67">
        <v>4.9800000000000004</v>
      </c>
      <c r="E67" s="7">
        <v>6.1</v>
      </c>
      <c r="F67" s="7">
        <v>4.0999999999999996</v>
      </c>
      <c r="J67" s="7">
        <v>3.8</v>
      </c>
      <c r="K67" s="7">
        <f t="shared" si="18"/>
        <v>2.5416666666666665</v>
      </c>
      <c r="M67">
        <v>7</v>
      </c>
      <c r="N67">
        <v>3.5</v>
      </c>
      <c r="O67">
        <v>7.7</v>
      </c>
      <c r="P67">
        <v>7.9</v>
      </c>
      <c r="R67" s="45"/>
    </row>
    <row r="68" spans="2:18">
      <c r="B68" s="1">
        <v>41418</v>
      </c>
      <c r="C68">
        <v>5</v>
      </c>
      <c r="E68" s="7">
        <v>6.1</v>
      </c>
      <c r="F68" s="7">
        <v>4.0999999999999996</v>
      </c>
      <c r="J68" s="7">
        <v>3.8</v>
      </c>
      <c r="K68">
        <f>30.5/12</f>
        <v>2.5416666666666665</v>
      </c>
      <c r="M68">
        <f>75/12</f>
        <v>6.25</v>
      </c>
      <c r="N68">
        <v>3</v>
      </c>
      <c r="O68" s="7">
        <v>7.7</v>
      </c>
      <c r="P68" s="7">
        <v>7.9</v>
      </c>
      <c r="R68" s="45"/>
    </row>
    <row r="69" spans="2:18">
      <c r="B69" s="1">
        <v>41743</v>
      </c>
      <c r="C69" s="7">
        <v>5</v>
      </c>
      <c r="D69" s="7"/>
      <c r="E69" s="7">
        <v>6.1</v>
      </c>
      <c r="F69" s="7">
        <v>4.0999999999999996</v>
      </c>
      <c r="G69" s="7"/>
      <c r="H69" s="7"/>
      <c r="I69" s="7"/>
      <c r="J69" s="7">
        <v>3.8</v>
      </c>
      <c r="K69" s="7">
        <f>30.5/12</f>
        <v>2.5416666666666665</v>
      </c>
      <c r="L69" s="7"/>
      <c r="M69" s="7">
        <f>75/12</f>
        <v>6.25</v>
      </c>
      <c r="N69" s="7">
        <v>3</v>
      </c>
      <c r="O69" s="7">
        <v>7.7</v>
      </c>
      <c r="P69" s="7">
        <v>7.9</v>
      </c>
      <c r="R69" s="45"/>
    </row>
    <row r="70" spans="2:18">
      <c r="R70" s="45"/>
    </row>
    <row r="71" spans="2:18">
      <c r="R71" s="45"/>
    </row>
    <row r="72" spans="2:18">
      <c r="R72" s="45"/>
    </row>
    <row r="73" spans="2:18">
      <c r="B73" t="s">
        <v>221</v>
      </c>
      <c r="C73" t="s">
        <v>87</v>
      </c>
      <c r="D73" t="s">
        <v>88</v>
      </c>
      <c r="E73" t="s">
        <v>89</v>
      </c>
      <c r="F73" t="s">
        <v>90</v>
      </c>
      <c r="G73" t="s">
        <v>91</v>
      </c>
      <c r="H73" t="s">
        <v>92</v>
      </c>
      <c r="I73" t="s">
        <v>93</v>
      </c>
      <c r="J73" t="s">
        <v>94</v>
      </c>
      <c r="K73" t="s">
        <v>95</v>
      </c>
      <c r="L73" t="s">
        <v>96</v>
      </c>
      <c r="M73" t="s">
        <v>97</v>
      </c>
      <c r="N73" t="s">
        <v>98</v>
      </c>
      <c r="O73" t="s">
        <v>207</v>
      </c>
      <c r="P73" t="s">
        <v>208</v>
      </c>
      <c r="R73" s="45"/>
    </row>
    <row r="74" spans="2:18">
      <c r="B74" s="1">
        <v>40897</v>
      </c>
      <c r="C74">
        <f t="shared" ref="C74:C83" si="19">C60-C48</f>
        <v>3.9000000000000004</v>
      </c>
      <c r="D74" t="e">
        <f t="shared" ref="D74:J83" si="20">IF(D60="",NA(),D60-D48)</f>
        <v>#N/A</v>
      </c>
      <c r="E74">
        <f t="shared" si="20"/>
        <v>5.1999999999999993</v>
      </c>
      <c r="F74">
        <f t="shared" si="20"/>
        <v>3.5999999999999996</v>
      </c>
      <c r="G74" t="e">
        <f t="shared" si="20"/>
        <v>#N/A</v>
      </c>
      <c r="H74" t="e">
        <f t="shared" si="20"/>
        <v>#N/A</v>
      </c>
      <c r="I74" t="e">
        <f t="shared" si="20"/>
        <v>#N/A</v>
      </c>
      <c r="J74">
        <f t="shared" si="20"/>
        <v>1.9999999999999998</v>
      </c>
      <c r="K74" t="e">
        <f>IFERROR(IF(K60="",NA(),K60-K48),NA())</f>
        <v>#N/A</v>
      </c>
      <c r="L74" t="e">
        <f t="shared" ref="L74:P83" si="21">IF(L60="",NA(),L60-L48)</f>
        <v>#N/A</v>
      </c>
      <c r="M74">
        <f t="shared" si="21"/>
        <v>5.15</v>
      </c>
      <c r="N74">
        <f t="shared" si="21"/>
        <v>2.1</v>
      </c>
      <c r="O74">
        <f t="shared" si="21"/>
        <v>6.7520833333333332</v>
      </c>
      <c r="P74">
        <f t="shared" si="21"/>
        <v>6.5200000000000005</v>
      </c>
      <c r="R74" s="45"/>
    </row>
    <row r="75" spans="2:18">
      <c r="B75" s="1">
        <v>40956</v>
      </c>
      <c r="C75">
        <f t="shared" si="19"/>
        <v>3.9000000000000004</v>
      </c>
      <c r="D75" t="e">
        <f t="shared" si="20"/>
        <v>#N/A</v>
      </c>
      <c r="E75">
        <f t="shared" si="20"/>
        <v>5.1999999999999993</v>
      </c>
      <c r="F75">
        <f t="shared" si="20"/>
        <v>3.5999999999999996</v>
      </c>
      <c r="G75" t="e">
        <f t="shared" si="20"/>
        <v>#N/A</v>
      </c>
      <c r="H75" t="e">
        <f t="shared" si="20"/>
        <v>#N/A</v>
      </c>
      <c r="I75" t="e">
        <f t="shared" si="20"/>
        <v>#N/A</v>
      </c>
      <c r="J75">
        <f t="shared" si="20"/>
        <v>1.9999999999999998</v>
      </c>
      <c r="K75" t="e">
        <f t="shared" ref="K75:K83" si="22">IFERROR(IF(K61="",NA(),K61-K49),NA())</f>
        <v>#N/A</v>
      </c>
      <c r="L75" t="e">
        <f t="shared" si="21"/>
        <v>#N/A</v>
      </c>
      <c r="M75">
        <f t="shared" si="21"/>
        <v>5.15</v>
      </c>
      <c r="N75">
        <f t="shared" si="21"/>
        <v>2.1</v>
      </c>
      <c r="O75">
        <f t="shared" si="21"/>
        <v>6.7520833333333332</v>
      </c>
      <c r="P75">
        <f t="shared" si="21"/>
        <v>6.5200000000000005</v>
      </c>
      <c r="R75" s="45"/>
    </row>
    <row r="76" spans="2:18">
      <c r="B76" s="1">
        <v>41005</v>
      </c>
      <c r="C76">
        <f t="shared" si="19"/>
        <v>3.9000000000000004</v>
      </c>
      <c r="D76" t="e">
        <f t="shared" si="20"/>
        <v>#N/A</v>
      </c>
      <c r="E76">
        <f t="shared" si="20"/>
        <v>5.1999999999999993</v>
      </c>
      <c r="F76">
        <f t="shared" si="20"/>
        <v>3.5999999999999996</v>
      </c>
      <c r="G76" t="e">
        <f t="shared" si="20"/>
        <v>#N/A</v>
      </c>
      <c r="H76" t="e">
        <f t="shared" si="20"/>
        <v>#N/A</v>
      </c>
      <c r="I76" t="e">
        <f t="shared" si="20"/>
        <v>#N/A</v>
      </c>
      <c r="J76">
        <f t="shared" si="20"/>
        <v>1.9999999999999998</v>
      </c>
      <c r="K76" t="e">
        <f t="shared" si="22"/>
        <v>#N/A</v>
      </c>
      <c r="L76" t="e">
        <f t="shared" si="21"/>
        <v>#N/A</v>
      </c>
      <c r="M76">
        <f t="shared" si="21"/>
        <v>5</v>
      </c>
      <c r="N76">
        <f t="shared" si="21"/>
        <v>2.1</v>
      </c>
      <c r="O76">
        <f t="shared" si="21"/>
        <v>6.7520833333333332</v>
      </c>
      <c r="P76">
        <f t="shared" si="21"/>
        <v>6.5200000000000005</v>
      </c>
      <c r="R76" s="45"/>
    </row>
    <row r="77" spans="2:18">
      <c r="B77" s="1">
        <v>41074</v>
      </c>
      <c r="C77">
        <f t="shared" si="19"/>
        <v>3.9000000000000004</v>
      </c>
      <c r="D77" t="e">
        <f t="shared" si="20"/>
        <v>#N/A</v>
      </c>
      <c r="E77">
        <f t="shared" si="20"/>
        <v>5.1999999999999993</v>
      </c>
      <c r="F77">
        <f t="shared" si="20"/>
        <v>3.5999999999999996</v>
      </c>
      <c r="G77" t="e">
        <f t="shared" si="20"/>
        <v>#N/A</v>
      </c>
      <c r="H77" t="e">
        <f t="shared" si="20"/>
        <v>#N/A</v>
      </c>
      <c r="I77" t="e">
        <f t="shared" si="20"/>
        <v>#N/A</v>
      </c>
      <c r="J77">
        <f t="shared" si="20"/>
        <v>1.9999999999999998</v>
      </c>
      <c r="K77" t="e">
        <f t="shared" si="22"/>
        <v>#N/A</v>
      </c>
      <c r="L77" t="e">
        <f t="shared" si="21"/>
        <v>#N/A</v>
      </c>
      <c r="M77">
        <f t="shared" si="21"/>
        <v>5.0611548556430446</v>
      </c>
      <c r="N77">
        <f t="shared" si="21"/>
        <v>2.1</v>
      </c>
      <c r="O77">
        <f t="shared" si="21"/>
        <v>6.7520833333333332</v>
      </c>
      <c r="P77">
        <f t="shared" si="21"/>
        <v>6.5200000000000005</v>
      </c>
      <c r="R77" s="45"/>
    </row>
    <row r="78" spans="2:18">
      <c r="B78" s="1">
        <v>41138</v>
      </c>
      <c r="C78">
        <f t="shared" si="19"/>
        <v>2.9000000000000004</v>
      </c>
      <c r="D78" t="e">
        <f t="shared" si="20"/>
        <v>#N/A</v>
      </c>
      <c r="E78">
        <f t="shared" si="20"/>
        <v>5.1999999999999993</v>
      </c>
      <c r="F78">
        <f t="shared" si="20"/>
        <v>3.5999999999999996</v>
      </c>
      <c r="G78" t="e">
        <f t="shared" si="20"/>
        <v>#N/A</v>
      </c>
      <c r="H78" t="e">
        <f t="shared" si="20"/>
        <v>#N/A</v>
      </c>
      <c r="I78" t="e">
        <f t="shared" si="20"/>
        <v>#N/A</v>
      </c>
      <c r="J78">
        <f t="shared" si="20"/>
        <v>1.9999999999999998</v>
      </c>
      <c r="K78" t="e">
        <f t="shared" si="22"/>
        <v>#N/A</v>
      </c>
      <c r="L78" t="e">
        <f t="shared" si="21"/>
        <v>#N/A</v>
      </c>
      <c r="M78">
        <f t="shared" si="21"/>
        <v>4.9249999999999998</v>
      </c>
      <c r="N78">
        <f t="shared" si="21"/>
        <v>2.1</v>
      </c>
      <c r="O78">
        <f t="shared" si="21"/>
        <v>6.7520833333333332</v>
      </c>
      <c r="P78">
        <f t="shared" si="21"/>
        <v>6.5200000000000005</v>
      </c>
      <c r="R78" s="45"/>
    </row>
    <row r="79" spans="2:18">
      <c r="B79" s="1">
        <v>41150</v>
      </c>
      <c r="C79">
        <f t="shared" si="19"/>
        <v>3.7800000000000002</v>
      </c>
      <c r="D79" t="e">
        <f t="shared" si="20"/>
        <v>#N/A</v>
      </c>
      <c r="E79">
        <f t="shared" si="20"/>
        <v>5.1999999999999993</v>
      </c>
      <c r="F79">
        <f t="shared" si="20"/>
        <v>3.5999999999999996</v>
      </c>
      <c r="G79" t="e">
        <f t="shared" si="20"/>
        <v>#N/A</v>
      </c>
      <c r="H79" t="e">
        <f t="shared" si="20"/>
        <v>#N/A</v>
      </c>
      <c r="I79" t="e">
        <f t="shared" si="20"/>
        <v>#N/A</v>
      </c>
      <c r="J79">
        <f t="shared" si="20"/>
        <v>1.9999999999999998</v>
      </c>
      <c r="K79" t="e">
        <f t="shared" si="22"/>
        <v>#N/A</v>
      </c>
      <c r="L79" t="e">
        <f t="shared" si="21"/>
        <v>#N/A</v>
      </c>
      <c r="M79">
        <f t="shared" si="21"/>
        <v>4.6999999999999993</v>
      </c>
      <c r="N79">
        <f t="shared" si="21"/>
        <v>2.1</v>
      </c>
      <c r="O79">
        <f t="shared" si="21"/>
        <v>6.7520833333333332</v>
      </c>
      <c r="P79">
        <f t="shared" si="21"/>
        <v>6.5200000000000005</v>
      </c>
      <c r="R79" s="45"/>
    </row>
    <row r="80" spans="2:18">
      <c r="B80" s="1">
        <v>41284</v>
      </c>
      <c r="C80">
        <f t="shared" si="19"/>
        <v>3.7333333333333334</v>
      </c>
      <c r="D80" t="e">
        <f t="shared" si="20"/>
        <v>#N/A</v>
      </c>
      <c r="E80">
        <f t="shared" si="20"/>
        <v>5.1999999999999993</v>
      </c>
      <c r="F80">
        <f t="shared" si="20"/>
        <v>3.5999999999999996</v>
      </c>
      <c r="G80" t="e">
        <f t="shared" si="20"/>
        <v>#N/A</v>
      </c>
      <c r="H80" t="e">
        <f t="shared" si="20"/>
        <v>#N/A</v>
      </c>
      <c r="I80" t="e">
        <f t="shared" si="20"/>
        <v>#N/A</v>
      </c>
      <c r="J80">
        <f t="shared" si="20"/>
        <v>1.9999999999999998</v>
      </c>
      <c r="K80" t="e">
        <f t="shared" si="22"/>
        <v>#N/A</v>
      </c>
      <c r="L80" t="e">
        <f t="shared" si="21"/>
        <v>#N/A</v>
      </c>
      <c r="M80">
        <f t="shared" si="21"/>
        <v>4.6999999999999993</v>
      </c>
      <c r="N80">
        <f t="shared" si="21"/>
        <v>2.1</v>
      </c>
      <c r="O80">
        <f t="shared" si="21"/>
        <v>6.7520833333333332</v>
      </c>
      <c r="P80">
        <f t="shared" si="21"/>
        <v>6.5200000000000005</v>
      </c>
      <c r="R80" s="45"/>
    </row>
    <row r="81" spans="2:16">
      <c r="B81" s="1">
        <v>41358</v>
      </c>
      <c r="C81">
        <f t="shared" si="19"/>
        <v>3.6500000000000004</v>
      </c>
      <c r="D81" t="e">
        <f t="shared" si="20"/>
        <v>#N/A</v>
      </c>
      <c r="E81">
        <f t="shared" si="20"/>
        <v>5.1999999999999993</v>
      </c>
      <c r="F81">
        <f t="shared" si="20"/>
        <v>3.5999999999999996</v>
      </c>
      <c r="G81" t="e">
        <f t="shared" si="20"/>
        <v>#N/A</v>
      </c>
      <c r="H81" t="e">
        <f t="shared" si="20"/>
        <v>#N/A</v>
      </c>
      <c r="I81" t="e">
        <f t="shared" si="20"/>
        <v>#N/A</v>
      </c>
      <c r="J81">
        <f t="shared" si="20"/>
        <v>1.9999999999999998</v>
      </c>
      <c r="K81" t="e">
        <f t="shared" si="22"/>
        <v>#N/A</v>
      </c>
      <c r="L81" t="e">
        <f t="shared" si="21"/>
        <v>#N/A</v>
      </c>
      <c r="M81">
        <f t="shared" si="21"/>
        <v>4.7200000000000006</v>
      </c>
      <c r="N81">
        <f t="shared" si="21"/>
        <v>1.69</v>
      </c>
      <c r="O81">
        <f t="shared" si="21"/>
        <v>6.6</v>
      </c>
      <c r="P81">
        <f t="shared" si="21"/>
        <v>6.5200000000000005</v>
      </c>
    </row>
    <row r="82" spans="2:16">
      <c r="B82" s="1">
        <v>41418</v>
      </c>
      <c r="C82">
        <f t="shared" si="19"/>
        <v>3.625</v>
      </c>
      <c r="D82" t="e">
        <f t="shared" si="20"/>
        <v>#N/A</v>
      </c>
      <c r="E82">
        <f t="shared" si="20"/>
        <v>5.1999999999999993</v>
      </c>
      <c r="F82">
        <f t="shared" si="20"/>
        <v>3.5999999999999996</v>
      </c>
      <c r="G82" t="e">
        <f t="shared" si="20"/>
        <v>#N/A</v>
      </c>
      <c r="H82" t="e">
        <f t="shared" si="20"/>
        <v>#N/A</v>
      </c>
      <c r="I82" t="e">
        <f t="shared" si="20"/>
        <v>#N/A</v>
      </c>
      <c r="J82">
        <f t="shared" si="20"/>
        <v>1.9999999999999998</v>
      </c>
      <c r="K82">
        <f t="shared" si="22"/>
        <v>1.4583333333333333</v>
      </c>
      <c r="L82" t="e">
        <f t="shared" si="21"/>
        <v>#N/A</v>
      </c>
      <c r="M82">
        <f t="shared" si="21"/>
        <v>5.166666666666667</v>
      </c>
      <c r="N82">
        <f t="shared" si="21"/>
        <v>2</v>
      </c>
      <c r="O82">
        <f t="shared" si="21"/>
        <v>6.6</v>
      </c>
      <c r="P82">
        <f t="shared" si="21"/>
        <v>6.5200000000000005</v>
      </c>
    </row>
    <row r="83" spans="2:16">
      <c r="B83" s="1">
        <v>41743</v>
      </c>
      <c r="C83">
        <f t="shared" si="19"/>
        <v>3.625</v>
      </c>
      <c r="D83" t="e">
        <f t="shared" si="20"/>
        <v>#N/A</v>
      </c>
      <c r="E83">
        <f t="shared" si="20"/>
        <v>5.1999999999999993</v>
      </c>
      <c r="F83">
        <f t="shared" si="20"/>
        <v>3.5999999999999996</v>
      </c>
      <c r="G83" t="e">
        <f t="shared" si="20"/>
        <v>#N/A</v>
      </c>
      <c r="H83" t="e">
        <f t="shared" si="20"/>
        <v>#N/A</v>
      </c>
      <c r="I83" t="e">
        <f t="shared" si="20"/>
        <v>#N/A</v>
      </c>
      <c r="J83">
        <f t="shared" si="20"/>
        <v>1.9999999999999998</v>
      </c>
      <c r="K83">
        <f t="shared" si="22"/>
        <v>1.4583333333333333</v>
      </c>
      <c r="L83" t="e">
        <f t="shared" si="21"/>
        <v>#N/A</v>
      </c>
      <c r="M83">
        <f t="shared" si="21"/>
        <v>5.166666666666667</v>
      </c>
      <c r="N83">
        <f t="shared" si="21"/>
        <v>2</v>
      </c>
      <c r="O83">
        <f t="shared" si="21"/>
        <v>6.6</v>
      </c>
      <c r="P83">
        <f t="shared" si="21"/>
        <v>6.5200000000000005</v>
      </c>
    </row>
    <row r="85" spans="2:16">
      <c r="C85">
        <f>CONVERT(C74,"ft","cm")</f>
        <v>118.87200000000003</v>
      </c>
      <c r="M85">
        <f>CONVERT(M74,"ft","cm")</f>
        <v>156.97200000000004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4"/>
  <sheetViews>
    <sheetView topLeftCell="B2" workbookViewId="0">
      <selection activeCell="N10" sqref="N10"/>
    </sheetView>
  </sheetViews>
  <sheetFormatPr defaultRowHeight="15"/>
  <cols>
    <col min="2" max="2" width="9.5703125" bestFit="1" customWidth="1"/>
    <col min="11" max="11" width="13.140625" customWidth="1"/>
    <col min="12" max="12" width="16.28515625" bestFit="1" customWidth="1"/>
    <col min="13" max="14" width="9.7109375" customWidth="1"/>
    <col min="15" max="15" width="8.7109375" customWidth="1"/>
    <col min="16" max="18" width="9.7109375" customWidth="1"/>
    <col min="19" max="20" width="8.7109375" customWidth="1"/>
    <col min="21" max="22" width="9.7109375" customWidth="1"/>
    <col min="23" max="23" width="11.28515625" customWidth="1"/>
  </cols>
  <sheetData>
    <row r="1" spans="1:23">
      <c r="A1" t="s">
        <v>165</v>
      </c>
      <c r="B1" t="s">
        <v>166</v>
      </c>
    </row>
    <row r="2" spans="1:23">
      <c r="A2" s="30" t="s">
        <v>167</v>
      </c>
      <c r="B2" s="30" t="s">
        <v>168</v>
      </c>
      <c r="C2" s="30" t="s">
        <v>5</v>
      </c>
      <c r="D2" s="30" t="s">
        <v>169</v>
      </c>
      <c r="E2" s="30" t="s">
        <v>170</v>
      </c>
      <c r="F2" s="30" t="s">
        <v>171</v>
      </c>
      <c r="G2" s="31" t="s">
        <v>172</v>
      </c>
      <c r="K2" s="2" t="s">
        <v>195</v>
      </c>
      <c r="L2" s="2" t="s">
        <v>3</v>
      </c>
    </row>
    <row r="3" spans="1:23">
      <c r="A3" s="30" t="s">
        <v>173</v>
      </c>
      <c r="B3" s="32">
        <v>41409</v>
      </c>
      <c r="C3" s="30">
        <v>1</v>
      </c>
      <c r="D3" s="30">
        <v>56.4</v>
      </c>
      <c r="E3" s="30">
        <v>1.1000000000000001</v>
      </c>
      <c r="F3" s="30">
        <v>25</v>
      </c>
      <c r="G3" s="30"/>
      <c r="K3" s="2" t="s">
        <v>2</v>
      </c>
      <c r="L3" s="1">
        <v>41409</v>
      </c>
      <c r="M3" s="1">
        <v>41416</v>
      </c>
      <c r="N3" s="1">
        <v>41424</v>
      </c>
      <c r="O3" s="1">
        <v>41429</v>
      </c>
      <c r="P3" s="1">
        <v>41436</v>
      </c>
      <c r="Q3" s="1">
        <v>41444</v>
      </c>
      <c r="R3" s="1">
        <v>41452</v>
      </c>
      <c r="S3" s="1">
        <v>41457</v>
      </c>
      <c r="T3" s="1">
        <v>41463</v>
      </c>
      <c r="U3" s="1">
        <v>41471</v>
      </c>
      <c r="V3" s="1">
        <v>41481</v>
      </c>
      <c r="W3" s="1" t="s">
        <v>54</v>
      </c>
    </row>
    <row r="4" spans="1:23">
      <c r="A4" s="30" t="s">
        <v>173</v>
      </c>
      <c r="B4" s="32">
        <v>41409</v>
      </c>
      <c r="C4" s="30">
        <v>2</v>
      </c>
      <c r="D4" s="30">
        <v>56.1</v>
      </c>
      <c r="E4" s="30">
        <v>0.7</v>
      </c>
      <c r="F4" s="30">
        <v>14</v>
      </c>
      <c r="G4" s="30"/>
      <c r="K4" s="5">
        <v>1</v>
      </c>
      <c r="L4" s="4">
        <v>1.1000000000000001</v>
      </c>
      <c r="M4" s="4">
        <v>1.03</v>
      </c>
      <c r="N4" s="4">
        <v>2.5</v>
      </c>
      <c r="O4" s="4">
        <v>2.68</v>
      </c>
      <c r="P4" s="4">
        <v>4.4400000000000004</v>
      </c>
      <c r="Q4" s="4">
        <v>4.63</v>
      </c>
      <c r="R4" s="4">
        <v>3.75</v>
      </c>
      <c r="S4" s="4">
        <v>4.9800000000000004</v>
      </c>
      <c r="T4" s="4">
        <v>2.98</v>
      </c>
      <c r="U4" s="4">
        <v>4.17</v>
      </c>
      <c r="V4" s="4">
        <v>3.2</v>
      </c>
      <c r="W4" s="4">
        <v>35.46</v>
      </c>
    </row>
    <row r="5" spans="1:23">
      <c r="A5" s="30" t="s">
        <v>173</v>
      </c>
      <c r="B5" s="32">
        <v>41409</v>
      </c>
      <c r="C5" s="30">
        <v>3</v>
      </c>
      <c r="D5" s="30">
        <v>51.2</v>
      </c>
      <c r="E5" s="30">
        <v>1.06</v>
      </c>
      <c r="F5" s="30">
        <v>24</v>
      </c>
      <c r="G5" s="30"/>
      <c r="K5" s="5">
        <v>2</v>
      </c>
      <c r="L5" s="4">
        <v>0.7</v>
      </c>
      <c r="M5" s="4">
        <v>0.86</v>
      </c>
      <c r="N5" s="4">
        <v>1.4</v>
      </c>
      <c r="O5" s="4">
        <v>2.79</v>
      </c>
      <c r="P5" s="4">
        <v>2.23</v>
      </c>
      <c r="Q5" s="4">
        <v>2.66</v>
      </c>
      <c r="R5" s="4">
        <v>3.34</v>
      </c>
      <c r="S5" s="4">
        <v>3.05</v>
      </c>
      <c r="T5" s="4">
        <v>3.01</v>
      </c>
      <c r="U5" s="4">
        <v>2.7</v>
      </c>
      <c r="V5" s="4">
        <v>1.98</v>
      </c>
      <c r="W5" s="4">
        <v>24.72</v>
      </c>
    </row>
    <row r="6" spans="1:23">
      <c r="A6" s="30" t="s">
        <v>173</v>
      </c>
      <c r="B6" s="32">
        <v>41409</v>
      </c>
      <c r="C6" s="30">
        <v>4</v>
      </c>
      <c r="D6" s="30">
        <v>54.2</v>
      </c>
      <c r="E6" s="30">
        <v>0.79</v>
      </c>
      <c r="F6" s="30">
        <v>19</v>
      </c>
      <c r="G6" s="30"/>
      <c r="K6" s="5">
        <v>3</v>
      </c>
      <c r="L6" s="4">
        <v>1.06</v>
      </c>
      <c r="M6" s="4">
        <v>1.9</v>
      </c>
      <c r="N6" s="4">
        <v>2.89</v>
      </c>
      <c r="O6" s="4">
        <v>3.26</v>
      </c>
      <c r="P6" s="4">
        <v>3.69</v>
      </c>
      <c r="Q6" s="4">
        <v>3.79</v>
      </c>
      <c r="R6" s="4">
        <v>4.3099999999999996</v>
      </c>
      <c r="S6" s="4">
        <v>4.66</v>
      </c>
      <c r="T6" s="4">
        <v>4.04</v>
      </c>
      <c r="U6" s="4">
        <v>3.98</v>
      </c>
      <c r="V6" s="4">
        <v>2.88</v>
      </c>
      <c r="W6" s="4">
        <v>36.46</v>
      </c>
    </row>
    <row r="7" spans="1:23">
      <c r="A7" s="30" t="s">
        <v>173</v>
      </c>
      <c r="B7" s="32">
        <v>41409</v>
      </c>
      <c r="C7" s="30">
        <v>5</v>
      </c>
      <c r="D7" s="30">
        <v>63.5</v>
      </c>
      <c r="E7" s="30">
        <v>0.98</v>
      </c>
      <c r="F7" s="30">
        <v>21</v>
      </c>
      <c r="G7" s="30"/>
      <c r="K7" s="5">
        <v>4</v>
      </c>
      <c r="L7" s="4">
        <v>0.79</v>
      </c>
      <c r="M7" s="4">
        <v>0.92</v>
      </c>
      <c r="N7" s="4">
        <v>1.65</v>
      </c>
      <c r="O7" s="4">
        <v>1.85</v>
      </c>
      <c r="P7" s="4">
        <v>2.46</v>
      </c>
      <c r="Q7" s="4">
        <v>3.14</v>
      </c>
      <c r="R7" s="4">
        <v>3.34</v>
      </c>
      <c r="S7" s="4">
        <v>3.23</v>
      </c>
      <c r="T7" s="4">
        <v>53.2</v>
      </c>
      <c r="U7" s="4">
        <v>3.07</v>
      </c>
      <c r="V7" s="4">
        <v>2.36</v>
      </c>
      <c r="W7" s="4">
        <v>76.009999999999991</v>
      </c>
    </row>
    <row r="8" spans="1:23">
      <c r="A8" s="30" t="s">
        <v>173</v>
      </c>
      <c r="B8" s="32">
        <v>41409</v>
      </c>
      <c r="C8" s="30">
        <v>6</v>
      </c>
      <c r="D8" s="30">
        <v>50.9</v>
      </c>
      <c r="E8" s="30">
        <v>0.47</v>
      </c>
      <c r="F8" s="30">
        <v>17</v>
      </c>
      <c r="G8" s="30"/>
      <c r="K8" s="5">
        <v>5</v>
      </c>
      <c r="L8" s="4">
        <v>0.98</v>
      </c>
      <c r="M8" s="4">
        <v>1.83</v>
      </c>
      <c r="N8" s="4">
        <v>2.58</v>
      </c>
      <c r="O8" s="4">
        <v>2.65</v>
      </c>
      <c r="P8" s="4">
        <v>2.48</v>
      </c>
      <c r="Q8" s="4">
        <v>3.35</v>
      </c>
      <c r="R8" s="4">
        <v>3.28</v>
      </c>
      <c r="S8" s="4">
        <v>2.2799999999999998</v>
      </c>
      <c r="T8" s="4">
        <v>2.3199999999999998</v>
      </c>
      <c r="U8" s="4">
        <v>2.46</v>
      </c>
      <c r="V8" s="4">
        <v>1.54</v>
      </c>
      <c r="W8" s="4">
        <v>25.750000000000004</v>
      </c>
    </row>
    <row r="9" spans="1:23">
      <c r="A9" s="30" t="s">
        <v>173</v>
      </c>
      <c r="B9" s="32">
        <v>41409</v>
      </c>
      <c r="C9" s="30">
        <v>7</v>
      </c>
      <c r="D9" s="30">
        <v>50.8</v>
      </c>
      <c r="E9" s="30">
        <v>1.1000000000000001</v>
      </c>
      <c r="F9" s="30">
        <v>20</v>
      </c>
      <c r="G9" s="30"/>
      <c r="K9" s="5">
        <v>6</v>
      </c>
      <c r="L9" s="4">
        <v>0.47</v>
      </c>
      <c r="M9" s="4">
        <v>1.78</v>
      </c>
      <c r="N9" s="4">
        <v>2.58</v>
      </c>
      <c r="O9" s="4">
        <v>3.55</v>
      </c>
      <c r="P9" s="4">
        <v>3.34</v>
      </c>
      <c r="Q9" s="4">
        <v>3.68</v>
      </c>
      <c r="R9" s="4">
        <v>4.1399999999999997</v>
      </c>
      <c r="S9" s="4">
        <v>3.68</v>
      </c>
      <c r="T9" s="4">
        <v>3.66</v>
      </c>
      <c r="U9" s="4">
        <v>2.58</v>
      </c>
      <c r="V9" s="4">
        <v>2.5</v>
      </c>
      <c r="W9" s="4">
        <v>31.96</v>
      </c>
    </row>
    <row r="10" spans="1:23">
      <c r="A10" s="30" t="s">
        <v>173</v>
      </c>
      <c r="B10" s="32">
        <v>41409</v>
      </c>
      <c r="C10" s="30">
        <v>8</v>
      </c>
      <c r="D10" s="30">
        <v>49.5</v>
      </c>
      <c r="E10" s="30">
        <v>0.34</v>
      </c>
      <c r="F10" s="30">
        <v>17</v>
      </c>
      <c r="G10" s="30"/>
      <c r="K10" s="5">
        <v>7</v>
      </c>
      <c r="L10" s="4">
        <v>1.1000000000000001</v>
      </c>
      <c r="M10" s="4">
        <v>2.19</v>
      </c>
      <c r="N10" s="4">
        <v>2.7</v>
      </c>
      <c r="O10" s="4">
        <v>3.18</v>
      </c>
      <c r="P10" s="4">
        <v>3.94</v>
      </c>
      <c r="Q10" s="4">
        <v>3.76</v>
      </c>
      <c r="R10" s="4">
        <v>4.68</v>
      </c>
      <c r="S10" s="4">
        <v>5.83</v>
      </c>
      <c r="T10" s="4">
        <v>4.83</v>
      </c>
      <c r="U10" s="4">
        <v>5.95</v>
      </c>
      <c r="V10" s="4">
        <v>4.42</v>
      </c>
      <c r="W10" s="4">
        <v>42.58</v>
      </c>
    </row>
    <row r="11" spans="1:23">
      <c r="A11" s="30" t="s">
        <v>173</v>
      </c>
      <c r="B11" s="32">
        <v>41409</v>
      </c>
      <c r="C11" s="30">
        <v>9</v>
      </c>
      <c r="D11" s="30">
        <v>53.6</v>
      </c>
      <c r="E11" s="30">
        <v>0.93</v>
      </c>
      <c r="F11" s="30">
        <v>20</v>
      </c>
      <c r="G11" s="30"/>
      <c r="K11" s="5">
        <v>8</v>
      </c>
      <c r="L11" s="4">
        <v>0.34</v>
      </c>
      <c r="M11" s="4">
        <v>0.4</v>
      </c>
      <c r="N11" s="4">
        <v>1.36</v>
      </c>
      <c r="O11" s="4">
        <v>1.6</v>
      </c>
      <c r="P11" s="4">
        <v>2.97</v>
      </c>
      <c r="Q11" s="4">
        <v>3.16</v>
      </c>
      <c r="R11" s="4">
        <v>2.71</v>
      </c>
      <c r="S11" s="4">
        <v>2.38</v>
      </c>
      <c r="T11" s="4">
        <v>2.62</v>
      </c>
      <c r="U11" s="4">
        <v>3.09</v>
      </c>
      <c r="V11" s="4">
        <v>2.63</v>
      </c>
      <c r="W11" s="4">
        <v>23.259999999999998</v>
      </c>
    </row>
    <row r="12" spans="1:23">
      <c r="A12" s="30" t="s">
        <v>173</v>
      </c>
      <c r="B12" s="32">
        <v>41409</v>
      </c>
      <c r="C12" s="30">
        <v>10</v>
      </c>
      <c r="D12" s="30">
        <v>48.6</v>
      </c>
      <c r="E12" s="30">
        <v>0.31</v>
      </c>
      <c r="F12" s="30">
        <v>15</v>
      </c>
      <c r="G12" s="30"/>
      <c r="K12" s="5">
        <v>9</v>
      </c>
      <c r="L12" s="4">
        <v>0.93</v>
      </c>
      <c r="M12" s="4">
        <v>1.19</v>
      </c>
      <c r="N12" s="4">
        <v>2.4500000000000002</v>
      </c>
      <c r="O12" s="4">
        <v>1.96</v>
      </c>
      <c r="P12" s="4">
        <v>3.63</v>
      </c>
      <c r="Q12" s="4">
        <v>3.7</v>
      </c>
      <c r="R12" s="4">
        <v>3.18</v>
      </c>
      <c r="S12" s="4">
        <v>3.23</v>
      </c>
      <c r="T12" s="4">
        <v>3</v>
      </c>
      <c r="U12" s="4">
        <v>2.57</v>
      </c>
      <c r="V12" s="4">
        <v>2.5</v>
      </c>
      <c r="W12" s="4">
        <v>28.34</v>
      </c>
    </row>
    <row r="13" spans="1:23">
      <c r="A13" s="30" t="s">
        <v>173</v>
      </c>
      <c r="B13" s="32">
        <v>41409</v>
      </c>
      <c r="C13" s="30">
        <v>11</v>
      </c>
      <c r="D13" s="30">
        <v>50.7</v>
      </c>
      <c r="E13" s="30">
        <v>0.69</v>
      </c>
      <c r="F13" s="30">
        <v>15</v>
      </c>
      <c r="G13" s="30"/>
      <c r="K13" s="5">
        <v>10</v>
      </c>
      <c r="L13" s="4">
        <v>0.31</v>
      </c>
      <c r="M13" s="4">
        <v>0.31</v>
      </c>
      <c r="N13" s="4">
        <v>0.88</v>
      </c>
      <c r="O13" s="4">
        <v>1.41</v>
      </c>
      <c r="P13" s="4">
        <v>2.19</v>
      </c>
      <c r="Q13" s="4">
        <v>2.74</v>
      </c>
      <c r="R13" s="4">
        <v>2.1800000000000002</v>
      </c>
      <c r="S13" s="4">
        <v>3.6</v>
      </c>
      <c r="T13" s="4">
        <v>2.7</v>
      </c>
      <c r="U13" s="4">
        <v>2.82</v>
      </c>
      <c r="V13" s="4">
        <v>2.4</v>
      </c>
      <c r="W13" s="4">
        <v>21.54</v>
      </c>
    </row>
    <row r="14" spans="1:23">
      <c r="A14" s="30" t="s">
        <v>173</v>
      </c>
      <c r="B14" s="32">
        <v>41409</v>
      </c>
      <c r="C14" s="30">
        <v>12</v>
      </c>
      <c r="D14" s="30">
        <v>47.6</v>
      </c>
      <c r="E14" s="30">
        <v>0.18</v>
      </c>
      <c r="F14" s="30">
        <v>12</v>
      </c>
      <c r="G14" s="30"/>
      <c r="K14" s="5">
        <v>11</v>
      </c>
      <c r="L14" s="4">
        <v>0.69</v>
      </c>
      <c r="M14" s="4">
        <v>0.63</v>
      </c>
      <c r="N14" s="4">
        <v>0.85</v>
      </c>
      <c r="O14" s="4">
        <v>1.33</v>
      </c>
      <c r="P14" s="4">
        <v>2.65</v>
      </c>
      <c r="Q14" s="4">
        <v>2.89</v>
      </c>
      <c r="R14" s="4">
        <v>3.46</v>
      </c>
      <c r="S14" s="4">
        <v>5.39</v>
      </c>
      <c r="T14" s="4">
        <v>4.95</v>
      </c>
      <c r="U14" s="4">
        <v>2.84</v>
      </c>
      <c r="V14" s="4">
        <v>3.14</v>
      </c>
      <c r="W14" s="4">
        <v>28.82</v>
      </c>
    </row>
    <row r="15" spans="1:23">
      <c r="A15" s="30" t="s">
        <v>173</v>
      </c>
      <c r="B15" s="32">
        <v>41416</v>
      </c>
      <c r="C15" s="30">
        <v>1</v>
      </c>
      <c r="D15" s="30">
        <v>53.9</v>
      </c>
      <c r="E15" s="30">
        <v>1.03</v>
      </c>
      <c r="F15" s="30">
        <v>35</v>
      </c>
      <c r="G15" s="30"/>
      <c r="K15" s="5">
        <v>12</v>
      </c>
      <c r="L15" s="4">
        <v>0.18</v>
      </c>
      <c r="M15" s="4">
        <v>0.49</v>
      </c>
      <c r="N15" s="4">
        <v>0.66</v>
      </c>
      <c r="O15" s="4">
        <v>0.94</v>
      </c>
      <c r="P15" s="4">
        <v>0.87</v>
      </c>
      <c r="Q15" s="4">
        <v>1.01</v>
      </c>
      <c r="R15" s="4">
        <v>2.11</v>
      </c>
      <c r="S15" s="4">
        <v>2.11</v>
      </c>
      <c r="T15" s="4">
        <v>2.34</v>
      </c>
      <c r="U15" s="4">
        <v>3.32</v>
      </c>
      <c r="V15" s="4">
        <v>1.64</v>
      </c>
      <c r="W15" s="4">
        <v>15.67</v>
      </c>
    </row>
    <row r="16" spans="1:23">
      <c r="A16" s="30" t="s">
        <v>173</v>
      </c>
      <c r="B16" s="32">
        <v>41416</v>
      </c>
      <c r="C16" s="30">
        <v>2</v>
      </c>
      <c r="D16" s="30">
        <v>53.6</v>
      </c>
      <c r="E16" s="30">
        <v>0.86</v>
      </c>
      <c r="F16" s="30">
        <v>28</v>
      </c>
      <c r="G16" s="30"/>
      <c r="K16" s="5" t="s">
        <v>54</v>
      </c>
      <c r="L16" s="4">
        <v>8.65</v>
      </c>
      <c r="M16" s="4">
        <v>13.530000000000001</v>
      </c>
      <c r="N16" s="4">
        <v>22.5</v>
      </c>
      <c r="O16" s="4">
        <v>27.200000000000006</v>
      </c>
      <c r="P16" s="4">
        <v>34.89</v>
      </c>
      <c r="Q16" s="4">
        <v>38.51</v>
      </c>
      <c r="R16" s="4">
        <v>40.480000000000004</v>
      </c>
      <c r="S16" s="4">
        <v>44.42</v>
      </c>
      <c r="T16" s="4">
        <v>89.65</v>
      </c>
      <c r="U16" s="4">
        <v>39.550000000000004</v>
      </c>
      <c r="V16" s="4">
        <v>31.189999999999994</v>
      </c>
      <c r="W16" s="4">
        <v>390.57</v>
      </c>
    </row>
    <row r="17" spans="1:22">
      <c r="A17" s="30" t="s">
        <v>173</v>
      </c>
      <c r="B17" s="32">
        <v>41416</v>
      </c>
      <c r="C17" s="30">
        <v>3</v>
      </c>
      <c r="D17" s="30">
        <v>53.4</v>
      </c>
      <c r="E17" s="30">
        <v>1.9</v>
      </c>
      <c r="F17" s="30">
        <v>38</v>
      </c>
      <c r="G17" s="30"/>
      <c r="L17">
        <f>AVERAGE(L4:L15)</f>
        <v>0.72083333333333333</v>
      </c>
      <c r="M17">
        <f t="shared" ref="M17:V17" si="0">AVERAGE(M4:M15)</f>
        <v>1.1275000000000002</v>
      </c>
      <c r="N17">
        <f t="shared" si="0"/>
        <v>1.875</v>
      </c>
      <c r="O17">
        <f t="shared" si="0"/>
        <v>2.2666666666666671</v>
      </c>
      <c r="P17">
        <f t="shared" si="0"/>
        <v>2.9075000000000002</v>
      </c>
      <c r="Q17">
        <f t="shared" si="0"/>
        <v>3.2091666666666665</v>
      </c>
      <c r="R17">
        <f t="shared" si="0"/>
        <v>3.3733333333333335</v>
      </c>
      <c r="S17">
        <f t="shared" si="0"/>
        <v>3.7016666666666667</v>
      </c>
      <c r="T17">
        <f t="shared" si="0"/>
        <v>7.4708333333333341</v>
      </c>
      <c r="U17">
        <f t="shared" si="0"/>
        <v>3.2958333333333338</v>
      </c>
      <c r="V17">
        <f t="shared" si="0"/>
        <v>2.5991666666666662</v>
      </c>
    </row>
    <row r="18" spans="1:22">
      <c r="A18" s="30" t="s">
        <v>173</v>
      </c>
      <c r="B18" s="32">
        <v>41416</v>
      </c>
      <c r="C18" s="30">
        <v>4</v>
      </c>
      <c r="D18" s="30">
        <v>54.3</v>
      </c>
      <c r="E18" s="30">
        <v>0.92</v>
      </c>
      <c r="F18" s="30">
        <v>28</v>
      </c>
      <c r="G18" s="30"/>
      <c r="L18">
        <f>_xlfn.STDEV.S(L4:L15)</f>
        <v>0.32875684115476689</v>
      </c>
      <c r="M18">
        <f t="shared" ref="M18:V18" si="1">_xlfn.STDEV.S(M4:M15)</f>
        <v>0.64838435570830399</v>
      </c>
      <c r="N18">
        <f t="shared" si="1"/>
        <v>0.8248691356264285</v>
      </c>
      <c r="O18">
        <f t="shared" si="1"/>
        <v>0.86038398756636747</v>
      </c>
      <c r="P18">
        <f t="shared" si="1"/>
        <v>0.96833620194640935</v>
      </c>
      <c r="Q18">
        <f t="shared" si="1"/>
        <v>0.88467208442998735</v>
      </c>
      <c r="R18">
        <f t="shared" si="1"/>
        <v>0.78799323178142222</v>
      </c>
      <c r="S18">
        <f t="shared" si="1"/>
        <v>1.2473450593038395</v>
      </c>
      <c r="T18">
        <f t="shared" si="1"/>
        <v>14.42844819875798</v>
      </c>
      <c r="U18">
        <f t="shared" si="1"/>
        <v>0.99534789106242672</v>
      </c>
      <c r="V18">
        <f t="shared" si="1"/>
        <v>0.77403850424937415</v>
      </c>
    </row>
    <row r="19" spans="1:22">
      <c r="A19" s="30" t="s">
        <v>173</v>
      </c>
      <c r="B19" s="32">
        <v>41416</v>
      </c>
      <c r="C19" s="30">
        <v>5</v>
      </c>
      <c r="D19" s="30">
        <v>46.8</v>
      </c>
      <c r="E19" s="30">
        <v>1.83</v>
      </c>
      <c r="F19" s="30">
        <v>36</v>
      </c>
      <c r="G19" s="30"/>
      <c r="L19">
        <f>L18/L17</f>
        <v>0.45607885478117949</v>
      </c>
      <c r="M19">
        <f t="shared" ref="M19:V19" si="2">M18/M17</f>
        <v>0.57506373011822964</v>
      </c>
      <c r="N19">
        <f t="shared" si="2"/>
        <v>0.43993020566742852</v>
      </c>
      <c r="O19">
        <f t="shared" si="2"/>
        <v>0.37958117098516203</v>
      </c>
      <c r="P19">
        <f t="shared" si="2"/>
        <v>0.33304770488268592</v>
      </c>
      <c r="Q19">
        <f t="shared" si="2"/>
        <v>0.27567034570656579</v>
      </c>
      <c r="R19">
        <f t="shared" si="2"/>
        <v>0.23359483155575755</v>
      </c>
      <c r="S19">
        <f t="shared" si="2"/>
        <v>0.33696849868631418</v>
      </c>
      <c r="T19">
        <f t="shared" si="2"/>
        <v>1.9313037187406106</v>
      </c>
      <c r="U19">
        <f t="shared" si="2"/>
        <v>0.3020018885650852</v>
      </c>
      <c r="V19">
        <f t="shared" si="2"/>
        <v>0.29780256655955406</v>
      </c>
    </row>
    <row r="20" spans="1:22">
      <c r="A20" s="30" t="s">
        <v>173</v>
      </c>
      <c r="B20" s="32">
        <v>41416</v>
      </c>
      <c r="C20" s="30">
        <v>6</v>
      </c>
      <c r="D20" s="30">
        <v>49.2</v>
      </c>
      <c r="E20" s="30">
        <v>1.78</v>
      </c>
      <c r="F20" s="30">
        <v>34</v>
      </c>
      <c r="G20" s="30"/>
    </row>
    <row r="21" spans="1:22">
      <c r="A21" s="30" t="s">
        <v>173</v>
      </c>
      <c r="B21" s="32">
        <v>41416</v>
      </c>
      <c r="C21" s="30">
        <v>7</v>
      </c>
      <c r="D21" s="30">
        <v>53.6</v>
      </c>
      <c r="E21" s="30">
        <v>2.19</v>
      </c>
      <c r="F21" s="30">
        <v>35</v>
      </c>
      <c r="G21" s="30"/>
    </row>
    <row r="22" spans="1:22">
      <c r="A22" s="30" t="s">
        <v>173</v>
      </c>
      <c r="B22" s="32">
        <v>41416</v>
      </c>
      <c r="C22" s="30">
        <v>8</v>
      </c>
      <c r="D22" s="30">
        <v>51.6</v>
      </c>
      <c r="E22" s="30">
        <v>0.4</v>
      </c>
      <c r="F22" s="30">
        <v>30</v>
      </c>
      <c r="G22" s="30"/>
    </row>
    <row r="23" spans="1:22">
      <c r="A23" s="30" t="s">
        <v>173</v>
      </c>
      <c r="B23" s="32">
        <v>41416</v>
      </c>
      <c r="C23" s="30">
        <v>9</v>
      </c>
      <c r="D23" s="30">
        <v>51.2</v>
      </c>
      <c r="E23" s="30">
        <v>1.19</v>
      </c>
      <c r="F23" s="30">
        <v>31.5</v>
      </c>
      <c r="G23" s="30"/>
    </row>
    <row r="24" spans="1:22">
      <c r="A24" s="30" t="s">
        <v>173</v>
      </c>
      <c r="B24" s="32">
        <v>41416</v>
      </c>
      <c r="C24" s="30">
        <v>10</v>
      </c>
      <c r="D24" s="30">
        <v>51.6</v>
      </c>
      <c r="E24" s="30">
        <v>0.31</v>
      </c>
      <c r="F24" s="30">
        <v>26</v>
      </c>
      <c r="G24" s="30"/>
    </row>
    <row r="25" spans="1:22">
      <c r="A25" s="30" t="s">
        <v>173</v>
      </c>
      <c r="B25" s="32">
        <v>41416</v>
      </c>
      <c r="C25" s="30">
        <v>11</v>
      </c>
      <c r="D25" s="30">
        <v>49.3</v>
      </c>
      <c r="E25" s="30">
        <v>0.63</v>
      </c>
      <c r="F25" s="30">
        <v>31</v>
      </c>
      <c r="G25" s="30"/>
    </row>
    <row r="26" spans="1:22">
      <c r="A26" s="30" t="s">
        <v>173</v>
      </c>
      <c r="B26" s="32">
        <v>41416</v>
      </c>
      <c r="C26" s="30">
        <v>12</v>
      </c>
      <c r="D26" s="30">
        <v>55.6</v>
      </c>
      <c r="E26" s="30">
        <v>0.49</v>
      </c>
      <c r="F26" s="30">
        <v>24.5</v>
      </c>
      <c r="G26" s="30"/>
    </row>
    <row r="27" spans="1:22">
      <c r="A27" s="30" t="s">
        <v>173</v>
      </c>
      <c r="B27" s="32">
        <v>41424</v>
      </c>
      <c r="C27" s="30">
        <v>1</v>
      </c>
      <c r="D27" s="30">
        <v>53.1</v>
      </c>
      <c r="E27" s="30">
        <v>2.5</v>
      </c>
      <c r="F27" s="30">
        <v>48</v>
      </c>
      <c r="G27" s="30"/>
    </row>
    <row r="28" spans="1:22">
      <c r="A28" s="30" t="s">
        <v>173</v>
      </c>
      <c r="B28" s="32">
        <v>41424</v>
      </c>
      <c r="C28" s="30">
        <v>2</v>
      </c>
      <c r="D28" s="30">
        <v>51.2</v>
      </c>
      <c r="E28" s="30">
        <v>1.4</v>
      </c>
      <c r="F28" s="30">
        <v>32</v>
      </c>
      <c r="G28" s="30"/>
    </row>
    <row r="29" spans="1:22">
      <c r="A29" s="30" t="s">
        <v>173</v>
      </c>
      <c r="B29" s="32">
        <v>41424</v>
      </c>
      <c r="C29" s="30">
        <v>3</v>
      </c>
      <c r="D29" s="30">
        <v>49.2</v>
      </c>
      <c r="E29" s="30">
        <v>2.89</v>
      </c>
      <c r="F29" s="30">
        <v>47</v>
      </c>
      <c r="G29" s="30"/>
    </row>
    <row r="30" spans="1:22">
      <c r="A30" s="30" t="s">
        <v>173</v>
      </c>
      <c r="B30" s="32">
        <v>41424</v>
      </c>
      <c r="C30" s="30">
        <v>4</v>
      </c>
      <c r="D30" s="30">
        <v>55.1</v>
      </c>
      <c r="E30" s="30">
        <v>1.65</v>
      </c>
      <c r="F30" s="30">
        <v>35</v>
      </c>
      <c r="G30" s="30"/>
    </row>
    <row r="31" spans="1:22">
      <c r="A31" s="30" t="s">
        <v>173</v>
      </c>
      <c r="B31" s="32">
        <v>41424</v>
      </c>
      <c r="C31" s="30">
        <v>5</v>
      </c>
      <c r="D31" s="30">
        <v>51.6</v>
      </c>
      <c r="E31" s="30">
        <v>2.58</v>
      </c>
      <c r="F31" s="30">
        <v>41</v>
      </c>
      <c r="G31" s="30"/>
    </row>
    <row r="32" spans="1:22">
      <c r="A32" s="30" t="s">
        <v>173</v>
      </c>
      <c r="B32" s="32">
        <v>41424</v>
      </c>
      <c r="C32" s="30">
        <v>6</v>
      </c>
      <c r="D32" s="30">
        <v>54.1</v>
      </c>
      <c r="E32" s="30">
        <v>2.58</v>
      </c>
      <c r="F32" s="30">
        <v>39</v>
      </c>
      <c r="G32" s="30"/>
    </row>
    <row r="33" spans="1:7">
      <c r="A33" s="30" t="s">
        <v>173</v>
      </c>
      <c r="B33" s="32">
        <v>41424</v>
      </c>
      <c r="C33" s="30">
        <v>7</v>
      </c>
      <c r="D33" s="30">
        <v>52.3</v>
      </c>
      <c r="E33" s="30">
        <v>2.7</v>
      </c>
      <c r="F33" s="30">
        <v>41</v>
      </c>
      <c r="G33" s="30"/>
    </row>
    <row r="34" spans="1:7">
      <c r="A34" s="30" t="s">
        <v>173</v>
      </c>
      <c r="B34" s="32">
        <v>41424</v>
      </c>
      <c r="C34" s="30">
        <v>8</v>
      </c>
      <c r="D34" s="30">
        <v>52</v>
      </c>
      <c r="E34" s="30">
        <v>1.36</v>
      </c>
      <c r="F34" s="30">
        <v>34</v>
      </c>
      <c r="G34" s="30"/>
    </row>
    <row r="35" spans="1:7">
      <c r="A35" s="30" t="s">
        <v>173</v>
      </c>
      <c r="B35" s="32">
        <v>41424</v>
      </c>
      <c r="C35" s="30">
        <v>9</v>
      </c>
      <c r="D35" s="30">
        <v>52.9</v>
      </c>
      <c r="E35" s="30">
        <v>2.4500000000000002</v>
      </c>
      <c r="F35" s="30">
        <v>42</v>
      </c>
      <c r="G35" s="30"/>
    </row>
    <row r="36" spans="1:7">
      <c r="A36" s="30" t="s">
        <v>173</v>
      </c>
      <c r="B36" s="32">
        <v>41424</v>
      </c>
      <c r="C36" s="30">
        <v>10</v>
      </c>
      <c r="D36" s="30">
        <v>54.6</v>
      </c>
      <c r="E36" s="30">
        <v>0.88</v>
      </c>
      <c r="F36" s="30">
        <v>30</v>
      </c>
      <c r="G36" s="30"/>
    </row>
    <row r="37" spans="1:7">
      <c r="A37" s="30" t="s">
        <v>173</v>
      </c>
      <c r="B37" s="32">
        <v>41424</v>
      </c>
      <c r="C37" s="30">
        <v>11</v>
      </c>
      <c r="D37" s="30">
        <v>55.2</v>
      </c>
      <c r="E37" s="30">
        <v>0.85</v>
      </c>
      <c r="F37" s="30">
        <v>38</v>
      </c>
      <c r="G37" s="30"/>
    </row>
    <row r="38" spans="1:7">
      <c r="A38" s="30" t="s">
        <v>173</v>
      </c>
      <c r="B38" s="32">
        <v>41424</v>
      </c>
      <c r="C38" s="30">
        <v>12</v>
      </c>
      <c r="D38" s="30">
        <v>54</v>
      </c>
      <c r="E38" s="30">
        <v>0.66</v>
      </c>
      <c r="F38" s="30">
        <v>26</v>
      </c>
      <c r="G38" s="30"/>
    </row>
    <row r="39" spans="1:7">
      <c r="A39" s="30" t="s">
        <v>87</v>
      </c>
      <c r="B39" s="32">
        <v>41429</v>
      </c>
      <c r="C39" s="30">
        <v>1</v>
      </c>
      <c r="D39" s="30">
        <v>55</v>
      </c>
      <c r="E39" s="30">
        <v>2.68</v>
      </c>
      <c r="F39" s="30"/>
      <c r="G39" s="30"/>
    </row>
    <row r="40" spans="1:7">
      <c r="A40" s="30" t="s">
        <v>174</v>
      </c>
      <c r="B40" s="32">
        <v>41429</v>
      </c>
      <c r="C40" s="30">
        <v>2</v>
      </c>
      <c r="D40" s="30">
        <v>56.3</v>
      </c>
      <c r="E40" s="30">
        <v>2.79</v>
      </c>
      <c r="F40" s="30"/>
      <c r="G40" s="30"/>
    </row>
    <row r="41" spans="1:7">
      <c r="A41" s="30" t="s">
        <v>89</v>
      </c>
      <c r="B41" s="32">
        <v>41429</v>
      </c>
      <c r="C41" s="30">
        <v>3</v>
      </c>
      <c r="D41" s="30">
        <v>52.2</v>
      </c>
      <c r="E41" s="30">
        <v>3.26</v>
      </c>
      <c r="F41" s="30"/>
      <c r="G41" s="30"/>
    </row>
    <row r="42" spans="1:7">
      <c r="A42" s="30" t="s">
        <v>90</v>
      </c>
      <c r="B42" s="32">
        <v>41429</v>
      </c>
      <c r="C42" s="30">
        <v>4</v>
      </c>
      <c r="D42" s="30">
        <v>55.7</v>
      </c>
      <c r="E42" s="30">
        <v>1.85</v>
      </c>
      <c r="F42" s="30"/>
      <c r="G42" s="30"/>
    </row>
    <row r="43" spans="1:7">
      <c r="A43" s="30" t="s">
        <v>91</v>
      </c>
      <c r="B43" s="32">
        <v>41429</v>
      </c>
      <c r="C43" s="30">
        <v>5</v>
      </c>
      <c r="D43" s="30">
        <v>52.7</v>
      </c>
      <c r="E43" s="30">
        <v>2.65</v>
      </c>
      <c r="F43" s="30"/>
      <c r="G43" s="30"/>
    </row>
    <row r="44" spans="1:7">
      <c r="A44" s="30" t="s">
        <v>92</v>
      </c>
      <c r="B44" s="32">
        <v>41429</v>
      </c>
      <c r="C44" s="30">
        <v>6</v>
      </c>
      <c r="D44" s="30">
        <v>55.8</v>
      </c>
      <c r="E44" s="30">
        <v>3.55</v>
      </c>
      <c r="F44" s="30"/>
      <c r="G44" s="30"/>
    </row>
    <row r="45" spans="1:7">
      <c r="A45" s="30" t="s">
        <v>93</v>
      </c>
      <c r="B45" s="32">
        <v>41429</v>
      </c>
      <c r="C45" s="30">
        <v>7</v>
      </c>
      <c r="D45" s="30">
        <v>54</v>
      </c>
      <c r="E45" s="30">
        <v>3.18</v>
      </c>
      <c r="F45" s="30"/>
      <c r="G45" s="30"/>
    </row>
    <row r="46" spans="1:7">
      <c r="A46" s="30" t="s">
        <v>94</v>
      </c>
      <c r="B46" s="32">
        <v>41429</v>
      </c>
      <c r="C46" s="30">
        <v>8</v>
      </c>
      <c r="D46" s="30">
        <v>56.3</v>
      </c>
      <c r="E46" s="30">
        <v>1.6</v>
      </c>
      <c r="F46" s="30"/>
      <c r="G46" s="30"/>
    </row>
    <row r="47" spans="1:7">
      <c r="A47" s="30" t="s">
        <v>95</v>
      </c>
      <c r="B47" s="32">
        <v>41429</v>
      </c>
      <c r="C47" s="30">
        <v>9</v>
      </c>
      <c r="D47" s="30">
        <v>51.2</v>
      </c>
      <c r="E47" s="30">
        <v>1.96</v>
      </c>
      <c r="F47" s="30"/>
      <c r="G47" s="30"/>
    </row>
    <row r="48" spans="1:7">
      <c r="A48" s="30" t="s">
        <v>96</v>
      </c>
      <c r="B48" s="32">
        <v>41429</v>
      </c>
      <c r="C48" s="30">
        <v>10</v>
      </c>
      <c r="D48" s="30">
        <v>48.9</v>
      </c>
      <c r="E48" s="30">
        <v>1.41</v>
      </c>
      <c r="F48" s="30"/>
      <c r="G48" s="30"/>
    </row>
    <row r="49" spans="1:7">
      <c r="A49" s="30" t="s">
        <v>97</v>
      </c>
      <c r="B49" s="32">
        <v>41429</v>
      </c>
      <c r="C49" s="30">
        <v>11</v>
      </c>
      <c r="D49" s="30">
        <v>61.9</v>
      </c>
      <c r="E49" s="30">
        <v>1.33</v>
      </c>
      <c r="F49" s="30"/>
      <c r="G49" s="30"/>
    </row>
    <row r="50" spans="1:7">
      <c r="A50" s="30" t="s">
        <v>98</v>
      </c>
      <c r="B50" s="32">
        <v>41429</v>
      </c>
      <c r="C50" s="30">
        <v>12</v>
      </c>
      <c r="D50" s="30">
        <v>52.7</v>
      </c>
      <c r="E50" s="30">
        <v>0.94</v>
      </c>
      <c r="F50" s="30"/>
      <c r="G50" s="30"/>
    </row>
    <row r="51" spans="1:7">
      <c r="A51" s="30" t="s">
        <v>173</v>
      </c>
      <c r="B51" s="32">
        <v>41436</v>
      </c>
      <c r="C51" s="30">
        <v>1</v>
      </c>
      <c r="D51" s="30">
        <v>51.6</v>
      </c>
      <c r="E51" s="30">
        <v>4.4400000000000004</v>
      </c>
      <c r="F51" s="30">
        <v>69</v>
      </c>
      <c r="G51" s="30"/>
    </row>
    <row r="52" spans="1:7">
      <c r="A52" s="30" t="s">
        <v>173</v>
      </c>
      <c r="B52" s="32">
        <v>41436</v>
      </c>
      <c r="C52" s="30">
        <v>2</v>
      </c>
      <c r="D52" s="30">
        <v>56.8</v>
      </c>
      <c r="E52" s="30">
        <v>2.23</v>
      </c>
      <c r="F52" s="30">
        <v>51</v>
      </c>
      <c r="G52" s="30"/>
    </row>
    <row r="53" spans="1:7">
      <c r="A53" s="30" t="s">
        <v>173</v>
      </c>
      <c r="B53" s="32">
        <v>41436</v>
      </c>
      <c r="C53" s="30">
        <v>3</v>
      </c>
      <c r="D53" s="30">
        <v>48.8</v>
      </c>
      <c r="E53" s="30">
        <v>3.69</v>
      </c>
      <c r="F53" s="30">
        <v>76</v>
      </c>
      <c r="G53" s="30"/>
    </row>
    <row r="54" spans="1:7">
      <c r="A54" s="30" t="s">
        <v>173</v>
      </c>
      <c r="B54" s="32">
        <v>41436</v>
      </c>
      <c r="C54" s="30">
        <v>4</v>
      </c>
      <c r="D54" s="30">
        <v>50</v>
      </c>
      <c r="E54" s="30">
        <v>2.46</v>
      </c>
      <c r="F54" s="30">
        <v>61</v>
      </c>
      <c r="G54" s="30"/>
    </row>
    <row r="55" spans="1:7">
      <c r="A55" s="30" t="s">
        <v>173</v>
      </c>
      <c r="B55" s="32">
        <v>41436</v>
      </c>
      <c r="C55" s="30">
        <v>5</v>
      </c>
      <c r="D55" s="30">
        <v>55</v>
      </c>
      <c r="E55" s="30">
        <v>2.48</v>
      </c>
      <c r="F55" s="30">
        <v>53</v>
      </c>
      <c r="G55" s="30"/>
    </row>
    <row r="56" spans="1:7">
      <c r="A56" s="30" t="s">
        <v>173</v>
      </c>
      <c r="B56" s="32">
        <v>41436</v>
      </c>
      <c r="C56" s="30">
        <v>6</v>
      </c>
      <c r="D56" s="30">
        <v>53.6</v>
      </c>
      <c r="E56" s="30">
        <v>3.34</v>
      </c>
      <c r="F56" s="30">
        <v>68</v>
      </c>
      <c r="G56" s="30"/>
    </row>
    <row r="57" spans="1:7">
      <c r="A57" s="30" t="s">
        <v>173</v>
      </c>
      <c r="B57" s="32">
        <v>41436</v>
      </c>
      <c r="C57" s="30">
        <v>7</v>
      </c>
      <c r="D57" s="30">
        <v>56.9</v>
      </c>
      <c r="E57" s="30">
        <v>3.94</v>
      </c>
      <c r="F57" s="30">
        <v>65</v>
      </c>
      <c r="G57" s="30"/>
    </row>
    <row r="58" spans="1:7">
      <c r="A58" s="30" t="s">
        <v>173</v>
      </c>
      <c r="B58" s="32">
        <v>41436</v>
      </c>
      <c r="C58" s="30">
        <v>8</v>
      </c>
      <c r="D58" s="30">
        <v>53.1</v>
      </c>
      <c r="E58" s="30">
        <v>2.97</v>
      </c>
      <c r="F58" s="30">
        <v>54</v>
      </c>
      <c r="G58" s="30"/>
    </row>
    <row r="59" spans="1:7">
      <c r="A59" s="30" t="s">
        <v>173</v>
      </c>
      <c r="B59" s="32">
        <v>41436</v>
      </c>
      <c r="C59" s="30">
        <v>9</v>
      </c>
      <c r="D59" s="30">
        <v>52.8</v>
      </c>
      <c r="E59" s="30">
        <v>3.63</v>
      </c>
      <c r="F59" s="30">
        <v>64</v>
      </c>
      <c r="G59" s="30"/>
    </row>
    <row r="60" spans="1:7">
      <c r="A60" s="30" t="s">
        <v>173</v>
      </c>
      <c r="B60" s="32">
        <v>41436</v>
      </c>
      <c r="C60" s="30">
        <v>10</v>
      </c>
      <c r="D60" s="30">
        <v>54.1</v>
      </c>
      <c r="E60" s="30">
        <v>2.19</v>
      </c>
      <c r="F60" s="30">
        <v>46</v>
      </c>
      <c r="G60" s="30"/>
    </row>
    <row r="61" spans="1:7">
      <c r="A61" s="30" t="s">
        <v>173</v>
      </c>
      <c r="B61" s="32">
        <v>41436</v>
      </c>
      <c r="C61" s="30">
        <v>11</v>
      </c>
      <c r="D61" s="30">
        <v>56.5</v>
      </c>
      <c r="E61" s="30">
        <v>2.65</v>
      </c>
      <c r="F61" s="30">
        <v>59</v>
      </c>
      <c r="G61" s="30"/>
    </row>
    <row r="62" spans="1:7">
      <c r="A62" s="30" t="s">
        <v>173</v>
      </c>
      <c r="B62" s="32">
        <v>41436</v>
      </c>
      <c r="C62" s="30">
        <v>12</v>
      </c>
      <c r="D62" s="30">
        <v>51.8</v>
      </c>
      <c r="E62" s="30">
        <v>0.87</v>
      </c>
      <c r="F62" s="30">
        <v>36</v>
      </c>
      <c r="G62" s="30"/>
    </row>
    <row r="63" spans="1:7">
      <c r="A63" s="30" t="s">
        <v>173</v>
      </c>
      <c r="B63" s="32">
        <v>41444</v>
      </c>
      <c r="C63" s="30">
        <v>1</v>
      </c>
      <c r="D63" s="30">
        <v>45</v>
      </c>
      <c r="E63" s="30">
        <v>4.63</v>
      </c>
      <c r="F63" s="30">
        <v>105</v>
      </c>
      <c r="G63" s="30"/>
    </row>
    <row r="64" spans="1:7">
      <c r="A64" s="30" t="s">
        <v>173</v>
      </c>
      <c r="B64" s="32">
        <v>41444</v>
      </c>
      <c r="C64" s="30">
        <v>2</v>
      </c>
      <c r="D64" s="30">
        <v>52.4</v>
      </c>
      <c r="E64" s="30">
        <v>2.66</v>
      </c>
      <c r="F64" s="30">
        <v>75</v>
      </c>
      <c r="G64" s="30"/>
    </row>
    <row r="65" spans="1:7">
      <c r="A65" s="30" t="s">
        <v>173</v>
      </c>
      <c r="B65" s="32">
        <v>41444</v>
      </c>
      <c r="C65" s="30">
        <v>3</v>
      </c>
      <c r="D65" s="30">
        <v>45.1</v>
      </c>
      <c r="E65" s="30">
        <v>3.79</v>
      </c>
      <c r="F65" s="30">
        <v>105</v>
      </c>
      <c r="G65" s="30"/>
    </row>
    <row r="66" spans="1:7">
      <c r="A66" s="30" t="s">
        <v>173</v>
      </c>
      <c r="B66" s="32">
        <v>41444</v>
      </c>
      <c r="C66" s="30">
        <v>4</v>
      </c>
      <c r="D66" s="30">
        <v>46.7</v>
      </c>
      <c r="E66" s="30">
        <v>3.14</v>
      </c>
      <c r="F66" s="30">
        <v>80</v>
      </c>
      <c r="G66" s="30"/>
    </row>
    <row r="67" spans="1:7">
      <c r="A67" s="30" t="s">
        <v>173</v>
      </c>
      <c r="B67" s="32">
        <v>41444</v>
      </c>
      <c r="C67" s="30">
        <v>5</v>
      </c>
      <c r="D67" s="30">
        <v>51.6</v>
      </c>
      <c r="E67" s="30">
        <v>3.35</v>
      </c>
      <c r="F67" s="30">
        <v>95</v>
      </c>
      <c r="G67" s="30"/>
    </row>
    <row r="68" spans="1:7">
      <c r="A68" s="30" t="s">
        <v>173</v>
      </c>
      <c r="B68" s="32">
        <v>41444</v>
      </c>
      <c r="C68" s="30">
        <v>6</v>
      </c>
      <c r="D68" s="30">
        <v>48.7</v>
      </c>
      <c r="E68" s="30">
        <v>3.68</v>
      </c>
      <c r="F68" s="30">
        <v>100</v>
      </c>
      <c r="G68" s="30"/>
    </row>
    <row r="69" spans="1:7">
      <c r="A69" s="30" t="s">
        <v>173</v>
      </c>
      <c r="B69" s="32">
        <v>41444</v>
      </c>
      <c r="C69" s="30">
        <v>7</v>
      </c>
      <c r="D69" s="30">
        <v>47.9</v>
      </c>
      <c r="E69" s="30">
        <v>3.76</v>
      </c>
      <c r="F69" s="30">
        <v>97</v>
      </c>
      <c r="G69" s="30"/>
    </row>
    <row r="70" spans="1:7">
      <c r="A70" s="30" t="s">
        <v>173</v>
      </c>
      <c r="B70" s="32">
        <v>41444</v>
      </c>
      <c r="C70" s="30">
        <v>8</v>
      </c>
      <c r="D70" s="30">
        <v>45</v>
      </c>
      <c r="E70" s="30">
        <v>3.16</v>
      </c>
      <c r="F70" s="30">
        <v>80</v>
      </c>
      <c r="G70" s="30"/>
    </row>
    <row r="71" spans="1:7">
      <c r="A71" s="30" t="s">
        <v>173</v>
      </c>
      <c r="B71" s="32">
        <v>41444</v>
      </c>
      <c r="C71" s="30">
        <v>9</v>
      </c>
      <c r="D71" s="30">
        <v>47.1</v>
      </c>
      <c r="E71" s="30">
        <v>3.7</v>
      </c>
      <c r="F71" s="30">
        <v>100</v>
      </c>
      <c r="G71" s="30"/>
    </row>
    <row r="72" spans="1:7">
      <c r="A72" s="30" t="s">
        <v>173</v>
      </c>
      <c r="B72" s="32">
        <v>41444</v>
      </c>
      <c r="C72" s="30">
        <v>10</v>
      </c>
      <c r="D72" s="30">
        <v>53.5</v>
      </c>
      <c r="E72" s="30">
        <v>2.74</v>
      </c>
      <c r="F72" s="30">
        <v>63</v>
      </c>
      <c r="G72" s="30"/>
    </row>
    <row r="73" spans="1:7">
      <c r="A73" s="30" t="s">
        <v>173</v>
      </c>
      <c r="B73" s="32">
        <v>41444</v>
      </c>
      <c r="C73" s="30">
        <v>11</v>
      </c>
      <c r="D73" s="30">
        <v>52</v>
      </c>
      <c r="E73" s="30">
        <v>2.89</v>
      </c>
      <c r="F73" s="30">
        <v>83</v>
      </c>
      <c r="G73" s="30"/>
    </row>
    <row r="74" spans="1:7">
      <c r="A74" s="30" t="s">
        <v>173</v>
      </c>
      <c r="B74" s="32">
        <v>41444</v>
      </c>
      <c r="C74" s="30">
        <v>12</v>
      </c>
      <c r="D74" s="30">
        <v>54.4</v>
      </c>
      <c r="E74" s="30">
        <v>1.01</v>
      </c>
      <c r="F74" s="30">
        <v>65</v>
      </c>
      <c r="G74" s="30"/>
    </row>
    <row r="75" spans="1:7">
      <c r="A75" s="30" t="s">
        <v>173</v>
      </c>
      <c r="B75" s="32">
        <v>41452</v>
      </c>
      <c r="C75" s="30">
        <v>1</v>
      </c>
      <c r="D75" s="30">
        <v>46.2</v>
      </c>
      <c r="E75" s="30">
        <v>3.75</v>
      </c>
      <c r="F75" s="30">
        <v>108</v>
      </c>
      <c r="G75" s="30"/>
    </row>
    <row r="76" spans="1:7">
      <c r="A76" s="30" t="s">
        <v>173</v>
      </c>
      <c r="B76" s="32">
        <v>41452</v>
      </c>
      <c r="C76" s="30">
        <v>2</v>
      </c>
      <c r="D76" s="30">
        <v>51.6</v>
      </c>
      <c r="E76" s="30">
        <v>3.34</v>
      </c>
      <c r="F76" s="30">
        <v>99</v>
      </c>
      <c r="G76" s="30"/>
    </row>
    <row r="77" spans="1:7">
      <c r="A77" s="30" t="s">
        <v>173</v>
      </c>
      <c r="B77" s="32">
        <v>41452</v>
      </c>
      <c r="C77" s="30">
        <v>3</v>
      </c>
      <c r="D77" s="30">
        <v>46.6</v>
      </c>
      <c r="E77" s="30">
        <v>4.3099999999999996</v>
      </c>
      <c r="F77" s="30">
        <v>121</v>
      </c>
      <c r="G77" s="30"/>
    </row>
    <row r="78" spans="1:7">
      <c r="A78" s="30" t="s">
        <v>173</v>
      </c>
      <c r="B78" s="32">
        <v>41452</v>
      </c>
      <c r="C78" s="30">
        <v>4</v>
      </c>
      <c r="D78" s="30">
        <v>46.4</v>
      </c>
      <c r="E78" s="30">
        <v>3.34</v>
      </c>
      <c r="F78" s="30">
        <v>92</v>
      </c>
      <c r="G78" s="30"/>
    </row>
    <row r="79" spans="1:7">
      <c r="A79" s="30" t="s">
        <v>173</v>
      </c>
      <c r="B79" s="32">
        <v>41452</v>
      </c>
      <c r="C79" s="30">
        <v>5</v>
      </c>
      <c r="D79" s="30">
        <v>48.3</v>
      </c>
      <c r="E79" s="30">
        <v>3.28</v>
      </c>
      <c r="F79" s="30">
        <v>92</v>
      </c>
      <c r="G79" s="30"/>
    </row>
    <row r="80" spans="1:7">
      <c r="A80" s="30" t="s">
        <v>173</v>
      </c>
      <c r="B80" s="32">
        <v>41452</v>
      </c>
      <c r="C80" s="30">
        <v>6</v>
      </c>
      <c r="D80" s="30">
        <v>52.1</v>
      </c>
      <c r="E80" s="30">
        <v>4.1399999999999997</v>
      </c>
      <c r="F80" s="30">
        <v>109</v>
      </c>
      <c r="G80" s="30"/>
    </row>
    <row r="81" spans="1:7">
      <c r="A81" s="30" t="s">
        <v>173</v>
      </c>
      <c r="B81" s="32">
        <v>41452</v>
      </c>
      <c r="C81" s="30">
        <v>7</v>
      </c>
      <c r="D81" s="30">
        <v>51</v>
      </c>
      <c r="E81" s="30">
        <v>4.68</v>
      </c>
      <c r="F81" s="30">
        <v>118</v>
      </c>
      <c r="G81" s="30"/>
    </row>
    <row r="82" spans="1:7">
      <c r="A82" s="30" t="s">
        <v>173</v>
      </c>
      <c r="B82" s="32">
        <v>41452</v>
      </c>
      <c r="C82" s="30">
        <v>8</v>
      </c>
      <c r="D82" s="30">
        <v>43.2</v>
      </c>
      <c r="E82" s="30">
        <v>2.71</v>
      </c>
      <c r="F82" s="30">
        <v>98</v>
      </c>
      <c r="G82" s="30"/>
    </row>
    <row r="83" spans="1:7">
      <c r="A83" s="30" t="s">
        <v>173</v>
      </c>
      <c r="B83" s="32">
        <v>41452</v>
      </c>
      <c r="C83" s="30">
        <v>9</v>
      </c>
      <c r="D83" s="30">
        <v>57</v>
      </c>
      <c r="E83" s="30">
        <v>3.18</v>
      </c>
      <c r="F83" s="30">
        <v>94</v>
      </c>
      <c r="G83" s="30"/>
    </row>
    <row r="84" spans="1:7">
      <c r="A84" s="30" t="s">
        <v>173</v>
      </c>
      <c r="B84" s="32">
        <v>41452</v>
      </c>
      <c r="C84" s="30">
        <v>10</v>
      </c>
      <c r="D84" s="30">
        <v>56.6</v>
      </c>
      <c r="E84" s="30">
        <v>2.1800000000000002</v>
      </c>
      <c r="F84" s="30">
        <v>95</v>
      </c>
      <c r="G84" s="30"/>
    </row>
    <row r="85" spans="1:7">
      <c r="A85" s="30" t="s">
        <v>173</v>
      </c>
      <c r="B85" s="32">
        <v>41452</v>
      </c>
      <c r="C85" s="30">
        <v>11</v>
      </c>
      <c r="D85" s="30">
        <v>53.2</v>
      </c>
      <c r="E85" s="30">
        <v>3.46</v>
      </c>
      <c r="F85" s="30">
        <v>99</v>
      </c>
      <c r="G85" s="30"/>
    </row>
    <row r="86" spans="1:7">
      <c r="A86" s="30" t="s">
        <v>173</v>
      </c>
      <c r="B86" s="32">
        <v>41452</v>
      </c>
      <c r="C86" s="30">
        <v>12</v>
      </c>
      <c r="D86" s="30">
        <v>56.4</v>
      </c>
      <c r="E86" s="30">
        <v>2.11</v>
      </c>
      <c r="F86" s="30">
        <v>82</v>
      </c>
      <c r="G86" s="30"/>
    </row>
    <row r="87" spans="1:7">
      <c r="A87" s="30" t="s">
        <v>173</v>
      </c>
      <c r="B87" s="32">
        <v>41457</v>
      </c>
      <c r="C87" s="30">
        <v>1</v>
      </c>
      <c r="D87" s="30">
        <v>51.6</v>
      </c>
      <c r="E87" s="30">
        <v>4.9800000000000004</v>
      </c>
      <c r="F87" s="30">
        <v>135</v>
      </c>
      <c r="G87" s="30"/>
    </row>
    <row r="88" spans="1:7">
      <c r="A88" s="30" t="s">
        <v>173</v>
      </c>
      <c r="B88" s="32">
        <v>41457</v>
      </c>
      <c r="C88" s="30">
        <v>2</v>
      </c>
      <c r="D88" s="30">
        <v>52.7</v>
      </c>
      <c r="E88" s="30">
        <v>3.05</v>
      </c>
      <c r="F88" s="30">
        <v>111</v>
      </c>
      <c r="G88" s="30"/>
    </row>
    <row r="89" spans="1:7">
      <c r="A89" s="30" t="s">
        <v>173</v>
      </c>
      <c r="B89" s="32">
        <v>41457</v>
      </c>
      <c r="C89" s="30">
        <v>3</v>
      </c>
      <c r="D89" s="30">
        <v>46.5</v>
      </c>
      <c r="E89" s="30">
        <v>4.66</v>
      </c>
      <c r="F89" s="30">
        <v>140</v>
      </c>
      <c r="G89" s="30"/>
    </row>
    <row r="90" spans="1:7">
      <c r="A90" s="30" t="s">
        <v>173</v>
      </c>
      <c r="B90" s="32">
        <v>41457</v>
      </c>
      <c r="C90" s="30">
        <v>4</v>
      </c>
      <c r="D90" s="30">
        <v>48</v>
      </c>
      <c r="E90" s="30">
        <v>3.23</v>
      </c>
      <c r="F90" s="30">
        <v>107</v>
      </c>
      <c r="G90" s="30"/>
    </row>
    <row r="91" spans="1:7">
      <c r="A91" s="30" t="s">
        <v>173</v>
      </c>
      <c r="B91" s="32">
        <v>41457</v>
      </c>
      <c r="C91" s="30">
        <v>5</v>
      </c>
      <c r="D91" s="30">
        <v>52.4</v>
      </c>
      <c r="E91" s="30">
        <v>2.2799999999999998</v>
      </c>
      <c r="F91" s="30">
        <v>108</v>
      </c>
      <c r="G91" s="30"/>
    </row>
    <row r="92" spans="1:7">
      <c r="A92" s="30" t="s">
        <v>173</v>
      </c>
      <c r="B92" s="32">
        <v>41457</v>
      </c>
      <c r="C92" s="30">
        <v>6</v>
      </c>
      <c r="D92" s="30">
        <v>50.9</v>
      </c>
      <c r="E92" s="30">
        <v>3.68</v>
      </c>
      <c r="F92" s="30">
        <v>119</v>
      </c>
      <c r="G92" s="30"/>
    </row>
    <row r="93" spans="1:7">
      <c r="A93" s="30" t="s">
        <v>173</v>
      </c>
      <c r="B93" s="32">
        <v>41457</v>
      </c>
      <c r="C93" s="30">
        <v>7</v>
      </c>
      <c r="D93" s="30">
        <v>51.6</v>
      </c>
      <c r="E93" s="30">
        <v>5.83</v>
      </c>
      <c r="F93" s="30">
        <v>127</v>
      </c>
      <c r="G93" s="30"/>
    </row>
    <row r="94" spans="1:7">
      <c r="A94" s="30" t="s">
        <v>173</v>
      </c>
      <c r="B94" s="32">
        <v>41457</v>
      </c>
      <c r="C94" s="30">
        <v>8</v>
      </c>
      <c r="D94" s="30">
        <v>51.1</v>
      </c>
      <c r="E94" s="30">
        <v>2.38</v>
      </c>
      <c r="F94" s="30">
        <v>107</v>
      </c>
      <c r="G94" s="30"/>
    </row>
    <row r="95" spans="1:7">
      <c r="A95" s="30" t="s">
        <v>173</v>
      </c>
      <c r="B95" s="32">
        <v>41457</v>
      </c>
      <c r="C95" s="30">
        <v>9</v>
      </c>
      <c r="D95" s="30">
        <v>51.2</v>
      </c>
      <c r="E95" s="30">
        <v>3.23</v>
      </c>
      <c r="F95" s="30">
        <v>111</v>
      </c>
      <c r="G95" s="30"/>
    </row>
    <row r="96" spans="1:7">
      <c r="A96" s="30" t="s">
        <v>173</v>
      </c>
      <c r="B96" s="32">
        <v>41457</v>
      </c>
      <c r="C96" s="30">
        <v>10</v>
      </c>
      <c r="D96" s="30">
        <v>57.8</v>
      </c>
      <c r="E96" s="30">
        <v>3.6</v>
      </c>
      <c r="F96" s="30">
        <v>96</v>
      </c>
      <c r="G96" s="30"/>
    </row>
    <row r="97" spans="1:7">
      <c r="A97" s="30" t="s">
        <v>173</v>
      </c>
      <c r="B97" s="32">
        <v>41457</v>
      </c>
      <c r="C97" s="30">
        <v>11</v>
      </c>
      <c r="D97" s="30">
        <v>54.5</v>
      </c>
      <c r="E97" s="30">
        <v>5.39</v>
      </c>
      <c r="F97" s="30">
        <v>124</v>
      </c>
      <c r="G97" s="30"/>
    </row>
    <row r="98" spans="1:7">
      <c r="A98" s="30" t="s">
        <v>173</v>
      </c>
      <c r="B98" s="32">
        <v>41457</v>
      </c>
      <c r="C98" s="30">
        <v>12</v>
      </c>
      <c r="D98" s="30">
        <v>51.4</v>
      </c>
      <c r="E98" s="30">
        <v>2.11</v>
      </c>
      <c r="F98" s="30">
        <v>92</v>
      </c>
      <c r="G98" s="30"/>
    </row>
    <row r="99" spans="1:7">
      <c r="A99" s="30" t="s">
        <v>173</v>
      </c>
      <c r="B99" s="32">
        <v>41463</v>
      </c>
      <c r="C99" s="30">
        <v>1</v>
      </c>
      <c r="D99" s="30">
        <v>50.5</v>
      </c>
      <c r="E99" s="30">
        <v>2.98</v>
      </c>
      <c r="F99" s="30">
        <v>110</v>
      </c>
      <c r="G99" s="30"/>
    </row>
    <row r="100" spans="1:7">
      <c r="A100" s="30" t="s">
        <v>173</v>
      </c>
      <c r="B100" s="32">
        <v>41463</v>
      </c>
      <c r="C100" s="30">
        <v>2</v>
      </c>
      <c r="D100" s="30">
        <v>53.6</v>
      </c>
      <c r="E100" s="30">
        <v>3.01</v>
      </c>
      <c r="F100" s="30">
        <v>105</v>
      </c>
      <c r="G100" s="30"/>
    </row>
    <row r="101" spans="1:7">
      <c r="A101" s="30" t="s">
        <v>173</v>
      </c>
      <c r="B101" s="32">
        <v>41463</v>
      </c>
      <c r="C101" s="30">
        <v>3</v>
      </c>
      <c r="D101" s="30">
        <v>47.3</v>
      </c>
      <c r="E101" s="30">
        <v>4.04</v>
      </c>
      <c r="F101" s="30">
        <v>127</v>
      </c>
      <c r="G101" s="30"/>
    </row>
    <row r="102" spans="1:7">
      <c r="A102" s="30" t="s">
        <v>173</v>
      </c>
      <c r="B102" s="32">
        <v>41463</v>
      </c>
      <c r="C102" s="30">
        <v>4</v>
      </c>
      <c r="D102" s="30">
        <v>55.7</v>
      </c>
      <c r="E102" s="30">
        <v>53.2</v>
      </c>
      <c r="F102" s="30">
        <v>106</v>
      </c>
      <c r="G102" s="30"/>
    </row>
    <row r="103" spans="1:7">
      <c r="A103" s="30" t="s">
        <v>173</v>
      </c>
      <c r="B103" s="32">
        <v>41463</v>
      </c>
      <c r="C103" s="30">
        <v>5</v>
      </c>
      <c r="D103" s="30">
        <v>51.5</v>
      </c>
      <c r="E103" s="30">
        <v>2.3199999999999998</v>
      </c>
      <c r="F103" s="30">
        <v>107</v>
      </c>
      <c r="G103" s="30"/>
    </row>
    <row r="104" spans="1:7">
      <c r="A104" s="30" t="s">
        <v>173</v>
      </c>
      <c r="B104" s="32">
        <v>41463</v>
      </c>
      <c r="C104" s="30">
        <v>6</v>
      </c>
      <c r="D104" s="30">
        <v>51.5</v>
      </c>
      <c r="E104" s="30">
        <v>3.66</v>
      </c>
      <c r="F104" s="30">
        <v>95</v>
      </c>
      <c r="G104" s="30"/>
    </row>
    <row r="105" spans="1:7">
      <c r="A105" s="30" t="s">
        <v>173</v>
      </c>
      <c r="B105" s="32">
        <v>41463</v>
      </c>
      <c r="C105" s="30">
        <v>7</v>
      </c>
      <c r="D105" s="30">
        <v>48.9</v>
      </c>
      <c r="E105" s="30">
        <v>4.83</v>
      </c>
      <c r="F105" s="30">
        <v>114</v>
      </c>
      <c r="G105" s="30"/>
    </row>
    <row r="106" spans="1:7">
      <c r="A106" s="30" t="s">
        <v>173</v>
      </c>
      <c r="B106" s="32">
        <v>41463</v>
      </c>
      <c r="C106" s="30">
        <v>8</v>
      </c>
      <c r="D106" s="30">
        <v>48.9</v>
      </c>
      <c r="E106" s="30">
        <v>2.62</v>
      </c>
      <c r="F106" s="30">
        <v>106</v>
      </c>
      <c r="G106" s="30"/>
    </row>
    <row r="107" spans="1:7">
      <c r="A107" s="30" t="s">
        <v>173</v>
      </c>
      <c r="B107" s="32">
        <v>41463</v>
      </c>
      <c r="C107" s="30">
        <v>9</v>
      </c>
      <c r="D107" s="30">
        <v>48.2</v>
      </c>
      <c r="E107" s="30">
        <v>3</v>
      </c>
      <c r="F107" s="30">
        <v>90</v>
      </c>
      <c r="G107" s="30"/>
    </row>
    <row r="108" spans="1:7">
      <c r="A108" s="30" t="s">
        <v>173</v>
      </c>
      <c r="B108" s="32">
        <v>41463</v>
      </c>
      <c r="C108" s="30">
        <v>10</v>
      </c>
      <c r="D108" s="30">
        <v>52</v>
      </c>
      <c r="E108" s="30">
        <v>2.7</v>
      </c>
      <c r="F108" s="30">
        <v>91</v>
      </c>
      <c r="G108" s="30"/>
    </row>
    <row r="109" spans="1:7">
      <c r="A109" s="30" t="s">
        <v>173</v>
      </c>
      <c r="B109" s="32">
        <v>41463</v>
      </c>
      <c r="C109" s="30">
        <v>11</v>
      </c>
      <c r="D109" s="30">
        <v>53.9</v>
      </c>
      <c r="E109" s="30">
        <v>4.95</v>
      </c>
      <c r="F109" s="30">
        <v>121</v>
      </c>
      <c r="G109" s="30"/>
    </row>
    <row r="110" spans="1:7">
      <c r="A110" s="30" t="s">
        <v>173</v>
      </c>
      <c r="B110" s="32">
        <v>41463</v>
      </c>
      <c r="C110" s="30">
        <v>12</v>
      </c>
      <c r="D110" s="30">
        <v>49.7</v>
      </c>
      <c r="E110" s="30">
        <v>2.34</v>
      </c>
      <c r="F110" s="30">
        <v>87</v>
      </c>
      <c r="G110" s="30"/>
    </row>
    <row r="111" spans="1:7">
      <c r="A111" s="30" t="s">
        <v>175</v>
      </c>
      <c r="B111" s="32">
        <v>41471</v>
      </c>
      <c r="C111" s="30">
        <v>1</v>
      </c>
      <c r="D111" s="30">
        <v>25.3</v>
      </c>
      <c r="E111" s="30">
        <v>4.17</v>
      </c>
      <c r="F111" s="30">
        <v>108</v>
      </c>
      <c r="G111" s="30"/>
    </row>
    <row r="112" spans="1:7">
      <c r="A112" s="30" t="s">
        <v>176</v>
      </c>
      <c r="B112" s="32">
        <v>41471</v>
      </c>
      <c r="C112" s="30">
        <v>2</v>
      </c>
      <c r="D112" s="30">
        <v>39.6</v>
      </c>
      <c r="E112" s="30">
        <v>2.7</v>
      </c>
      <c r="F112" s="30">
        <v>98</v>
      </c>
      <c r="G112" s="30"/>
    </row>
    <row r="113" spans="1:7">
      <c r="A113" s="30" t="s">
        <v>177</v>
      </c>
      <c r="B113" s="32">
        <v>41471</v>
      </c>
      <c r="C113" s="30">
        <v>3</v>
      </c>
      <c r="D113" s="30">
        <v>37.4</v>
      </c>
      <c r="E113" s="30">
        <v>3.98</v>
      </c>
      <c r="F113" s="30">
        <v>115</v>
      </c>
      <c r="G113" s="30"/>
    </row>
    <row r="114" spans="1:7">
      <c r="A114" s="30" t="s">
        <v>177</v>
      </c>
      <c r="B114" s="32">
        <v>41471</v>
      </c>
      <c r="C114" s="30">
        <v>4</v>
      </c>
      <c r="D114" s="30">
        <v>40.4</v>
      </c>
      <c r="E114" s="30">
        <v>3.07</v>
      </c>
      <c r="F114" s="30">
        <v>98</v>
      </c>
      <c r="G114" s="30"/>
    </row>
    <row r="115" spans="1:7">
      <c r="A115" s="30" t="s">
        <v>177</v>
      </c>
      <c r="B115" s="32">
        <v>41471</v>
      </c>
      <c r="C115" s="30">
        <v>5</v>
      </c>
      <c r="D115" s="30">
        <v>35.5</v>
      </c>
      <c r="E115" s="30">
        <v>2.46</v>
      </c>
      <c r="F115" s="30">
        <v>84</v>
      </c>
      <c r="G115" s="30"/>
    </row>
    <row r="116" spans="1:7">
      <c r="A116" s="30" t="s">
        <v>177</v>
      </c>
      <c r="B116" s="32">
        <v>41471</v>
      </c>
      <c r="C116" s="30">
        <v>6</v>
      </c>
      <c r="D116" s="30">
        <v>36.299999999999997</v>
      </c>
      <c r="E116" s="30">
        <v>2.58</v>
      </c>
      <c r="F116" s="30">
        <v>102</v>
      </c>
      <c r="G116" s="30"/>
    </row>
    <row r="117" spans="1:7">
      <c r="A117" s="30" t="s">
        <v>177</v>
      </c>
      <c r="B117" s="32">
        <v>41471</v>
      </c>
      <c r="C117" s="30">
        <v>7</v>
      </c>
      <c r="D117" s="30">
        <v>48.7</v>
      </c>
      <c r="E117" s="30">
        <v>5.95</v>
      </c>
      <c r="F117" s="30">
        <v>105</v>
      </c>
      <c r="G117" s="30"/>
    </row>
    <row r="118" spans="1:7">
      <c r="A118" s="30" t="s">
        <v>177</v>
      </c>
      <c r="B118" s="32">
        <v>41471</v>
      </c>
      <c r="C118" s="30">
        <v>8</v>
      </c>
      <c r="D118" s="30">
        <v>38.700000000000003</v>
      </c>
      <c r="E118" s="30">
        <v>3.09</v>
      </c>
      <c r="F118" s="30">
        <v>110</v>
      </c>
      <c r="G118" s="30"/>
    </row>
    <row r="119" spans="1:7">
      <c r="A119" s="30" t="s">
        <v>177</v>
      </c>
      <c r="B119" s="32">
        <v>41471</v>
      </c>
      <c r="C119" s="30">
        <v>9</v>
      </c>
      <c r="D119" s="30">
        <v>37.200000000000003</v>
      </c>
      <c r="E119" s="30">
        <v>2.57</v>
      </c>
      <c r="F119" s="30">
        <v>103</v>
      </c>
      <c r="G119" s="30"/>
    </row>
    <row r="120" spans="1:7">
      <c r="A120" s="30" t="s">
        <v>177</v>
      </c>
      <c r="B120" s="32">
        <v>41471</v>
      </c>
      <c r="C120" s="30">
        <v>10</v>
      </c>
      <c r="D120" s="30">
        <v>53.9</v>
      </c>
      <c r="E120" s="30">
        <v>2.82</v>
      </c>
      <c r="F120" s="30">
        <v>100</v>
      </c>
      <c r="G120" s="30"/>
    </row>
    <row r="121" spans="1:7">
      <c r="A121" s="30" t="s">
        <v>177</v>
      </c>
      <c r="B121" s="32">
        <v>41471</v>
      </c>
      <c r="C121" s="30">
        <v>11</v>
      </c>
      <c r="D121" s="30">
        <v>51.8</v>
      </c>
      <c r="E121" s="30">
        <v>2.84</v>
      </c>
      <c r="F121" s="30">
        <v>126</v>
      </c>
      <c r="G121" s="30"/>
    </row>
    <row r="122" spans="1:7">
      <c r="A122" s="30" t="s">
        <v>177</v>
      </c>
      <c r="B122" s="32">
        <v>41471</v>
      </c>
      <c r="C122" s="30">
        <v>12</v>
      </c>
      <c r="D122" s="30">
        <v>43.8</v>
      </c>
      <c r="E122" s="30">
        <v>3.32</v>
      </c>
      <c r="F122" s="30">
        <v>97</v>
      </c>
      <c r="G122" s="30"/>
    </row>
    <row r="123" spans="1:7">
      <c r="A123" s="30" t="s">
        <v>173</v>
      </c>
      <c r="B123" s="32">
        <v>41481</v>
      </c>
      <c r="C123" s="30">
        <v>1</v>
      </c>
      <c r="D123" s="30">
        <v>6.5</v>
      </c>
      <c r="E123" s="30">
        <v>3.2</v>
      </c>
      <c r="F123" s="30">
        <v>107</v>
      </c>
      <c r="G123" s="30"/>
    </row>
    <row r="124" spans="1:7">
      <c r="A124" s="30" t="s">
        <v>173</v>
      </c>
      <c r="B124" s="32">
        <v>41481</v>
      </c>
      <c r="C124" s="30">
        <v>2</v>
      </c>
      <c r="D124" s="30">
        <v>4.7</v>
      </c>
      <c r="E124" s="30">
        <v>1.98</v>
      </c>
      <c r="F124" s="30">
        <v>101</v>
      </c>
      <c r="G124" s="30"/>
    </row>
    <row r="125" spans="1:7">
      <c r="A125" s="30" t="s">
        <v>173</v>
      </c>
      <c r="B125" s="32">
        <v>41481</v>
      </c>
      <c r="C125" s="30">
        <v>3</v>
      </c>
      <c r="D125" s="30">
        <v>16.399999999999999</v>
      </c>
      <c r="E125" s="30">
        <v>2.88</v>
      </c>
      <c r="F125" s="30">
        <v>120</v>
      </c>
      <c r="G125" s="30"/>
    </row>
    <row r="126" spans="1:7">
      <c r="A126" s="30" t="s">
        <v>173</v>
      </c>
      <c r="B126" s="32">
        <v>41481</v>
      </c>
      <c r="C126" s="30">
        <v>4</v>
      </c>
      <c r="D126" s="30">
        <v>5.4</v>
      </c>
      <c r="E126" s="30">
        <v>2.36</v>
      </c>
      <c r="F126" s="30">
        <v>110</v>
      </c>
      <c r="G126" s="30"/>
    </row>
    <row r="127" spans="1:7">
      <c r="A127" s="30" t="s">
        <v>173</v>
      </c>
      <c r="B127" s="32">
        <v>41481</v>
      </c>
      <c r="C127" s="30">
        <v>5</v>
      </c>
      <c r="D127" s="30">
        <v>6</v>
      </c>
      <c r="E127" s="30">
        <v>1.54</v>
      </c>
      <c r="F127" s="30">
        <v>95</v>
      </c>
      <c r="G127" s="30"/>
    </row>
    <row r="128" spans="1:7">
      <c r="A128" s="30" t="s">
        <v>173</v>
      </c>
      <c r="B128" s="32">
        <v>41481</v>
      </c>
      <c r="C128" s="30">
        <v>6</v>
      </c>
      <c r="D128" s="30">
        <v>2.6</v>
      </c>
      <c r="E128" s="30">
        <v>2.5</v>
      </c>
      <c r="F128" s="30">
        <v>108</v>
      </c>
      <c r="G128" s="30"/>
    </row>
    <row r="129" spans="1:7">
      <c r="A129" s="30" t="s">
        <v>173</v>
      </c>
      <c r="B129" s="32">
        <v>41481</v>
      </c>
      <c r="C129" s="30">
        <v>7</v>
      </c>
      <c r="D129" s="30">
        <v>17.600000000000001</v>
      </c>
      <c r="E129" s="30">
        <v>4.42</v>
      </c>
      <c r="F129" s="30">
        <v>130</v>
      </c>
      <c r="G129" s="30"/>
    </row>
    <row r="130" spans="1:7">
      <c r="A130" s="30" t="s">
        <v>173</v>
      </c>
      <c r="B130" s="32">
        <v>41481</v>
      </c>
      <c r="C130" s="30">
        <v>8</v>
      </c>
      <c r="D130" s="30">
        <v>4.5999999999999996</v>
      </c>
      <c r="E130" s="30">
        <v>2.63</v>
      </c>
      <c r="F130" s="30">
        <v>111</v>
      </c>
      <c r="G130" s="30"/>
    </row>
    <row r="131" spans="1:7">
      <c r="A131" s="30" t="s">
        <v>173</v>
      </c>
      <c r="B131" s="32">
        <v>41481</v>
      </c>
      <c r="C131" s="30">
        <v>9</v>
      </c>
      <c r="D131" s="30">
        <v>3.8</v>
      </c>
      <c r="E131" s="30">
        <v>2.5</v>
      </c>
      <c r="F131" s="30">
        <v>95</v>
      </c>
      <c r="G131" s="30"/>
    </row>
    <row r="132" spans="1:7">
      <c r="A132" s="30" t="s">
        <v>173</v>
      </c>
      <c r="B132" s="32">
        <v>41481</v>
      </c>
      <c r="C132" s="30">
        <v>10</v>
      </c>
      <c r="D132" s="30">
        <v>5.0999999999999996</v>
      </c>
      <c r="E132" s="30">
        <v>2.4</v>
      </c>
      <c r="F132" s="30">
        <v>93</v>
      </c>
      <c r="G132" s="30"/>
    </row>
    <row r="133" spans="1:7">
      <c r="A133" s="30" t="s">
        <v>173</v>
      </c>
      <c r="B133" s="32">
        <v>41481</v>
      </c>
      <c r="C133" s="30">
        <v>11</v>
      </c>
      <c r="D133" s="30">
        <v>26.9</v>
      </c>
      <c r="E133" s="30">
        <v>3.14</v>
      </c>
      <c r="F133" s="30">
        <v>118</v>
      </c>
      <c r="G133" s="30"/>
    </row>
    <row r="134" spans="1:7">
      <c r="A134" s="30" t="s">
        <v>173</v>
      </c>
      <c r="B134" s="32">
        <v>41481</v>
      </c>
      <c r="C134" s="30">
        <v>12</v>
      </c>
      <c r="D134" s="30">
        <v>10.7</v>
      </c>
      <c r="E134" s="30">
        <v>1.64</v>
      </c>
      <c r="F134" s="30">
        <v>88</v>
      </c>
      <c r="G134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W200"/>
  <sheetViews>
    <sheetView tabSelected="1" topLeftCell="D1" workbookViewId="0">
      <pane xSplit="4" ySplit="4" topLeftCell="H20" activePane="bottomRight" state="frozen"/>
      <selection activeCell="D1" sqref="D1"/>
      <selection pane="topRight" activeCell="H1" sqref="H1"/>
      <selection pane="bottomLeft" activeCell="D5" sqref="D5"/>
      <selection pane="bottomRight" activeCell="CZ28" sqref="CZ28"/>
    </sheetView>
  </sheetViews>
  <sheetFormatPr defaultRowHeight="15"/>
  <cols>
    <col min="8" max="10" width="9.140625" style="8"/>
    <col min="11" max="11" width="13.28515625" style="8" customWidth="1"/>
    <col min="12" max="12" width="11.42578125" style="8" customWidth="1"/>
    <col min="13" max="13" width="12.28515625" style="8" customWidth="1"/>
    <col min="17" max="17" width="12.7109375" style="7" customWidth="1"/>
    <col min="18" max="18" width="12.7109375" style="8" customWidth="1"/>
    <col min="19" max="19" width="7.42578125" style="8" customWidth="1"/>
    <col min="20" max="20" width="7.7109375" style="8" customWidth="1"/>
    <col min="21" max="21" width="8.140625" style="8" customWidth="1"/>
    <col min="22" max="22" width="8.5703125" style="8" customWidth="1"/>
    <col min="23" max="23" width="8.28515625" style="8" customWidth="1"/>
    <col min="24" max="24" width="6.28515625" style="8" customWidth="1"/>
    <col min="25" max="34" width="12.7109375" style="8" customWidth="1"/>
    <col min="35" max="35" width="16.140625" style="8" customWidth="1"/>
    <col min="36" max="36" width="15.140625" style="8" customWidth="1"/>
    <col min="37" max="37" width="12.7109375" style="8" customWidth="1"/>
    <col min="38" max="38" width="14.85546875" style="8" customWidth="1"/>
    <col min="39" max="39" width="15.42578125" style="8" customWidth="1"/>
    <col min="40" max="40" width="16.7109375" style="8" customWidth="1"/>
    <col min="41" max="41" width="15.28515625" style="8" customWidth="1"/>
    <col min="42" max="42" width="15.85546875" style="8" customWidth="1"/>
    <col min="43" max="43" width="16.28515625" style="8" customWidth="1"/>
    <col min="44" max="45" width="12.7109375" style="8" customWidth="1"/>
    <col min="46" max="46" width="15.5703125" style="8" customWidth="1"/>
    <col min="47" max="67" width="12.7109375" customWidth="1"/>
    <col min="91" max="91" width="13.7109375" customWidth="1"/>
    <col min="92" max="92" width="10.28515625" customWidth="1"/>
    <col min="93" max="93" width="12.42578125" customWidth="1"/>
    <col min="103" max="103" width="10.28515625" customWidth="1"/>
    <col min="104" max="105" width="18.140625" customWidth="1"/>
    <col min="106" max="106" width="16" customWidth="1"/>
    <col min="107" max="115" width="12" customWidth="1"/>
    <col min="116" max="127" width="19" customWidth="1"/>
    <col min="128" max="129" width="20.5703125" customWidth="1"/>
    <col min="130" max="130" width="17.42578125" customWidth="1"/>
    <col min="131" max="131" width="16.85546875" customWidth="1"/>
    <col min="132" max="132" width="17.42578125" customWidth="1"/>
    <col min="133" max="133" width="16.7109375" customWidth="1"/>
    <col min="134" max="135" width="14.5703125" customWidth="1"/>
    <col min="136" max="136" width="19.5703125" customWidth="1"/>
    <col min="137" max="137" width="17" customWidth="1"/>
    <col min="138" max="138" width="18.140625" customWidth="1"/>
    <col min="139" max="139" width="14.140625" customWidth="1"/>
    <col min="140" max="140" width="13.5703125" customWidth="1"/>
    <col min="141" max="141" width="13.85546875" customWidth="1"/>
    <col min="142" max="142" width="12.28515625" customWidth="1"/>
    <col min="143" max="144" width="11.85546875" customWidth="1"/>
    <col min="145" max="145" width="11" customWidth="1"/>
  </cols>
  <sheetData>
    <row r="1" spans="3:153">
      <c r="H1" s="8">
        <v>100</v>
      </c>
      <c r="Q1" s="8"/>
      <c r="Z1" s="8" t="s">
        <v>159</v>
      </c>
      <c r="BR1" t="s">
        <v>16</v>
      </c>
      <c r="BS1" t="s">
        <v>105</v>
      </c>
      <c r="BT1" t="s">
        <v>186</v>
      </c>
      <c r="BV1" t="s">
        <v>105</v>
      </c>
      <c r="BW1" t="s">
        <v>188</v>
      </c>
    </row>
    <row r="2" spans="3:153">
      <c r="M2" s="8" t="s">
        <v>196</v>
      </c>
      <c r="Q2" s="8"/>
      <c r="AA2" s="8">
        <f>10^-1*25/6*2.54*12*0.892</f>
        <v>11.3284</v>
      </c>
      <c r="BB2">
        <f>BA5/BB5</f>
        <v>0.87763708458410616</v>
      </c>
      <c r="BS2" s="8" t="s">
        <v>78</v>
      </c>
      <c r="BT2" s="8" t="s">
        <v>187</v>
      </c>
      <c r="BV2" t="s">
        <v>189</v>
      </c>
      <c r="BW2" t="s">
        <v>190</v>
      </c>
      <c r="CY2" s="2" t="s">
        <v>6</v>
      </c>
      <c r="CZ2" s="5">
        <v>5</v>
      </c>
    </row>
    <row r="3" spans="3:153" ht="15.75">
      <c r="K3" s="8" t="s">
        <v>9</v>
      </c>
      <c r="M3" s="8" t="s">
        <v>10</v>
      </c>
      <c r="Q3" s="8"/>
      <c r="R3" s="8" t="s">
        <v>197</v>
      </c>
      <c r="S3" s="49" t="s">
        <v>23</v>
      </c>
      <c r="T3" s="49"/>
      <c r="U3" s="49" t="s">
        <v>24</v>
      </c>
      <c r="V3" s="49"/>
      <c r="W3" s="40"/>
      <c r="X3" s="40"/>
      <c r="Y3" s="50" t="s">
        <v>30</v>
      </c>
      <c r="Z3" s="50"/>
      <c r="AA3" s="50"/>
      <c r="AB3" s="50"/>
      <c r="AC3" s="50"/>
      <c r="AD3" s="50"/>
      <c r="AE3" s="50"/>
      <c r="AF3" s="50"/>
      <c r="AG3" s="50"/>
      <c r="AH3" s="50"/>
      <c r="AI3" s="12" t="s">
        <v>160</v>
      </c>
      <c r="AJ3" s="12" t="s">
        <v>160</v>
      </c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29"/>
      <c r="AV3" s="29"/>
      <c r="AW3" s="29"/>
      <c r="AX3" s="29"/>
      <c r="AY3" s="29"/>
      <c r="AZ3" s="29"/>
      <c r="BA3" s="51" t="s">
        <v>201</v>
      </c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2" t="s">
        <v>59</v>
      </c>
      <c r="BS3" s="52"/>
      <c r="BT3" s="52"/>
      <c r="BU3" s="52"/>
      <c r="BV3" s="52"/>
      <c r="BW3" t="s">
        <v>189</v>
      </c>
      <c r="BZ3" t="s">
        <v>191</v>
      </c>
      <c r="CR3" t="s">
        <v>102</v>
      </c>
      <c r="CT3" t="s">
        <v>103</v>
      </c>
    </row>
    <row r="4" spans="3:153">
      <c r="E4" t="s">
        <v>4</v>
      </c>
      <c r="F4" t="s">
        <v>5</v>
      </c>
      <c r="G4" t="s">
        <v>6</v>
      </c>
      <c r="H4" s="8" t="s">
        <v>39</v>
      </c>
      <c r="I4" s="8" t="s">
        <v>40</v>
      </c>
      <c r="J4" s="8" t="s">
        <v>41</v>
      </c>
      <c r="K4" s="8" t="s">
        <v>161</v>
      </c>
      <c r="L4" s="8" t="s">
        <v>162</v>
      </c>
      <c r="M4" s="8" t="s">
        <v>11</v>
      </c>
      <c r="N4" t="s">
        <v>8</v>
      </c>
      <c r="O4" s="8" t="s">
        <v>178</v>
      </c>
      <c r="P4" s="7" t="s">
        <v>199</v>
      </c>
      <c r="Q4" s="7" t="s">
        <v>200</v>
      </c>
      <c r="R4" s="8" t="s">
        <v>198</v>
      </c>
      <c r="S4" s="8" t="s">
        <v>153</v>
      </c>
      <c r="T4" s="8" t="s">
        <v>154</v>
      </c>
      <c r="U4" s="8" t="s">
        <v>155</v>
      </c>
      <c r="V4" s="8" t="s">
        <v>156</v>
      </c>
      <c r="W4" s="8" t="s">
        <v>157</v>
      </c>
      <c r="X4" s="41" t="s">
        <v>158</v>
      </c>
      <c r="Y4" s="8" t="s">
        <v>26</v>
      </c>
      <c r="Z4" s="8" t="s">
        <v>27</v>
      </c>
      <c r="AA4" s="8" t="s">
        <v>243</v>
      </c>
      <c r="AB4" s="8" t="s">
        <v>244</v>
      </c>
      <c r="AC4" s="8" t="s">
        <v>245</v>
      </c>
      <c r="AD4" s="8" t="s">
        <v>246</v>
      </c>
      <c r="AE4" s="8" t="s">
        <v>247</v>
      </c>
      <c r="AF4" s="8" t="s">
        <v>248</v>
      </c>
      <c r="AG4" s="41" t="s">
        <v>28</v>
      </c>
      <c r="AH4" s="41" t="s">
        <v>29</v>
      </c>
      <c r="AI4" s="41" t="s">
        <v>42</v>
      </c>
      <c r="AJ4" s="41" t="s">
        <v>43</v>
      </c>
      <c r="AK4" s="41" t="s">
        <v>44</v>
      </c>
      <c r="AL4" s="41" t="s">
        <v>106</v>
      </c>
      <c r="AM4" s="41" t="s">
        <v>107</v>
      </c>
      <c r="AN4" s="41" t="s">
        <v>108</v>
      </c>
      <c r="AO4" s="41" t="s">
        <v>109</v>
      </c>
      <c r="AP4" s="41" t="s">
        <v>110</v>
      </c>
      <c r="AQ4" s="41" t="s">
        <v>111</v>
      </c>
      <c r="AR4" s="41" t="s">
        <v>112</v>
      </c>
      <c r="AS4" s="41" t="s">
        <v>113</v>
      </c>
      <c r="AT4" s="41" t="s">
        <v>114</v>
      </c>
      <c r="AU4" s="9" t="s">
        <v>115</v>
      </c>
      <c r="AV4" s="9" t="s">
        <v>116</v>
      </c>
      <c r="AW4" s="9" t="s">
        <v>117</v>
      </c>
      <c r="AX4" s="9" t="s">
        <v>118</v>
      </c>
      <c r="AY4" s="9" t="s">
        <v>119</v>
      </c>
      <c r="AZ4" s="9" t="s">
        <v>120</v>
      </c>
      <c r="BA4" s="9" t="s">
        <v>31</v>
      </c>
      <c r="BB4" s="9" t="s">
        <v>179</v>
      </c>
      <c r="BC4" t="s">
        <v>32</v>
      </c>
      <c r="BD4" t="s">
        <v>180</v>
      </c>
      <c r="BE4" t="s">
        <v>33</v>
      </c>
      <c r="BF4" t="s">
        <v>181</v>
      </c>
      <c r="BG4" t="s">
        <v>34</v>
      </c>
      <c r="BH4" t="s">
        <v>182</v>
      </c>
      <c r="BI4" t="s">
        <v>125</v>
      </c>
      <c r="BJ4" t="s">
        <v>138</v>
      </c>
      <c r="BK4" s="9" t="s">
        <v>35</v>
      </c>
      <c r="BL4" s="10" t="s">
        <v>36</v>
      </c>
      <c r="BM4" s="10" t="s">
        <v>183</v>
      </c>
      <c r="BN4" s="11" t="s">
        <v>37</v>
      </c>
      <c r="BO4" s="11" t="s">
        <v>184</v>
      </c>
      <c r="BP4" s="11" t="s">
        <v>38</v>
      </c>
      <c r="BQ4" s="11" t="s">
        <v>185</v>
      </c>
      <c r="BR4" s="11" t="s">
        <v>55</v>
      </c>
      <c r="BS4" s="11" t="s">
        <v>56</v>
      </c>
      <c r="BT4" s="11" t="s">
        <v>57</v>
      </c>
      <c r="BU4" s="11" t="s">
        <v>58</v>
      </c>
      <c r="BV4" s="11" t="s">
        <v>60</v>
      </c>
      <c r="BW4" s="11" t="s">
        <v>61</v>
      </c>
      <c r="BX4" s="11" t="s">
        <v>62</v>
      </c>
      <c r="BY4" s="11" t="s">
        <v>63</v>
      </c>
      <c r="BZ4" s="11" t="s">
        <v>61</v>
      </c>
      <c r="CA4" s="11" t="s">
        <v>62</v>
      </c>
      <c r="CB4" s="11" t="s">
        <v>63</v>
      </c>
      <c r="CC4" s="11" t="s">
        <v>192</v>
      </c>
      <c r="CD4" s="11" t="s">
        <v>193</v>
      </c>
      <c r="CE4" s="11" t="s">
        <v>194</v>
      </c>
      <c r="CF4" s="11" t="s">
        <v>192</v>
      </c>
      <c r="CG4" s="11" t="s">
        <v>193</v>
      </c>
      <c r="CH4" s="11" t="s">
        <v>194</v>
      </c>
      <c r="CI4" s="11" t="s">
        <v>131</v>
      </c>
      <c r="CJ4" s="11" t="s">
        <v>137</v>
      </c>
      <c r="CK4" s="11" t="s">
        <v>132</v>
      </c>
      <c r="CL4" s="11" t="s">
        <v>137</v>
      </c>
      <c r="CM4" s="11" t="s">
        <v>133</v>
      </c>
      <c r="CN4" s="11" t="s">
        <v>134</v>
      </c>
      <c r="CO4" s="11" t="s">
        <v>135</v>
      </c>
      <c r="CP4" s="11" t="s">
        <v>136</v>
      </c>
      <c r="CQ4" s="28" t="s">
        <v>100</v>
      </c>
      <c r="CR4" s="28" t="s">
        <v>101</v>
      </c>
      <c r="CS4">
        <v>2013</v>
      </c>
      <c r="CT4" s="11" t="s">
        <v>104</v>
      </c>
      <c r="CU4" s="11" t="s">
        <v>163</v>
      </c>
      <c r="CV4" s="11" t="s">
        <v>164</v>
      </c>
      <c r="CW4" s="11"/>
      <c r="CX4" s="11"/>
      <c r="CY4" s="2" t="s">
        <v>5</v>
      </c>
      <c r="CZ4" t="s">
        <v>249</v>
      </c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</row>
    <row r="5" spans="3:153">
      <c r="C5">
        <f>J5/0.9</f>
        <v>34.543250908864586</v>
      </c>
      <c r="E5" t="s">
        <v>7</v>
      </c>
      <c r="F5">
        <v>1</v>
      </c>
      <c r="G5">
        <v>1</v>
      </c>
      <c r="H5" s="27">
        <v>9.7232667895552503</v>
      </c>
      <c r="I5" s="27">
        <v>59.187807392466596</v>
      </c>
      <c r="J5" s="27">
        <v>31.088925817978129</v>
      </c>
      <c r="K5" s="8">
        <v>1.5227086738926325</v>
      </c>
      <c r="L5" s="34">
        <v>1.3957163321064303</v>
      </c>
      <c r="M5" s="8">
        <v>1.2483453626640062</v>
      </c>
      <c r="N5">
        <f t="shared" ref="N5:N36" si="0">IF(OR(K5="",L5=""),"",(K5-L5)/AVERAGE(K5:L5))</f>
        <v>8.7027997310301974E-2</v>
      </c>
      <c r="O5">
        <f>AVERAGE(K5:M5)</f>
        <v>1.3889234562210229</v>
      </c>
      <c r="P5" s="7">
        <f>AVERAGE(K5:L5)</f>
        <v>1.4592125029995313</v>
      </c>
      <c r="Q5" s="7">
        <f t="shared" ref="Q5:Q17" si="1">AVERAGE(K5:L5)</f>
        <v>1.4592125029995313</v>
      </c>
      <c r="R5" s="8">
        <v>1.2931891747546678</v>
      </c>
      <c r="S5" s="38">
        <v>1.8449333333333335</v>
      </c>
      <c r="T5" s="38">
        <v>0.14998999999999998</v>
      </c>
      <c r="U5" s="27">
        <v>1.8191999999999999</v>
      </c>
      <c r="V5" s="27">
        <v>0.14019000000000001</v>
      </c>
      <c r="W5" s="27">
        <f>IF(OR(U5="",S5=""),"",U5-S5)</f>
        <v>-2.5733333333333608E-2</v>
      </c>
      <c r="X5" s="27">
        <f>IF(OR(V5="",T5=""),"",V5-T5)</f>
        <v>-9.7999999999999754E-3</v>
      </c>
      <c r="Y5" s="8">
        <v>0.11066398390342073</v>
      </c>
      <c r="Z5" s="8">
        <v>0.22297099326106065</v>
      </c>
      <c r="AA5" s="4">
        <v>0.28100000000000003</v>
      </c>
      <c r="AB5" s="4">
        <v>1.92</v>
      </c>
      <c r="AC5" s="4">
        <v>0</v>
      </c>
      <c r="AD5" s="4">
        <v>7.6799999999999993E-2</v>
      </c>
      <c r="AE5" s="8">
        <f>IF(OR(Y5="",AA5="",AC5=""),"",$AA$2*Q5*(1+Y5)*(AA5+AC5))</f>
        <v>5.1591259019090732</v>
      </c>
      <c r="AF5" s="8">
        <f>IF(OR(Z5="",AB5="",AD5=""),"",$AA$2*Q5*(1+Z5)*(AB5+AD5))</f>
        <v>40.368056587161995</v>
      </c>
      <c r="AG5" s="8">
        <f>IF(OR(AE5="",AF5=""),"",AF5-AE5)</f>
        <v>35.208930685252923</v>
      </c>
      <c r="AH5" s="8">
        <f t="shared" ref="AH5:AH36" si="2">IF(OR(Y5="",Z5=""),"",Z5-Y5)</f>
        <v>0.11230700935763992</v>
      </c>
      <c r="AI5" s="8">
        <f t="shared" ref="AI5:AI36" si="3">IF(OR(Y5="",Q5=""),"",Q5*Y5)</f>
        <v>0.16148226894361042</v>
      </c>
      <c r="AJ5" s="8">
        <f t="shared" ref="AJ5:AJ36" si="4">IF(OR(Q5="",Z5=""),"",Q5*Z5)</f>
        <v>0.32536206117276395</v>
      </c>
      <c r="AK5" s="8">
        <f>IF(OR(AI5="",AJ5=""),"",AJ5-AI5)</f>
        <v>0.16387979222915353</v>
      </c>
      <c r="AL5" s="27">
        <v>0.15129811996418985</v>
      </c>
      <c r="AM5" s="27">
        <v>0.1417939678809243</v>
      </c>
      <c r="AN5" s="27">
        <v>0.2560214094558429</v>
      </c>
      <c r="AO5" s="27">
        <v>3.0317517159056999</v>
      </c>
      <c r="AP5" s="27">
        <v>8.4207305131218178</v>
      </c>
      <c r="AQ5" s="27">
        <v>3.8988997918525121</v>
      </c>
      <c r="AR5" s="27">
        <v>4.2118322888689947</v>
      </c>
      <c r="AS5" s="27">
        <v>8.6747796709753242</v>
      </c>
      <c r="AT5" s="27">
        <v>4.1087600356824261</v>
      </c>
      <c r="AU5">
        <f>IF(OR(AN5="",AL5=""),"",AN5-AL5)</f>
        <v>0.10472328949165305</v>
      </c>
      <c r="AV5">
        <f>IF(OR(AN5="",AM5=""),"",AN5-AM5)</f>
        <v>0.1142274415749186</v>
      </c>
      <c r="AW5">
        <f>IF(OR(AQ5="",AO5=""),"",AQ5-AO5)</f>
        <v>0.8671480759468122</v>
      </c>
      <c r="AX5">
        <f>IF(OR(AQ5="",AP5=""),"",AQ5-AP5)</f>
        <v>-4.5218307212693052</v>
      </c>
      <c r="AY5">
        <f>IF(OR(AT5="",AR5=""),"",AT5-AR5)</f>
        <v>-0.10307225318656865</v>
      </c>
      <c r="AZ5">
        <f>IF(OR(AT5="",AS5=""),"",AT5-AS5)</f>
        <v>-4.5660196352928981</v>
      </c>
      <c r="BA5">
        <f t="shared" ref="BA5:BA36" si="5">IF(Q5="","",1-Q5/2.65)</f>
        <v>0.44935377245300701</v>
      </c>
      <c r="BB5">
        <f t="shared" ref="BB5:BB36" si="6">IF(R5="","",1-R5/2.65)</f>
        <v>0.51200408499823857</v>
      </c>
      <c r="BC5">
        <f t="shared" ref="BC5:BC36" si="7">IFERROR($BP5+(porosity-$BP5)*($BL5/330)^$BN5,"")</f>
        <v>0.34935572091350553</v>
      </c>
      <c r="BD5">
        <f t="shared" ref="BD5:BD36" si="8">IFERROR($BQ5+(BB5-$BQ5)*($BM5/330)^$BO5,"")</f>
        <v>0.35642163576349989</v>
      </c>
      <c r="BE5">
        <f t="shared" ref="BE5:BE36" si="9">IFERROR($BP5+(porosity-$BP5)*($BL5/15000)^$BN5,"")</f>
        <v>0.19410378609665385</v>
      </c>
      <c r="BF5">
        <f t="shared" ref="BF5:BF36" si="10">IFERROR($BQ5+(BB5-$BQ5)*($BM5/15000)^$BO5,"")</f>
        <v>0.1903623581002189</v>
      </c>
      <c r="BG5">
        <f>IF(OR(BC5="",BE5=""),"",BC5-BE5)</f>
        <v>0.15525193481685168</v>
      </c>
      <c r="BH5">
        <f>IF(OR(BD5="",BF5=""),"",BD5-BF5)</f>
        <v>0.16605927766328099</v>
      </c>
      <c r="BI5">
        <f t="shared" ref="BI5:BI13" si="11">IF(OR(clay="",porosity=""),"",EXP(19.52348*porosity-8.96847-0.028212*clay+0.00018107*sand^2-0.0094125*clay^2-8.395215*porosity^2+0.077718*sand*porosity-0.00298*sand^2*porosity^2-0.019492*clay^2*porosity^2+0.0000173*sand^2*clay+0.02733*clay^2*porosity+0.001434*sand^2*porosity-0.0000035*clay^2*sand))</f>
        <v>3.2686051845384881E-2</v>
      </c>
      <c r="BJ5">
        <f>BI5*10000/3600</f>
        <v>9.0794588459402442E-2</v>
      </c>
      <c r="BK5">
        <f t="shared" ref="BK5:BK36" si="12">IF(OR(BA5="",BC5=""),"",BA5-BC5)</f>
        <v>9.9998051539501476E-2</v>
      </c>
      <c r="BL5">
        <f t="shared" ref="BL5:BL36" si="13">IF(BA5="","",EXP(5.3396738+0.1845038*clay-2.48394546*porosity-0.00213853*clay^2-0.04356349*sand*porosity-0.61745089*clay*porosity+0.00143598*sand^2*porosity^2-0.00855375*clay^2*porosity^2-0.00001282*sand^2*clay+0.00895359*clay^2*porosity-0.00072472*sand^2*porosity+0.0000054*clay^2*sand+0.5002806*porosity^2*clay))</f>
        <v>85.283388369804527</v>
      </c>
      <c r="BM5">
        <f t="shared" ref="BM5:BM36" si="14">IF(BB5="","",EXP(5.3396738+0.1845038*clay-2.48394546*BB5-0.00213853*clay^2-0.04356349*sand*BB5-0.61745089*clay*BB5+0.00143598*sand^2*BB5^2-0.00855375*clay^2*BB5^2-0.00001282*sand^2*clay+0.00895359*clay^2*BB5-0.00072472*sand^2*BB5+0.0000054*clay^2*sand+0.5002806*BB5^2*clay))</f>
        <v>57.171943371561802</v>
      </c>
      <c r="BN5" s="10">
        <f t="shared" ref="BN5:BN36" si="15">IF(porosity="","",EXP(-0.7842831+0.0177544*sand-1.062498*porosity-0.00005304*sand^2-0.00273493*clay^2+1.11134946*porosity^2-0.03088295*sand*porosity+0.00026587*sand^2*porosity^2-0.00610522*clay^2*porosity^2-0.00000235*sand^2*clay+0.00798746*clay^2*porosity-0.00674491*porosity^2*clay))</f>
        <v>0.24301554997386851</v>
      </c>
      <c r="BO5" s="10">
        <f t="shared" ref="BO5:BO36" si="16">IF(BB5="","",EXP(-0.7842831+0.0177544*sand-1.062498*BB5-0.00005304*sand^2-0.00273493*clay^2+1.11134946*BB5^2-0.03088295*sand*BB5+0.00026587*sand^2*BB5^2-0.00610522*clay^2*BB5^2-0.00000235*sand^2*clay+0.00798746*clay^2*BB5-0.00674491*BB5^2*clay))</f>
        <v>0.26822535963327321</v>
      </c>
      <c r="BP5" s="10">
        <f t="shared" ref="BP5:BP36" si="17">IF(OR(porosity="",clay=""),"",-0.0182482+0.00087269*sand+0.00513488*clay+0.02939286*porosity-0.00015395*clay^2-0.0010827*sand*porosity-0.00018233*clay^2*porosity^2+0.00030703*clay^2*porosity-0.0023584*porosity^2*clay)</f>
        <v>9.2514595406787248E-2</v>
      </c>
      <c r="BQ5" s="10">
        <f t="shared" ref="BQ5:BQ36" si="18">IF(OR(BB5="",clay=""),"",-0.0182482+0.00087269*sand+0.00513488*clay+0.02939286*BB5-0.00015395*clay^2-0.0010827*sand*BB5-0.00018233*clay^2*BB5^2+0.00030703*clay^2*BB5-0.0023584*BB5^2*clay)</f>
        <v>9.7258073219493646E-2</v>
      </c>
      <c r="BR5">
        <f t="shared" ref="BR5:BR17" si="19">100*EXP(-4.396-0.0715*clay-4.88*10^-4*sand^2-4.285*10^-5*sand^2*clay)</f>
        <v>0.11239121866705182</v>
      </c>
      <c r="BS5">
        <f t="shared" ref="BS5:BS17" si="20">-3.14-0.00222*clay^2-3.484*10^-5*sand^2*clay</f>
        <v>-5.3880792644583844</v>
      </c>
      <c r="BT5">
        <f>ROUND((1500/BR5)^(1/BS5),2)</f>
        <v>0.17</v>
      </c>
      <c r="BU5">
        <f>ROUND((33/BR5)^(1/BS5),2)</f>
        <v>0.35</v>
      </c>
      <c r="BV5">
        <f>IF(BU5="","",BU5-BT5)</f>
        <v>0.17999999999999997</v>
      </c>
      <c r="BW5">
        <f t="shared" ref="BW5:BW36" si="21">IF(Q5="","",ROUND(0.2815*Q5-0.1974,2))</f>
        <v>0.21</v>
      </c>
      <c r="BX5">
        <f t="shared" ref="BX5:BX36" si="22">IF(Q5="","",ROUND(MIN((1-Q5/2.65)-0.03,0.229*Q5-0.0046),2))</f>
        <v>0.33</v>
      </c>
      <c r="BY5">
        <f>IF(BW5="","",ROUND(BX5-BW5,2))</f>
        <v>0.12</v>
      </c>
      <c r="BZ5">
        <f t="shared" ref="BZ5:BZ36" si="23">IF(Q5="","",0.2322*Q5-0.1691)</f>
        <v>0.16972914319649116</v>
      </c>
      <c r="CA5">
        <f t="shared" ref="CA5:CA36" si="24">IF(Q5="","",MIN((1-Q5/2.65)-0.03,0.251*Q5-0.0084))</f>
        <v>0.35786233825288233</v>
      </c>
      <c r="CB5">
        <f>IF(BZ5="","",CA5-BZ5)</f>
        <v>0.18813319505639117</v>
      </c>
      <c r="CC5">
        <f t="shared" ref="CC5:CC36" si="25">IF(O5="","",ROUND(0.2815*R5-0.1974,2))</f>
        <v>0.17</v>
      </c>
      <c r="CD5">
        <f t="shared" ref="CD5:CD36" si="26">IF(R5="","",ROUND(MIN((1-R5/2.65)-0.03,0.229*R5-0.0046),2))</f>
        <v>0.28999999999999998</v>
      </c>
      <c r="CE5">
        <f>IF(OR(CD5="",CC5=""),"",CD5-CC5)</f>
        <v>0.11999999999999997</v>
      </c>
      <c r="CF5">
        <f t="shared" ref="CF5:CF36" si="27">IF(R5="","",0.2322*R5-0.1691)</f>
        <v>0.13117852637803382</v>
      </c>
      <c r="CG5">
        <f t="shared" ref="CG5:CG36" si="28">IF(R5="","",MIN((1-R5/2.65)-0.03,0.251*R5-0.0084))</f>
        <v>0.31619048286342161</v>
      </c>
      <c r="CH5">
        <f>IF(OR(CG5="",CF5=""),"",CG5-CF5)</f>
        <v>0.18501195648538779</v>
      </c>
      <c r="CI5">
        <v>4</v>
      </c>
      <c r="CJ5">
        <f>CONVERT(CI5,"ft","cm")</f>
        <v>121.92</v>
      </c>
      <c r="CK5">
        <v>5</v>
      </c>
      <c r="CL5">
        <f>CONVERT(CK5,"ft","cm")</f>
        <v>152.4</v>
      </c>
      <c r="CM5">
        <f>IF($G5=1,$CJ5*IF($CI5=2,AVERAGE($BG5:$BG6),IF($CI5=3,AVERAGE($BG5:$BG7),IF($CI5=4,AVERAGE($BG5:$BG8),AVERAGE($BG5:$BG9)))),CM4)</f>
        <v>18.664959382325424</v>
      </c>
      <c r="CN5">
        <f t="shared" ref="CN5:CN36" si="29">IF($G5=1,$CJ5*IF($CI5=2,AVERAGE($CB5:$CB6),IF($CI5=3,AVERAGE($CB5:$CB7),IF($CI5=4,AVERAGE($CB5:$CB8),AVERAGE($CB5:$CB9)))),CN4)</f>
        <v>22.887406816247125</v>
      </c>
      <c r="CO5">
        <f t="shared" ref="CO5:CO36" si="30">IF($G5=1,$CL5*IF($CK5=2,AVERAGE($BG5:$BG6),IF($CK5=3,AVERAGE($BG5:$BG7),IF($CK5=4,AVERAGE($BG5:$BG8),AVERAGE($BG5:$BG9)))),CO4)</f>
        <v>23.331199227906783</v>
      </c>
      <c r="CP5">
        <f t="shared" ref="CP5:CP36" si="31">IF($G5=1,$CL5*IF($CK5=2,AVERAGE($CB5:$CB6),IF($CK5=3,AVERAGE($CB5:$CB7),IF($CK5=4,AVERAGE($CB5:$CB8),AVERAGE($CB5:$CB9)))),CP4)</f>
        <v>28.645428007404185</v>
      </c>
      <c r="CQ5">
        <v>0.24868590303145896</v>
      </c>
      <c r="CR5">
        <v>0.29565059435434615</v>
      </c>
      <c r="CS5">
        <v>0.20172121170857177</v>
      </c>
      <c r="CT5">
        <v>0.16999999999999998</v>
      </c>
      <c r="CU5">
        <v>105</v>
      </c>
      <c r="CV5">
        <f t="shared" ref="CV5:CV36" si="32">IF(G5=1,CU5*IF(CU5&lt;60,AVERAGE(BE5:BE6),IF(CU5&lt;91,AVERAGE(BE5:BE7),IF(CU5&lt;122,AVERAGE(BE5:BE8),AVERAGE(BE5:BE9)))),CV4)</f>
        <v>22.72701531376423</v>
      </c>
      <c r="CY5">
        <v>1</v>
      </c>
      <c r="CZ5" s="4">
        <v>0.34114</v>
      </c>
      <c r="DC5">
        <f>DA5*1.72</f>
        <v>0</v>
      </c>
      <c r="DW5" s="4"/>
      <c r="DX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</row>
    <row r="6" spans="3:153">
      <c r="C6">
        <f t="shared" ref="C6:C64" si="33">J6/0.9</f>
        <v>38.114741571658449</v>
      </c>
      <c r="E6" t="s">
        <v>7</v>
      </c>
      <c r="F6">
        <v>1</v>
      </c>
      <c r="G6">
        <v>2</v>
      </c>
      <c r="H6" s="27">
        <v>8.3021738613632596</v>
      </c>
      <c r="I6" s="27">
        <v>57.394558724144098</v>
      </c>
      <c r="J6" s="27">
        <v>34.303267414492602</v>
      </c>
      <c r="K6" s="8">
        <v>1.4147106052612919</v>
      </c>
      <c r="L6" s="34">
        <v>1.4485129340410638</v>
      </c>
      <c r="M6" s="8">
        <v>1.2512806145540878</v>
      </c>
      <c r="N6">
        <f t="shared" si="0"/>
        <v>-2.361137949292505E-2</v>
      </c>
      <c r="O6">
        <f t="shared" ref="O6:O7" si="34">AVERAGE(K6:M6)</f>
        <v>1.3715013846188144</v>
      </c>
      <c r="P6" s="7">
        <f t="shared" ref="P6:P64" si="35">AVERAGE(K6:L6)</f>
        <v>1.4316117696511779</v>
      </c>
      <c r="Q6" s="7">
        <f t="shared" si="1"/>
        <v>1.4316117696511779</v>
      </c>
      <c r="R6" s="8">
        <v>1.2957680742955089</v>
      </c>
      <c r="S6" s="38">
        <v>1.6850000000000001</v>
      </c>
      <c r="T6" s="38">
        <v>0.13346</v>
      </c>
      <c r="U6" s="27">
        <v>1.7246999999999999</v>
      </c>
      <c r="V6" s="27">
        <v>0.14013</v>
      </c>
      <c r="W6" s="27">
        <f t="shared" ref="W6:X64" si="36">IF(OR(U6="",S6=""),"",U6-S6)</f>
        <v>3.9699999999999847E-2</v>
      </c>
      <c r="X6" s="27">
        <f t="shared" si="36"/>
        <v>6.6700000000000093E-3</v>
      </c>
      <c r="Y6" s="8">
        <v>0.1089177489177493</v>
      </c>
      <c r="AA6" s="4">
        <v>0.19700000000000001</v>
      </c>
      <c r="AB6" s="4"/>
      <c r="AC6" s="4">
        <v>1.5E-3</v>
      </c>
      <c r="AD6" s="4"/>
      <c r="AE6" s="8">
        <f t="shared" ref="AE6:AE64" si="37">IF(OR(Y6="",AA6="",AC6=""),"",$AA$2*Q6*(1+Y6)*(AA6+AC6))</f>
        <v>3.5698805224714789</v>
      </c>
      <c r="AF6" s="8" t="str">
        <f t="shared" ref="AF6:AF64" si="38">IF(OR(Z6="",AB6="",AD6=""),"",$AA$2*Q6*(1+Z6)*(AB6+AD6))</f>
        <v/>
      </c>
      <c r="AG6" s="8" t="str">
        <f t="shared" ref="AG6:AG64" si="39">IF(OR(AE6="",AF6=""),"",AF6-AE6)</f>
        <v/>
      </c>
      <c r="AH6" s="8" t="str">
        <f t="shared" si="2"/>
        <v/>
      </c>
      <c r="AI6" s="8">
        <f t="shared" si="3"/>
        <v>0.15592793127456175</v>
      </c>
      <c r="AJ6" s="8" t="str">
        <f t="shared" si="4"/>
        <v/>
      </c>
      <c r="AK6" s="8" t="str">
        <f t="shared" ref="AK6:AK64" si="40">IF(OR(AI6="",AJ6=""),"",AJ6-AI6)</f>
        <v/>
      </c>
      <c r="AL6" s="27">
        <v>0.18416090509113781</v>
      </c>
      <c r="AM6" s="27">
        <v>0.14294003868471955</v>
      </c>
      <c r="AN6" s="27">
        <v>0.28339160839160826</v>
      </c>
      <c r="AO6" s="27">
        <v>1.258170961659334</v>
      </c>
      <c r="AP6" s="27">
        <v>2.1525370728562221</v>
      </c>
      <c r="AQ6" s="27">
        <v>3.96247159090909</v>
      </c>
      <c r="AR6" s="27">
        <v>1.791043368950346</v>
      </c>
      <c r="AS6" s="27">
        <v>2.2663548517085754</v>
      </c>
      <c r="AT6" s="27">
        <v>4.1555150786713275</v>
      </c>
      <c r="AU6">
        <f t="shared" ref="AU6:AU64" si="41">IF(OR(AN6="",AL6=""),"",AN6-AL6)</f>
        <v>9.9230703300470458E-2</v>
      </c>
      <c r="AV6">
        <f t="shared" ref="AV6:AV64" si="42">IF(OR(AN6="",AM6=""),"",AN6-AM6)</f>
        <v>0.14045156970688871</v>
      </c>
      <c r="AW6">
        <f t="shared" ref="AW6:AW64" si="43">IF(OR(AQ6="",AO6=""),"",AQ6-AO6)</f>
        <v>2.7043006292497562</v>
      </c>
      <c r="AX6">
        <f t="shared" ref="AX6:AX64" si="44">IF(OR(AQ6="",AP6=""),"",AQ6-AP6)</f>
        <v>1.8099345180528679</v>
      </c>
      <c r="AY6">
        <f t="shared" ref="AY6:AY64" si="45">IF(OR(AT6="",AR6=""),"",AT6-AR6)</f>
        <v>2.3644717097209815</v>
      </c>
      <c r="AZ6">
        <f t="shared" ref="AZ6:AZ64" si="46">IF(OR(AT6="",AS6=""),"",AT6-AS6)</f>
        <v>1.8891602269627521</v>
      </c>
      <c r="BA6">
        <f t="shared" si="5"/>
        <v>0.45976914352785736</v>
      </c>
      <c r="BB6">
        <f t="shared" si="6"/>
        <v>0.5110309153601853</v>
      </c>
      <c r="BC6">
        <f t="shared" si="7"/>
        <v>0.36492751735164952</v>
      </c>
      <c r="BD6">
        <f t="shared" si="8"/>
        <v>0.37065084990600389</v>
      </c>
      <c r="BE6">
        <f t="shared" si="9"/>
        <v>0.20920652944559559</v>
      </c>
      <c r="BF6">
        <f t="shared" si="10"/>
        <v>0.20444687286012966</v>
      </c>
      <c r="BG6">
        <f t="shared" ref="BG6:BG37" si="47">IF(OR(BC6="",BE6=""),"",BC6-BE6)</f>
        <v>0.15572098790605393</v>
      </c>
      <c r="BH6">
        <f t="shared" ref="BH6:BH64" si="48">IF(OR(BD6="",BF6=""),"",BD6-BF6)</f>
        <v>0.16620397704587422</v>
      </c>
      <c r="BI6">
        <f t="shared" si="11"/>
        <v>2.8580248444044946E-2</v>
      </c>
      <c r="BJ6">
        <f t="shared" ref="BJ6:BJ64" si="49">BI6*10000/3600</f>
        <v>7.9389579011235958E-2</v>
      </c>
      <c r="BK6">
        <f t="shared" si="12"/>
        <v>9.4841626176207838E-2</v>
      </c>
      <c r="BL6">
        <f t="shared" si="13"/>
        <v>87.378484479600232</v>
      </c>
      <c r="BM6">
        <f t="shared" si="14"/>
        <v>62.439744611543418</v>
      </c>
      <c r="BN6" s="10">
        <f t="shared" si="15"/>
        <v>0.22807018241419</v>
      </c>
      <c r="BO6" s="10">
        <f t="shared" si="16"/>
        <v>0.25240616402815524</v>
      </c>
      <c r="BP6" s="10">
        <f t="shared" si="17"/>
        <v>9.7019899901349654E-2</v>
      </c>
      <c r="BQ6" s="10">
        <f t="shared" si="18"/>
        <v>0.10188293405206393</v>
      </c>
      <c r="BR6">
        <f t="shared" si="19"/>
        <v>9.2692892320842782E-2</v>
      </c>
      <c r="BS6">
        <f t="shared" si="20"/>
        <v>-5.8346807767569198</v>
      </c>
      <c r="BT6">
        <f t="shared" ref="BT6:BT64" si="50">ROUND((1500/BR6)^(1/BS6),2)</f>
        <v>0.19</v>
      </c>
      <c r="BU6">
        <f t="shared" ref="BU6:BU64" si="51">ROUND((33/BR6)^(1/BS6),2)</f>
        <v>0.37</v>
      </c>
      <c r="BV6">
        <f t="shared" ref="BV6:BV64" si="52">IF(BU6="","",BU6-BT6)</f>
        <v>0.18</v>
      </c>
      <c r="BW6">
        <f t="shared" si="21"/>
        <v>0.21</v>
      </c>
      <c r="BX6">
        <f t="shared" si="22"/>
        <v>0.32</v>
      </c>
      <c r="BY6">
        <f t="shared" ref="BY6:BY64" si="53">IF(BW6="","",ROUND(BX6-BW6,2))</f>
        <v>0.11</v>
      </c>
      <c r="BZ6">
        <f t="shared" si="23"/>
        <v>0.16332025291300348</v>
      </c>
      <c r="CA6">
        <f t="shared" si="24"/>
        <v>0.35093455418244562</v>
      </c>
      <c r="CB6">
        <f t="shared" ref="CB6:CB64" si="54">IF(BZ6="","",CA6-BZ6)</f>
        <v>0.18761430126944215</v>
      </c>
      <c r="CC6">
        <f t="shared" si="25"/>
        <v>0.17</v>
      </c>
      <c r="CD6">
        <f t="shared" si="26"/>
        <v>0.28999999999999998</v>
      </c>
      <c r="CE6">
        <f t="shared" ref="CE6:CE64" si="55">IF(OR(CD6="",CC6=""),"",CD6-CC6)</f>
        <v>0.11999999999999997</v>
      </c>
      <c r="CF6">
        <f t="shared" si="27"/>
        <v>0.13177734685141715</v>
      </c>
      <c r="CG6">
        <f t="shared" si="28"/>
        <v>0.31683778664817269</v>
      </c>
      <c r="CH6">
        <f t="shared" ref="CH6:CH64" si="56">IF(OR(CG6="",CF6=""),"",CG6-CF6)</f>
        <v>0.18506043979675554</v>
      </c>
      <c r="CI6">
        <v>4</v>
      </c>
      <c r="CJ6">
        <f t="shared" ref="CJ6:CJ64" si="57">CONVERT(CI6,"ft","cm")</f>
        <v>121.92</v>
      </c>
      <c r="CK6">
        <v>5</v>
      </c>
      <c r="CL6">
        <f t="shared" ref="CL6:CL64" si="58">CONVERT(CK6,"ft","cm")</f>
        <v>152.4</v>
      </c>
      <c r="CM6">
        <f t="shared" ref="CM6:CM37" si="59">IF($G6=1,CJ6*IF($CI6=2,AVERAGE($BG6:$BG7),IF($CI6=3,AVERAGE($BG6:$BG8),IF($CI6=4,AVERAGE($BG6:$BG9),AVERAGE($BG6:$BG10)))),CM5)</f>
        <v>18.664959382325424</v>
      </c>
      <c r="CN6">
        <f t="shared" si="29"/>
        <v>22.887406816247125</v>
      </c>
      <c r="CO6">
        <f t="shared" si="30"/>
        <v>23.331199227906783</v>
      </c>
      <c r="CP6">
        <f t="shared" si="31"/>
        <v>28.645428007404185</v>
      </c>
      <c r="CQ6">
        <v>0.24214086052364092</v>
      </c>
      <c r="CR6">
        <v>0.18555766700042967</v>
      </c>
      <c r="CS6">
        <v>0.24040981585960419</v>
      </c>
      <c r="CT6">
        <v>0.06</v>
      </c>
      <c r="CU6">
        <v>105</v>
      </c>
      <c r="CV6">
        <f t="shared" si="32"/>
        <v>22.72701531376423</v>
      </c>
      <c r="CY6">
        <v>2</v>
      </c>
      <c r="CZ6" s="4"/>
      <c r="DC6">
        <f t="shared" ref="DC6:DC64" si="60">DA6*1.72</f>
        <v>0</v>
      </c>
      <c r="DW6" s="4"/>
      <c r="DX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</row>
    <row r="7" spans="3:153">
      <c r="C7">
        <f t="shared" si="33"/>
        <v>42.139916032270555</v>
      </c>
      <c r="E7" t="s">
        <v>7</v>
      </c>
      <c r="F7">
        <v>1</v>
      </c>
      <c r="G7">
        <v>3</v>
      </c>
      <c r="H7" s="27">
        <v>7.6810378797833296</v>
      </c>
      <c r="I7" s="27">
        <v>54.393037691173198</v>
      </c>
      <c r="J7" s="27">
        <v>37.925924429043498</v>
      </c>
      <c r="K7" s="8">
        <v>1.5949480134153649</v>
      </c>
      <c r="L7" s="34">
        <v>1.325359564907022</v>
      </c>
      <c r="M7" s="8">
        <v>1.6895540095142725</v>
      </c>
      <c r="N7">
        <f t="shared" si="0"/>
        <v>0.18463017423884637</v>
      </c>
      <c r="O7">
        <f t="shared" si="34"/>
        <v>1.5366205292788864</v>
      </c>
      <c r="P7" s="7">
        <f t="shared" si="35"/>
        <v>1.4601537891611933</v>
      </c>
      <c r="Q7" s="7">
        <f t="shared" si="1"/>
        <v>1.4601537891611933</v>
      </c>
      <c r="R7" s="8">
        <v>1.232456090567865</v>
      </c>
      <c r="S7" s="38">
        <v>1.0007999999999999</v>
      </c>
      <c r="T7" s="38">
        <v>8.5139999999999993E-2</v>
      </c>
      <c r="U7" s="27">
        <v>1.0539000000000001</v>
      </c>
      <c r="V7" s="27">
        <v>8.5849999999999996E-2</v>
      </c>
      <c r="W7" s="27">
        <f t="shared" si="36"/>
        <v>5.3100000000000147E-2</v>
      </c>
      <c r="X7" s="27">
        <f t="shared" si="36"/>
        <v>7.100000000000023E-4</v>
      </c>
      <c r="Y7" s="8">
        <v>0.21830029866956266</v>
      </c>
      <c r="AA7" s="4">
        <v>0.13</v>
      </c>
      <c r="AB7" s="4"/>
      <c r="AC7" s="4">
        <v>0</v>
      </c>
      <c r="AD7" s="4"/>
      <c r="AE7" s="8">
        <f t="shared" si="37"/>
        <v>2.6197803366414107</v>
      </c>
      <c r="AF7" s="8" t="str">
        <f t="shared" si="38"/>
        <v/>
      </c>
      <c r="AG7" s="8" t="str">
        <f t="shared" si="39"/>
        <v/>
      </c>
      <c r="AH7" s="8" t="str">
        <f t="shared" si="2"/>
        <v/>
      </c>
      <c r="AI7" s="8">
        <f t="shared" si="3"/>
        <v>0.31875200827738215</v>
      </c>
      <c r="AJ7" s="8" t="str">
        <f t="shared" si="4"/>
        <v/>
      </c>
      <c r="AK7" s="8" t="str">
        <f t="shared" si="40"/>
        <v/>
      </c>
      <c r="AL7" s="27">
        <v>0.14338507021433858</v>
      </c>
      <c r="AM7" s="27">
        <v>0.14459964587841814</v>
      </c>
      <c r="AN7" s="27">
        <v>0.31089743589743585</v>
      </c>
      <c r="AO7" s="27">
        <v>0.61933357969943337</v>
      </c>
      <c r="AP7" s="27">
        <v>1.497517870024264</v>
      </c>
      <c r="AQ7" s="27">
        <v>2.5862913995726498</v>
      </c>
      <c r="AR7" s="27">
        <v>0.61933357969943337</v>
      </c>
      <c r="AS7" s="27">
        <v>1.5924242573283496</v>
      </c>
      <c r="AT7" s="27">
        <v>3.7546287393162396</v>
      </c>
      <c r="AU7">
        <f t="shared" si="41"/>
        <v>0.16751236568309727</v>
      </c>
      <c r="AV7">
        <f t="shared" si="42"/>
        <v>0.1662977900190177</v>
      </c>
      <c r="AW7">
        <f t="shared" si="43"/>
        <v>1.9669578198732163</v>
      </c>
      <c r="AX7">
        <f t="shared" si="44"/>
        <v>1.0887735295483858</v>
      </c>
      <c r="AY7">
        <f t="shared" si="45"/>
        <v>3.1352951596168062</v>
      </c>
      <c r="AZ7">
        <f t="shared" si="46"/>
        <v>2.1622044819878901</v>
      </c>
      <c r="BA7">
        <f t="shared" si="5"/>
        <v>0.4489985701278516</v>
      </c>
      <c r="BB7">
        <f t="shared" si="6"/>
        <v>0.53492222997439054</v>
      </c>
      <c r="BC7">
        <f t="shared" si="7"/>
        <v>0.37637923186174926</v>
      </c>
      <c r="BD7">
        <f t="shared" si="8"/>
        <v>0.38642629926550953</v>
      </c>
      <c r="BE7">
        <f t="shared" si="9"/>
        <v>0.22812817758452561</v>
      </c>
      <c r="BF7">
        <f t="shared" si="10"/>
        <v>0.21734311046277785</v>
      </c>
      <c r="BG7">
        <f t="shared" si="47"/>
        <v>0.14825105427722365</v>
      </c>
      <c r="BH7">
        <f t="shared" si="48"/>
        <v>0.16908318880273168</v>
      </c>
      <c r="BI7">
        <f t="shared" si="11"/>
        <v>1.4639592575944767E-2</v>
      </c>
      <c r="BJ7">
        <f t="shared" si="49"/>
        <v>4.0665534933179905E-2</v>
      </c>
      <c r="BK7">
        <f t="shared" si="12"/>
        <v>7.261933826610234E-2</v>
      </c>
      <c r="BL7">
        <f t="shared" si="13"/>
        <v>103.26170949475114</v>
      </c>
      <c r="BM7">
        <f t="shared" si="14"/>
        <v>57.797681803458033</v>
      </c>
      <c r="BN7" s="10">
        <f t="shared" si="15"/>
        <v>0.19990319591069677</v>
      </c>
      <c r="BO7" s="10">
        <f t="shared" si="16"/>
        <v>0.24581329039859037</v>
      </c>
      <c r="BP7" s="10">
        <f t="shared" si="17"/>
        <v>9.8610888825800685E-2</v>
      </c>
      <c r="BQ7" s="10">
        <f t="shared" si="18"/>
        <v>0.10863411290903438</v>
      </c>
      <c r="BR7">
        <f t="shared" si="19"/>
        <v>7.2280251416488264E-2</v>
      </c>
      <c r="BS7">
        <f t="shared" si="20"/>
        <v>-6.4111509748727507</v>
      </c>
      <c r="BT7">
        <f t="shared" si="50"/>
        <v>0.21</v>
      </c>
      <c r="BU7">
        <f t="shared" si="51"/>
        <v>0.38</v>
      </c>
      <c r="BV7">
        <f t="shared" si="52"/>
        <v>0.17</v>
      </c>
      <c r="BW7">
        <f t="shared" si="21"/>
        <v>0.21</v>
      </c>
      <c r="BX7">
        <f t="shared" si="22"/>
        <v>0.33</v>
      </c>
      <c r="BY7">
        <f t="shared" si="53"/>
        <v>0.12</v>
      </c>
      <c r="BZ7">
        <f t="shared" si="23"/>
        <v>0.16994770984322907</v>
      </c>
      <c r="CA7">
        <f t="shared" si="24"/>
        <v>0.35809860107945951</v>
      </c>
      <c r="CB7">
        <f t="shared" si="54"/>
        <v>0.18815089123623044</v>
      </c>
      <c r="CC7">
        <f t="shared" si="25"/>
        <v>0.15</v>
      </c>
      <c r="CD7">
        <f t="shared" si="26"/>
        <v>0.28000000000000003</v>
      </c>
      <c r="CE7">
        <f t="shared" si="55"/>
        <v>0.13000000000000003</v>
      </c>
      <c r="CF7">
        <f t="shared" si="27"/>
        <v>0.11707630422985824</v>
      </c>
      <c r="CG7">
        <f t="shared" si="28"/>
        <v>0.30094647873253411</v>
      </c>
      <c r="CH7">
        <f t="shared" si="56"/>
        <v>0.18387017450267587</v>
      </c>
      <c r="CI7">
        <v>4</v>
      </c>
      <c r="CJ7">
        <f t="shared" si="57"/>
        <v>121.92</v>
      </c>
      <c r="CK7">
        <v>5</v>
      </c>
      <c r="CL7">
        <f t="shared" si="58"/>
        <v>152.4</v>
      </c>
      <c r="CM7">
        <f t="shared" si="59"/>
        <v>18.664959382325424</v>
      </c>
      <c r="CN7">
        <f t="shared" si="29"/>
        <v>22.887406816247125</v>
      </c>
      <c r="CO7">
        <f t="shared" si="30"/>
        <v>23.331199227906783</v>
      </c>
      <c r="CP7">
        <f t="shared" si="31"/>
        <v>28.645428007404185</v>
      </c>
      <c r="CQ7">
        <v>5.377136719040429E-2</v>
      </c>
      <c r="CR7">
        <v>4.3087667320757528E-2</v>
      </c>
      <c r="CS7">
        <v>6.7155379013440653E-2</v>
      </c>
      <c r="CT7">
        <v>0.18</v>
      </c>
      <c r="CU7">
        <v>105</v>
      </c>
      <c r="CV7">
        <f t="shared" si="32"/>
        <v>22.72701531376423</v>
      </c>
      <c r="CY7">
        <v>3</v>
      </c>
      <c r="CZ7" s="4">
        <v>0.69010000000000005</v>
      </c>
      <c r="DC7">
        <f t="shared" si="60"/>
        <v>0</v>
      </c>
      <c r="DW7" s="4"/>
      <c r="DX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</row>
    <row r="8" spans="3:153">
      <c r="C8">
        <f t="shared" si="33"/>
        <v>44.316126992932993</v>
      </c>
      <c r="E8" t="s">
        <v>7</v>
      </c>
      <c r="F8">
        <v>1</v>
      </c>
      <c r="G8">
        <v>4</v>
      </c>
      <c r="H8" s="27">
        <v>7.61583243409647</v>
      </c>
      <c r="I8" s="27">
        <v>52.499653272263799</v>
      </c>
      <c r="J8" s="27">
        <v>39.884514293639697</v>
      </c>
      <c r="K8" s="8">
        <v>1.45765225270587</v>
      </c>
      <c r="L8" s="34">
        <v>1.3403037259456989</v>
      </c>
      <c r="N8">
        <f t="shared" si="0"/>
        <v>8.3881610472460219E-2</v>
      </c>
      <c r="P8" s="7">
        <f t="shared" si="35"/>
        <v>1.3989779893257843</v>
      </c>
      <c r="Q8" s="7">
        <f t="shared" si="1"/>
        <v>1.3989779893257843</v>
      </c>
      <c r="S8" s="38">
        <v>0.44707000000000002</v>
      </c>
      <c r="T8" s="38">
        <v>5.0520000000000002E-2</v>
      </c>
      <c r="U8" s="27">
        <v>0.54107000000000005</v>
      </c>
      <c r="V8" s="27">
        <v>6.9599999999999995E-2</v>
      </c>
      <c r="W8" s="27">
        <f t="shared" si="36"/>
        <v>9.4000000000000028E-2</v>
      </c>
      <c r="X8" s="27">
        <f t="shared" si="36"/>
        <v>1.9079999999999993E-2</v>
      </c>
      <c r="Y8" s="8">
        <v>0.24764595103578138</v>
      </c>
      <c r="Z8" s="8">
        <v>0.2663854639844257</v>
      </c>
      <c r="AA8" s="4">
        <v>0.17499999999999999</v>
      </c>
      <c r="AB8" s="4">
        <v>1.61</v>
      </c>
      <c r="AC8" s="4">
        <v>0</v>
      </c>
      <c r="AD8" s="4">
        <v>0</v>
      </c>
      <c r="AE8" s="8">
        <f t="shared" si="37"/>
        <v>3.4602610736447836</v>
      </c>
      <c r="AF8" s="8">
        <f t="shared" si="38"/>
        <v>32.312551296204113</v>
      </c>
      <c r="AG8" s="8">
        <f t="shared" si="39"/>
        <v>28.852290222559329</v>
      </c>
      <c r="AH8" s="8">
        <f t="shared" si="2"/>
        <v>1.8739512948644316E-2</v>
      </c>
      <c r="AI8" s="8">
        <f t="shared" si="3"/>
        <v>0.34645123464470906</v>
      </c>
      <c r="AJ8" s="8">
        <f t="shared" si="4"/>
        <v>0.372667400790548</v>
      </c>
      <c r="AK8" s="8">
        <f t="shared" si="40"/>
        <v>2.6216166145838937E-2</v>
      </c>
      <c r="AL8" s="27">
        <v>0.16157032945354108</v>
      </c>
      <c r="AM8" s="27">
        <v>0.14643968515467692</v>
      </c>
      <c r="AN8" s="27">
        <v>0.3103139013452913</v>
      </c>
      <c r="AO8" s="27">
        <v>0.50334714276320114</v>
      </c>
      <c r="AP8" s="27">
        <v>1.7101058636890596</v>
      </c>
      <c r="AQ8" s="27">
        <v>3.1229147982062777</v>
      </c>
      <c r="AR8" s="27">
        <v>0.50334714276320114</v>
      </c>
      <c r="AS8" s="27">
        <v>2.0545154524376104</v>
      </c>
      <c r="AT8" s="27">
        <v>3.6530459641255604</v>
      </c>
      <c r="AU8">
        <f t="shared" si="41"/>
        <v>0.14874357189175022</v>
      </c>
      <c r="AV8">
        <f t="shared" si="42"/>
        <v>0.16387421619061437</v>
      </c>
      <c r="AW8">
        <f t="shared" si="43"/>
        <v>2.6195676554430767</v>
      </c>
      <c r="AX8">
        <f t="shared" si="44"/>
        <v>1.4128089345172181</v>
      </c>
      <c r="AY8">
        <f t="shared" si="45"/>
        <v>3.1496988213623593</v>
      </c>
      <c r="AZ8">
        <f t="shared" si="46"/>
        <v>1.59853051168795</v>
      </c>
      <c r="BA8">
        <f t="shared" si="5"/>
        <v>0.47208377761291154</v>
      </c>
      <c r="BB8" t="str">
        <f t="shared" si="6"/>
        <v/>
      </c>
      <c r="BC8">
        <f t="shared" si="7"/>
        <v>0.38749602324839394</v>
      </c>
      <c r="BD8" t="str">
        <f t="shared" si="8"/>
        <v/>
      </c>
      <c r="BE8">
        <f t="shared" si="9"/>
        <v>0.23435256644519567</v>
      </c>
      <c r="BF8" t="str">
        <f t="shared" si="10"/>
        <v/>
      </c>
      <c r="BG8">
        <f t="shared" si="47"/>
        <v>0.15314345680319827</v>
      </c>
      <c r="BH8" t="str">
        <f t="shared" si="48"/>
        <v/>
      </c>
      <c r="BI8">
        <f t="shared" si="11"/>
        <v>2.1950058983929596E-2</v>
      </c>
      <c r="BJ8">
        <f t="shared" si="49"/>
        <v>6.0972386066471096E-2</v>
      </c>
      <c r="BK8">
        <f t="shared" si="12"/>
        <v>8.4587754364517598E-2</v>
      </c>
      <c r="BL8">
        <f t="shared" si="13"/>
        <v>91.311269720958734</v>
      </c>
      <c r="BM8" t="str">
        <f t="shared" si="14"/>
        <v/>
      </c>
      <c r="BN8" s="10">
        <f t="shared" si="15"/>
        <v>0.20275885977543218</v>
      </c>
      <c r="BO8" s="10" t="str">
        <f t="shared" si="16"/>
        <v/>
      </c>
      <c r="BP8" s="10">
        <f t="shared" si="17"/>
        <v>0.10325296019515565</v>
      </c>
      <c r="BQ8" s="10" t="str">
        <f t="shared" si="18"/>
        <v/>
      </c>
      <c r="BR8">
        <f t="shared" si="19"/>
        <v>6.2661781993037069E-2</v>
      </c>
      <c r="BS8">
        <f t="shared" si="20"/>
        <v>-6.7521160380098095</v>
      </c>
      <c r="BT8">
        <f t="shared" si="50"/>
        <v>0.22</v>
      </c>
      <c r="BU8">
        <f t="shared" si="51"/>
        <v>0.4</v>
      </c>
      <c r="BV8">
        <f t="shared" si="52"/>
        <v>0.18000000000000002</v>
      </c>
      <c r="BW8">
        <f t="shared" si="21"/>
        <v>0.2</v>
      </c>
      <c r="BX8">
        <f t="shared" si="22"/>
        <v>0.32</v>
      </c>
      <c r="BY8">
        <f t="shared" si="53"/>
        <v>0.12</v>
      </c>
      <c r="BZ8">
        <f t="shared" si="23"/>
        <v>0.15574268912144709</v>
      </c>
      <c r="CA8">
        <f t="shared" si="24"/>
        <v>0.34274347532077187</v>
      </c>
      <c r="CB8">
        <f t="shared" si="54"/>
        <v>0.18700078619932478</v>
      </c>
      <c r="CC8" t="str">
        <f t="shared" si="25"/>
        <v/>
      </c>
      <c r="CD8" t="str">
        <f t="shared" si="26"/>
        <v/>
      </c>
      <c r="CE8" t="str">
        <f t="shared" si="55"/>
        <v/>
      </c>
      <c r="CF8" t="str">
        <f t="shared" si="27"/>
        <v/>
      </c>
      <c r="CG8" t="str">
        <f t="shared" si="28"/>
        <v/>
      </c>
      <c r="CH8" t="str">
        <f t="shared" si="56"/>
        <v/>
      </c>
      <c r="CI8">
        <v>4</v>
      </c>
      <c r="CJ8">
        <f t="shared" si="57"/>
        <v>121.92</v>
      </c>
      <c r="CK8">
        <v>5</v>
      </c>
      <c r="CL8">
        <f t="shared" si="58"/>
        <v>152.4</v>
      </c>
      <c r="CM8">
        <f t="shared" si="59"/>
        <v>18.664959382325424</v>
      </c>
      <c r="CN8">
        <f t="shared" si="29"/>
        <v>22.887406816247125</v>
      </c>
      <c r="CO8">
        <f t="shared" si="30"/>
        <v>23.331199227906783</v>
      </c>
      <c r="CP8">
        <f t="shared" si="31"/>
        <v>28.645428007404185</v>
      </c>
      <c r="CQ8">
        <v>4.7030294340969142E-2</v>
      </c>
      <c r="CR8">
        <v>1.8203573218007123E-2</v>
      </c>
      <c r="CS8">
        <v>8.7357976099376289E-2</v>
      </c>
      <c r="CU8">
        <v>105</v>
      </c>
      <c r="CV8">
        <f t="shared" si="32"/>
        <v>22.72701531376423</v>
      </c>
      <c r="CY8">
        <v>4</v>
      </c>
      <c r="CZ8" s="4"/>
      <c r="DC8">
        <f t="shared" si="60"/>
        <v>0</v>
      </c>
      <c r="DW8" s="4"/>
      <c r="DX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</row>
    <row r="9" spans="3:153">
      <c r="C9">
        <f t="shared" si="33"/>
        <v>0</v>
      </c>
      <c r="E9" t="s">
        <v>7</v>
      </c>
      <c r="F9">
        <v>1</v>
      </c>
      <c r="G9">
        <v>5</v>
      </c>
      <c r="H9" s="27"/>
      <c r="I9" s="27"/>
      <c r="J9" s="27"/>
      <c r="L9" s="34">
        <v>1.5006093831271679</v>
      </c>
      <c r="N9" t="str">
        <f t="shared" si="0"/>
        <v/>
      </c>
      <c r="P9" s="7">
        <f t="shared" si="35"/>
        <v>1.5006093831271679</v>
      </c>
      <c r="Q9" s="7">
        <f t="shared" si="1"/>
        <v>1.5006093831271679</v>
      </c>
      <c r="S9" s="38"/>
      <c r="T9" s="38"/>
      <c r="U9" s="27">
        <v>0.34114</v>
      </c>
      <c r="V9" s="27">
        <v>4.9450000000000001E-2</v>
      </c>
      <c r="W9" s="27" t="str">
        <f t="shared" si="36"/>
        <v/>
      </c>
      <c r="X9" s="27" t="str">
        <f t="shared" si="36"/>
        <v/>
      </c>
      <c r="Y9" s="8">
        <v>0.23283582089552235</v>
      </c>
      <c r="Z9" s="8">
        <v>0.26020577497510772</v>
      </c>
      <c r="AA9" s="4">
        <v>0.435</v>
      </c>
      <c r="AB9" s="4">
        <v>1.23</v>
      </c>
      <c r="AC9" s="4">
        <v>0</v>
      </c>
      <c r="AD9" s="4">
        <v>2.5600000000000001E-2</v>
      </c>
      <c r="AE9" s="8">
        <f t="shared" si="37"/>
        <v>9.1165545426756669</v>
      </c>
      <c r="AF9" s="8">
        <f t="shared" si="38"/>
        <v>26.8985584291256</v>
      </c>
      <c r="AG9" s="8">
        <f t="shared" si="39"/>
        <v>17.782003886449935</v>
      </c>
      <c r="AH9" s="8">
        <f t="shared" si="2"/>
        <v>2.7369954079585368E-2</v>
      </c>
      <c r="AI9" s="8">
        <f t="shared" si="3"/>
        <v>0.34939561756393755</v>
      </c>
      <c r="AJ9" s="8">
        <f t="shared" si="4"/>
        <v>0.39046722747152302</v>
      </c>
      <c r="AK9" s="8">
        <f t="shared" si="40"/>
        <v>4.107160990758546E-2</v>
      </c>
      <c r="AL9" s="27">
        <v>0.17914597815292943</v>
      </c>
      <c r="AM9" s="27">
        <v>0.2539607472215652</v>
      </c>
      <c r="AN9" s="27">
        <v>0.39585775693630337</v>
      </c>
      <c r="AO9" s="27">
        <v>1.5721946375372391</v>
      </c>
      <c r="AP9" s="27">
        <v>3.5267646015606524</v>
      </c>
      <c r="AQ9" s="27">
        <v>5.1995701445877298</v>
      </c>
      <c r="AR9" s="27">
        <v>1.6331171797418071</v>
      </c>
      <c r="AS9" s="27">
        <v>3.6866445968314019</v>
      </c>
      <c r="AT9" s="27">
        <v>5.4705991923928625</v>
      </c>
      <c r="AU9">
        <f t="shared" si="41"/>
        <v>0.21671177878337394</v>
      </c>
      <c r="AV9">
        <f t="shared" si="42"/>
        <v>0.14189700971473818</v>
      </c>
      <c r="AW9">
        <f t="shared" si="43"/>
        <v>3.6273755070504907</v>
      </c>
      <c r="AX9">
        <f t="shared" si="44"/>
        <v>1.6728055430270774</v>
      </c>
      <c r="AY9">
        <f t="shared" si="45"/>
        <v>3.8374820126510554</v>
      </c>
      <c r="AZ9">
        <f t="shared" si="46"/>
        <v>1.7839545955614606</v>
      </c>
      <c r="BA9">
        <f t="shared" si="5"/>
        <v>0.43373230825389886</v>
      </c>
      <c r="BB9" t="str">
        <f t="shared" si="6"/>
        <v/>
      </c>
      <c r="BC9" t="str">
        <f t="shared" si="7"/>
        <v/>
      </c>
      <c r="BD9" t="str">
        <f t="shared" si="8"/>
        <v/>
      </c>
      <c r="BE9" t="str">
        <f t="shared" si="9"/>
        <v/>
      </c>
      <c r="BF9" t="str">
        <f t="shared" si="10"/>
        <v/>
      </c>
      <c r="BG9" t="str">
        <f t="shared" si="47"/>
        <v/>
      </c>
      <c r="BH9" t="str">
        <f t="shared" si="48"/>
        <v/>
      </c>
      <c r="BI9" t="str">
        <f t="shared" si="11"/>
        <v/>
      </c>
      <c r="BK9" t="str">
        <f t="shared" si="12"/>
        <v/>
      </c>
      <c r="BL9">
        <f t="shared" si="13"/>
        <v>70.973488227192661</v>
      </c>
      <c r="BM9" t="str">
        <f t="shared" si="14"/>
        <v/>
      </c>
      <c r="BN9" s="10">
        <f t="shared" si="15"/>
        <v>0.3548530138541125</v>
      </c>
      <c r="BO9" s="10" t="str">
        <f t="shared" si="16"/>
        <v/>
      </c>
      <c r="BP9" s="10" t="str">
        <f t="shared" si="17"/>
        <v/>
      </c>
      <c r="BQ9" s="10" t="str">
        <f t="shared" si="18"/>
        <v/>
      </c>
      <c r="BR9">
        <f t="shared" si="19"/>
        <v>1.2326547612489296</v>
      </c>
      <c r="BS9">
        <f t="shared" si="20"/>
        <v>-3.14</v>
      </c>
      <c r="BT9">
        <f t="shared" si="50"/>
        <v>0.1</v>
      </c>
      <c r="BU9">
        <f t="shared" si="51"/>
        <v>0.35</v>
      </c>
      <c r="BV9">
        <f t="shared" si="52"/>
        <v>0.24999999999999997</v>
      </c>
      <c r="BW9">
        <f t="shared" si="21"/>
        <v>0.23</v>
      </c>
      <c r="BX9">
        <f t="shared" si="22"/>
        <v>0.34</v>
      </c>
      <c r="BY9">
        <f t="shared" si="53"/>
        <v>0.11</v>
      </c>
      <c r="BZ9">
        <f t="shared" si="23"/>
        <v>0.17934149876212838</v>
      </c>
      <c r="CA9">
        <f t="shared" si="24"/>
        <v>0.36825295516491913</v>
      </c>
      <c r="CB9">
        <f t="shared" si="54"/>
        <v>0.18891145640279075</v>
      </c>
      <c r="CC9" t="str">
        <f t="shared" si="25"/>
        <v/>
      </c>
      <c r="CD9" t="str">
        <f t="shared" si="26"/>
        <v/>
      </c>
      <c r="CE9" t="str">
        <f t="shared" si="55"/>
        <v/>
      </c>
      <c r="CF9" t="str">
        <f t="shared" si="27"/>
        <v/>
      </c>
      <c r="CG9" t="str">
        <f t="shared" si="28"/>
        <v/>
      </c>
      <c r="CH9" t="str">
        <f t="shared" si="56"/>
        <v/>
      </c>
      <c r="CI9">
        <v>4</v>
      </c>
      <c r="CJ9">
        <f t="shared" si="57"/>
        <v>121.92</v>
      </c>
      <c r="CK9">
        <v>5</v>
      </c>
      <c r="CL9">
        <f t="shared" si="58"/>
        <v>152.4</v>
      </c>
      <c r="CM9">
        <f t="shared" si="59"/>
        <v>18.664959382325424</v>
      </c>
      <c r="CN9">
        <f t="shared" si="29"/>
        <v>22.887406816247125</v>
      </c>
      <c r="CO9">
        <f t="shared" si="30"/>
        <v>23.331199227906783</v>
      </c>
      <c r="CP9">
        <f t="shared" si="31"/>
        <v>28.645428007404185</v>
      </c>
      <c r="CQ9">
        <v>9.2905551398556635E-2</v>
      </c>
      <c r="CR9">
        <v>0.11967680744404847</v>
      </c>
      <c r="CS9">
        <v>0.14188272404906471</v>
      </c>
      <c r="CU9">
        <v>105</v>
      </c>
      <c r="CV9">
        <f t="shared" si="32"/>
        <v>22.72701531376423</v>
      </c>
      <c r="CY9">
        <v>5</v>
      </c>
      <c r="CZ9" s="4"/>
      <c r="DC9">
        <f>DB9*1.72</f>
        <v>0</v>
      </c>
      <c r="DW9" s="4"/>
      <c r="DX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</row>
    <row r="10" spans="3:153">
      <c r="C10">
        <f t="shared" si="33"/>
        <v>42.983483807825259</v>
      </c>
      <c r="E10" t="s">
        <v>7</v>
      </c>
      <c r="F10">
        <v>2</v>
      </c>
      <c r="G10">
        <v>1</v>
      </c>
      <c r="H10" s="27">
        <v>6.9942836905467907</v>
      </c>
      <c r="I10" s="27">
        <v>54.320580882410468</v>
      </c>
      <c r="J10" s="27">
        <v>38.685135427042731</v>
      </c>
      <c r="K10" s="8">
        <v>1.3976727703075278</v>
      </c>
      <c r="L10" s="34">
        <v>1.5791758317587921</v>
      </c>
      <c r="M10" s="8">
        <v>1.2806906874135304</v>
      </c>
      <c r="N10">
        <f t="shared" si="0"/>
        <v>-0.12194309198343345</v>
      </c>
      <c r="O10">
        <f>AVERAGE(K10:M10)</f>
        <v>1.4191797631599501</v>
      </c>
      <c r="P10" s="7">
        <f t="shared" si="35"/>
        <v>1.4884243010331599</v>
      </c>
      <c r="Q10" s="7">
        <f t="shared" si="1"/>
        <v>1.4884243010331599</v>
      </c>
      <c r="R10" s="8">
        <v>1.1316948013650099</v>
      </c>
      <c r="S10" s="38">
        <v>1.10602</v>
      </c>
      <c r="T10" s="38">
        <v>0.10088666666666667</v>
      </c>
      <c r="U10" s="27">
        <v>1.4380999999999999</v>
      </c>
      <c r="V10" s="27">
        <v>0.12553</v>
      </c>
      <c r="W10" s="27">
        <f t="shared" si="36"/>
        <v>0.33207999999999993</v>
      </c>
      <c r="X10" s="27">
        <f t="shared" si="36"/>
        <v>2.4643333333333337E-2</v>
      </c>
      <c r="Y10" s="8">
        <v>0.14065252624903091</v>
      </c>
      <c r="Z10" s="8">
        <v>0.23141486810551576</v>
      </c>
      <c r="AA10" s="4">
        <v>0.14499999999999999</v>
      </c>
      <c r="AB10" s="4">
        <v>0.34899999999999998</v>
      </c>
      <c r="AC10" s="4">
        <v>1.48E-3</v>
      </c>
      <c r="AD10" s="4">
        <v>8.7099999999999997E-2</v>
      </c>
      <c r="AE10" s="8">
        <f t="shared" si="37"/>
        <v>2.8172606238788203</v>
      </c>
      <c r="AF10" s="8">
        <f t="shared" si="38"/>
        <v>9.0549447960982512</v>
      </c>
      <c r="AG10" s="8">
        <f t="shared" si="39"/>
        <v>6.2376841722194314</v>
      </c>
      <c r="AH10" s="8">
        <f t="shared" si="2"/>
        <v>9.0762341856484852E-2</v>
      </c>
      <c r="AI10" s="8">
        <f t="shared" si="3"/>
        <v>0.20935063807076201</v>
      </c>
      <c r="AJ10" s="8">
        <f t="shared" si="4"/>
        <v>0.34444351330863321</v>
      </c>
      <c r="AK10" s="8">
        <f t="shared" si="40"/>
        <v>0.1350928752378712</v>
      </c>
      <c r="AL10" s="27">
        <v>0.13244529019980955</v>
      </c>
      <c r="AM10" s="27">
        <v>0.13217938630999213</v>
      </c>
      <c r="AN10" s="27">
        <v>0.23536392405063272</v>
      </c>
      <c r="AO10" s="27">
        <v>4.3835069774817637</v>
      </c>
      <c r="AP10" s="27">
        <v>10.095266194597428</v>
      </c>
      <c r="AQ10" s="27">
        <v>3.2685670490506324</v>
      </c>
      <c r="AR10" s="27">
        <v>4.777503568030447</v>
      </c>
      <c r="AS10" s="27">
        <v>11.156684369263045</v>
      </c>
      <c r="AT10" s="27">
        <v>4.8436560522151888</v>
      </c>
      <c r="AU10">
        <f t="shared" si="41"/>
        <v>0.10291863385082317</v>
      </c>
      <c r="AV10">
        <f t="shared" si="42"/>
        <v>0.1031845377406406</v>
      </c>
      <c r="AW10">
        <f t="shared" si="43"/>
        <v>-1.1149399284311312</v>
      </c>
      <c r="AX10">
        <f t="shared" si="44"/>
        <v>-6.8266991455467956</v>
      </c>
      <c r="AY10">
        <f t="shared" si="45"/>
        <v>6.6152484184741844E-2</v>
      </c>
      <c r="AZ10">
        <f t="shared" si="46"/>
        <v>-6.3130283170478565</v>
      </c>
      <c r="BA10">
        <f t="shared" si="5"/>
        <v>0.43833045244031699</v>
      </c>
      <c r="BB10">
        <f t="shared" si="6"/>
        <v>0.57294535797546797</v>
      </c>
      <c r="BC10">
        <f t="shared" si="7"/>
        <v>0.37704751663565439</v>
      </c>
      <c r="BD10">
        <f t="shared" si="8"/>
        <v>0.39207955528789706</v>
      </c>
      <c r="BE10">
        <f t="shared" si="9"/>
        <v>0.23362672265442863</v>
      </c>
      <c r="BF10">
        <f t="shared" si="10"/>
        <v>0.21734348861757746</v>
      </c>
      <c r="BG10">
        <f t="shared" si="47"/>
        <v>0.14342079398122576</v>
      </c>
      <c r="BH10">
        <f t="shared" si="48"/>
        <v>0.1747360666703196</v>
      </c>
      <c r="BI10">
        <f t="shared" si="11"/>
        <v>9.7345896837604997E-3</v>
      </c>
      <c r="BJ10">
        <f t="shared" si="49"/>
        <v>2.704052689933472E-2</v>
      </c>
      <c r="BK10">
        <f t="shared" si="12"/>
        <v>6.1282935804662597E-2</v>
      </c>
      <c r="BL10">
        <f t="shared" si="13"/>
        <v>115.23467522970707</v>
      </c>
      <c r="BM10">
        <f t="shared" si="14"/>
        <v>47.308468231704005</v>
      </c>
      <c r="BN10" s="10">
        <f t="shared" si="15"/>
        <v>0.18816193398435527</v>
      </c>
      <c r="BO10" s="10">
        <f t="shared" si="16"/>
        <v>0.25673885155485021</v>
      </c>
      <c r="BP10" s="10">
        <f t="shared" si="17"/>
        <v>9.7120860536693887E-2</v>
      </c>
      <c r="BQ10" s="10">
        <f t="shared" si="18"/>
        <v>0.11234555248438423</v>
      </c>
      <c r="BR10">
        <f t="shared" si="19"/>
        <v>6.9823643231727767E-2</v>
      </c>
      <c r="BS10">
        <f t="shared" si="20"/>
        <v>-6.5282520391199377</v>
      </c>
      <c r="BT10">
        <f t="shared" si="50"/>
        <v>0.22</v>
      </c>
      <c r="BU10">
        <f t="shared" si="51"/>
        <v>0.39</v>
      </c>
      <c r="BV10">
        <f t="shared" si="52"/>
        <v>0.17</v>
      </c>
      <c r="BW10">
        <f t="shared" si="21"/>
        <v>0.22</v>
      </c>
      <c r="BX10">
        <f t="shared" si="22"/>
        <v>0.34</v>
      </c>
      <c r="BY10">
        <f t="shared" si="53"/>
        <v>0.12</v>
      </c>
      <c r="BZ10">
        <f t="shared" si="23"/>
        <v>0.17651212269989972</v>
      </c>
      <c r="CA10">
        <f t="shared" si="24"/>
        <v>0.36519449955932315</v>
      </c>
      <c r="CB10">
        <f t="shared" si="54"/>
        <v>0.18868237685942343</v>
      </c>
      <c r="CC10">
        <f t="shared" si="25"/>
        <v>0.12</v>
      </c>
      <c r="CD10">
        <f t="shared" si="26"/>
        <v>0.25</v>
      </c>
      <c r="CE10">
        <f t="shared" si="55"/>
        <v>0.13</v>
      </c>
      <c r="CF10">
        <f t="shared" si="27"/>
        <v>9.3679532876955268E-2</v>
      </c>
      <c r="CG10">
        <f t="shared" si="28"/>
        <v>0.27565539514261744</v>
      </c>
      <c r="CH10">
        <f t="shared" si="56"/>
        <v>0.18197586226566217</v>
      </c>
      <c r="CI10">
        <v>5</v>
      </c>
      <c r="CJ10">
        <f t="shared" si="57"/>
        <v>152.4</v>
      </c>
      <c r="CK10">
        <v>5</v>
      </c>
      <c r="CL10">
        <f t="shared" si="58"/>
        <v>152.4</v>
      </c>
      <c r="CM10">
        <f t="shared" si="59"/>
        <v>19.671169739958806</v>
      </c>
      <c r="CN10">
        <f t="shared" si="29"/>
        <v>25.5848792388074</v>
      </c>
      <c r="CO10">
        <f t="shared" si="30"/>
        <v>19.671169739958806</v>
      </c>
      <c r="CP10">
        <f t="shared" si="31"/>
        <v>25.5848792388074</v>
      </c>
      <c r="CQ10">
        <v>0.14867280225329832</v>
      </c>
      <c r="CR10">
        <v>0.1455773284088055</v>
      </c>
      <c r="CS10">
        <v>0.15176827609779117</v>
      </c>
      <c r="CT10">
        <v>0.14000000000000001</v>
      </c>
      <c r="CU10">
        <v>115</v>
      </c>
      <c r="CV10">
        <f t="shared" si="32"/>
        <v>27.038668660791963</v>
      </c>
      <c r="CY10">
        <v>6</v>
      </c>
      <c r="CZ10" s="4"/>
      <c r="DC10">
        <f t="shared" si="60"/>
        <v>0</v>
      </c>
      <c r="DW10" s="4"/>
      <c r="DX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</row>
    <row r="11" spans="3:153">
      <c r="C11">
        <f t="shared" si="33"/>
        <v>42.603393925664555</v>
      </c>
      <c r="E11" t="s">
        <v>7</v>
      </c>
      <c r="F11">
        <v>2</v>
      </c>
      <c r="G11">
        <v>2</v>
      </c>
      <c r="H11" s="27">
        <v>7.36035282791961</v>
      </c>
      <c r="I11" s="27">
        <v>54.296592638982297</v>
      </c>
      <c r="J11" s="27">
        <v>38.343054533098098</v>
      </c>
      <c r="K11" s="8">
        <v>1.4947272544822146</v>
      </c>
      <c r="L11" s="34">
        <v>1.5926063857848329</v>
      </c>
      <c r="M11" s="8">
        <v>1.4317122748561466</v>
      </c>
      <c r="N11">
        <f t="shared" si="0"/>
        <v>-6.3406902335409437E-2</v>
      </c>
      <c r="O11">
        <f>AVERAGE(K11:M11)</f>
        <v>1.506348638374398</v>
      </c>
      <c r="P11" s="7">
        <f t="shared" si="35"/>
        <v>1.5436668201335237</v>
      </c>
      <c r="Q11" s="7">
        <f t="shared" si="1"/>
        <v>1.5436668201335237</v>
      </c>
      <c r="R11" s="8">
        <v>1.3378409782332277</v>
      </c>
      <c r="S11" s="38">
        <v>0.50121000000000004</v>
      </c>
      <c r="T11" s="38">
        <v>6.8479999999999999E-2</v>
      </c>
      <c r="U11" s="27">
        <v>0.55145</v>
      </c>
      <c r="V11" s="27">
        <v>7.2669999999999998E-2</v>
      </c>
      <c r="W11" s="27">
        <f t="shared" si="36"/>
        <v>5.0239999999999951E-2</v>
      </c>
      <c r="X11" s="27">
        <f t="shared" si="36"/>
        <v>4.1899999999999993E-3</v>
      </c>
      <c r="Y11" s="8">
        <v>0.13749242883101148</v>
      </c>
      <c r="Z11" s="8">
        <v>0.22613596336738295</v>
      </c>
      <c r="AA11" s="4">
        <v>7.8899999999999998E-2</v>
      </c>
      <c r="AB11" s="4">
        <v>0.80800000000000005</v>
      </c>
      <c r="AC11" s="4">
        <v>5.8599999999999999E-2</v>
      </c>
      <c r="AD11" s="4">
        <v>0.36799999999999999</v>
      </c>
      <c r="AE11" s="8">
        <f t="shared" si="37"/>
        <v>2.735100932684996</v>
      </c>
      <c r="AF11" s="8">
        <f t="shared" si="38"/>
        <v>25.215529787749464</v>
      </c>
      <c r="AG11" s="8">
        <f t="shared" si="39"/>
        <v>22.480428855064467</v>
      </c>
      <c r="AH11" s="8">
        <f t="shared" si="2"/>
        <v>8.8643534536371471E-2</v>
      </c>
      <c r="AI11" s="8">
        <f t="shared" si="3"/>
        <v>0.21224250040600232</v>
      </c>
      <c r="AJ11" s="8">
        <f t="shared" si="4"/>
        <v>0.34907858348915904</v>
      </c>
      <c r="AK11" s="8">
        <f t="shared" si="40"/>
        <v>0.13683608308315673</v>
      </c>
      <c r="AL11" s="27">
        <v>0.1516462841015993</v>
      </c>
      <c r="AM11" s="27">
        <v>0.1399471897397209</v>
      </c>
      <c r="AN11" s="27">
        <v>0.23045822102425889</v>
      </c>
      <c r="AO11" s="27">
        <v>1.1084595484477893</v>
      </c>
      <c r="AP11" s="27">
        <v>0.7789639129888094</v>
      </c>
      <c r="AQ11" s="27">
        <v>3.2453335579514828</v>
      </c>
      <c r="AR11" s="27">
        <v>1.2730489965506429</v>
      </c>
      <c r="AS11" s="27">
        <v>0.82608173016471786</v>
      </c>
      <c r="AT11" s="27">
        <v>3.7990397574123995</v>
      </c>
      <c r="AU11">
        <f t="shared" si="41"/>
        <v>7.8811936922659587E-2</v>
      </c>
      <c r="AV11">
        <f t="shared" si="42"/>
        <v>9.0511031284537996E-2</v>
      </c>
      <c r="AW11">
        <f t="shared" si="43"/>
        <v>2.1368740095036936</v>
      </c>
      <c r="AX11">
        <f t="shared" si="44"/>
        <v>2.4663696449626733</v>
      </c>
      <c r="AY11">
        <f t="shared" si="45"/>
        <v>2.5259907608617569</v>
      </c>
      <c r="AZ11">
        <f t="shared" si="46"/>
        <v>2.9729580272476817</v>
      </c>
      <c r="BA11">
        <f t="shared" si="5"/>
        <v>0.41748421881753817</v>
      </c>
      <c r="BB11">
        <f t="shared" si="6"/>
        <v>0.49515434783651779</v>
      </c>
      <c r="BC11">
        <f t="shared" si="7"/>
        <v>0.36940603720148435</v>
      </c>
      <c r="BD11">
        <f t="shared" si="8"/>
        <v>0.38543196982641481</v>
      </c>
      <c r="BE11">
        <f t="shared" si="9"/>
        <v>0.23395272827802194</v>
      </c>
      <c r="BF11">
        <f t="shared" si="10"/>
        <v>0.22405795314498528</v>
      </c>
      <c r="BG11">
        <f t="shared" si="47"/>
        <v>0.13545330892346241</v>
      </c>
      <c r="BH11">
        <f t="shared" si="48"/>
        <v>0.16137401668142953</v>
      </c>
      <c r="BI11">
        <f t="shared" si="11"/>
        <v>5.684919682467331E-3</v>
      </c>
      <c r="BJ11">
        <f t="shared" si="49"/>
        <v>1.5791443562409253E-2</v>
      </c>
      <c r="BK11">
        <f t="shared" si="12"/>
        <v>4.8078181616053817E-2</v>
      </c>
      <c r="BL11">
        <f t="shared" si="13"/>
        <v>133.12472661064223</v>
      </c>
      <c r="BM11">
        <f t="shared" si="14"/>
        <v>75.777527389097017</v>
      </c>
      <c r="BN11" s="10">
        <f t="shared" si="15"/>
        <v>0.17702957110806242</v>
      </c>
      <c r="BO11" s="10">
        <f t="shared" si="16"/>
        <v>0.22440238501436371</v>
      </c>
      <c r="BP11" s="10">
        <f t="shared" si="17"/>
        <v>9.3637693130193045E-2</v>
      </c>
      <c r="BQ11" s="10">
        <f t="shared" si="18"/>
        <v>0.10495005547087474</v>
      </c>
      <c r="BR11">
        <f t="shared" si="19"/>
        <v>7.0806484571960274E-2</v>
      </c>
      <c r="BS11">
        <f t="shared" si="20"/>
        <v>-6.4761920158186879</v>
      </c>
      <c r="BT11">
        <f t="shared" si="50"/>
        <v>0.21</v>
      </c>
      <c r="BU11">
        <f t="shared" si="51"/>
        <v>0.39</v>
      </c>
      <c r="BV11">
        <f t="shared" si="52"/>
        <v>0.18000000000000002</v>
      </c>
      <c r="BW11">
        <f t="shared" si="21"/>
        <v>0.24</v>
      </c>
      <c r="BX11">
        <f t="shared" si="22"/>
        <v>0.35</v>
      </c>
      <c r="BY11">
        <f t="shared" si="53"/>
        <v>0.11</v>
      </c>
      <c r="BZ11">
        <f t="shared" si="23"/>
        <v>0.18933943563500419</v>
      </c>
      <c r="CA11">
        <f t="shared" si="24"/>
        <v>0.37906037185351443</v>
      </c>
      <c r="CB11">
        <f t="shared" si="54"/>
        <v>0.18972093621851024</v>
      </c>
      <c r="CC11">
        <f t="shared" si="25"/>
        <v>0.18</v>
      </c>
      <c r="CD11">
        <f t="shared" si="26"/>
        <v>0.3</v>
      </c>
      <c r="CE11">
        <f t="shared" si="55"/>
        <v>0.12</v>
      </c>
      <c r="CF11">
        <f t="shared" si="27"/>
        <v>0.14154667514575545</v>
      </c>
      <c r="CG11">
        <f t="shared" si="28"/>
        <v>0.32739808553654015</v>
      </c>
      <c r="CH11">
        <f t="shared" si="56"/>
        <v>0.1858514103907847</v>
      </c>
      <c r="CI11">
        <v>5</v>
      </c>
      <c r="CJ11">
        <f t="shared" si="57"/>
        <v>152.4</v>
      </c>
      <c r="CK11">
        <v>5</v>
      </c>
      <c r="CL11">
        <f t="shared" si="58"/>
        <v>152.4</v>
      </c>
      <c r="CM11">
        <f t="shared" si="59"/>
        <v>19.671169739958806</v>
      </c>
      <c r="CN11">
        <f t="shared" si="29"/>
        <v>25.5848792388074</v>
      </c>
      <c r="CO11">
        <f t="shared" si="30"/>
        <v>19.671169739958806</v>
      </c>
      <c r="CP11">
        <f t="shared" si="31"/>
        <v>25.5848792388074</v>
      </c>
      <c r="CQ11">
        <v>0.1506829772421637</v>
      </c>
      <c r="CR11">
        <v>0.1151387792295883</v>
      </c>
      <c r="CS11">
        <v>0.16742895729159962</v>
      </c>
      <c r="CT11">
        <v>0.13999999999999999</v>
      </c>
      <c r="CU11">
        <v>115</v>
      </c>
      <c r="CV11">
        <f t="shared" si="32"/>
        <v>27.038668660791963</v>
      </c>
      <c r="CY11">
        <v>7</v>
      </c>
      <c r="CZ11" s="4">
        <v>1.0658000000000001</v>
      </c>
      <c r="DC11">
        <f t="shared" si="60"/>
        <v>0</v>
      </c>
      <c r="DW11" s="4"/>
      <c r="DX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</row>
    <row r="12" spans="3:153">
      <c r="C12">
        <f t="shared" si="33"/>
        <v>40.653019414993778</v>
      </c>
      <c r="E12" t="s">
        <v>7</v>
      </c>
      <c r="F12">
        <v>2</v>
      </c>
      <c r="G12">
        <v>3</v>
      </c>
      <c r="H12" s="27">
        <v>7.1803812410641701</v>
      </c>
      <c r="I12" s="27">
        <v>56.231901285441502</v>
      </c>
      <c r="J12" s="27">
        <v>36.587717473494401</v>
      </c>
      <c r="K12" s="8">
        <v>1.5653975373425772</v>
      </c>
      <c r="L12" s="34">
        <v>1.6308046827244249</v>
      </c>
      <c r="M12" s="8">
        <v>1.6023022082326388</v>
      </c>
      <c r="N12">
        <f t="shared" si="0"/>
        <v>-4.0928039515895541E-2</v>
      </c>
      <c r="O12">
        <f>AVERAGE(K12:M12)</f>
        <v>1.5995014760998805</v>
      </c>
      <c r="P12" s="7">
        <f t="shared" si="35"/>
        <v>1.5981011100335012</v>
      </c>
      <c r="Q12" s="7">
        <f t="shared" si="1"/>
        <v>1.5981011100335012</v>
      </c>
      <c r="R12" s="8">
        <v>1.4866250610287413</v>
      </c>
      <c r="S12" s="38">
        <v>0.35833999999999999</v>
      </c>
      <c r="T12" s="38">
        <v>5.2350000000000001E-2</v>
      </c>
      <c r="U12" s="27">
        <v>0.36520000000000002</v>
      </c>
      <c r="V12" s="27">
        <v>5.3679999999999999E-2</v>
      </c>
      <c r="W12" s="27">
        <f t="shared" si="36"/>
        <v>6.8600000000000327E-3</v>
      </c>
      <c r="X12" s="27">
        <f t="shared" si="36"/>
        <v>1.3299999999999979E-3</v>
      </c>
      <c r="Y12" s="8">
        <v>0.14456307951671823</v>
      </c>
      <c r="AA12" s="4">
        <v>8.6900000000000005E-2</v>
      </c>
      <c r="AB12" s="4"/>
      <c r="AC12" s="4">
        <v>5.6899999999999999E-2</v>
      </c>
      <c r="AD12" s="4"/>
      <c r="AE12" s="8">
        <f t="shared" si="37"/>
        <v>2.9796924956454074</v>
      </c>
      <c r="AF12" s="8" t="str">
        <f t="shared" si="38"/>
        <v/>
      </c>
      <c r="AG12" s="8" t="str">
        <f t="shared" si="39"/>
        <v/>
      </c>
      <c r="AH12" s="8" t="str">
        <f t="shared" si="2"/>
        <v/>
      </c>
      <c r="AI12" s="8">
        <f t="shared" si="3"/>
        <v>0.23102641784552871</v>
      </c>
      <c r="AJ12" s="8" t="str">
        <f t="shared" si="4"/>
        <v/>
      </c>
      <c r="AK12" s="8" t="str">
        <f t="shared" si="40"/>
        <v/>
      </c>
      <c r="AL12" s="27">
        <v>0.15268088499103072</v>
      </c>
      <c r="AM12" s="27">
        <v>0.1414790996784567</v>
      </c>
      <c r="AN12" s="27">
        <v>0.22461053046736343</v>
      </c>
      <c r="AO12" s="27">
        <v>0.86451066374327312</v>
      </c>
      <c r="AP12" s="27">
        <v>0.56598338692390138</v>
      </c>
      <c r="AQ12" s="27">
        <v>3.1380644843226184</v>
      </c>
      <c r="AR12" s="27">
        <v>0.86451066374327312</v>
      </c>
      <c r="AS12" s="27">
        <v>0.8299504287245445</v>
      </c>
      <c r="AT12" s="27">
        <v>3.2406256162492602</v>
      </c>
      <c r="AU12">
        <f t="shared" si="41"/>
        <v>7.192964547633271E-2</v>
      </c>
      <c r="AV12">
        <f t="shared" si="42"/>
        <v>8.3131430788906724E-2</v>
      </c>
      <c r="AW12">
        <f t="shared" si="43"/>
        <v>2.2735538205793455</v>
      </c>
      <c r="AX12">
        <f t="shared" si="44"/>
        <v>2.5720810973987169</v>
      </c>
      <c r="AY12">
        <f t="shared" si="45"/>
        <v>2.3761149525059873</v>
      </c>
      <c r="AZ12">
        <f t="shared" si="46"/>
        <v>2.4106751875247157</v>
      </c>
      <c r="BA12">
        <f t="shared" si="5"/>
        <v>0.3969429773458486</v>
      </c>
      <c r="BB12">
        <f t="shared" si="6"/>
        <v>0.43900941093255041</v>
      </c>
      <c r="BC12">
        <f t="shared" si="7"/>
        <v>0.35727024874481028</v>
      </c>
      <c r="BD12">
        <f t="shared" si="8"/>
        <v>0.37026544548037832</v>
      </c>
      <c r="BE12">
        <f t="shared" si="9"/>
        <v>0.22651586304961263</v>
      </c>
      <c r="BF12">
        <f t="shared" si="10"/>
        <v>0.22301328036457485</v>
      </c>
      <c r="BG12">
        <f t="shared" si="47"/>
        <v>0.13075438569519765</v>
      </c>
      <c r="BH12">
        <f t="shared" si="48"/>
        <v>0.14725216511580347</v>
      </c>
      <c r="BI12">
        <f t="shared" si="11"/>
        <v>3.9744716614557038E-3</v>
      </c>
      <c r="BJ12">
        <f t="shared" si="49"/>
        <v>1.1040199059599177E-2</v>
      </c>
      <c r="BK12">
        <f t="shared" si="12"/>
        <v>3.9672728601038321E-2</v>
      </c>
      <c r="BL12">
        <f t="shared" si="13"/>
        <v>150.21376088159451</v>
      </c>
      <c r="BM12">
        <f t="shared" si="14"/>
        <v>108.88842328264825</v>
      </c>
      <c r="BN12" s="10">
        <f t="shared" si="15"/>
        <v>0.17553312190558243</v>
      </c>
      <c r="BO12" s="10">
        <f t="shared" si="16"/>
        <v>0.2017607985055353</v>
      </c>
      <c r="BP12" s="10">
        <f t="shared" si="17"/>
        <v>8.9479484495634434E-2</v>
      </c>
      <c r="BQ12" s="10">
        <f t="shared" si="18"/>
        <v>9.6061075296337395E-2</v>
      </c>
      <c r="BR12">
        <f t="shared" si="19"/>
        <v>8.1037485160767905E-2</v>
      </c>
      <c r="BS12">
        <f t="shared" si="20"/>
        <v>-6.1775492270729098</v>
      </c>
      <c r="BT12">
        <f t="shared" si="50"/>
        <v>0.2</v>
      </c>
      <c r="BU12">
        <f t="shared" si="51"/>
        <v>0.38</v>
      </c>
      <c r="BV12">
        <f t="shared" si="52"/>
        <v>0.18</v>
      </c>
      <c r="BW12">
        <f t="shared" si="21"/>
        <v>0.25</v>
      </c>
      <c r="BX12">
        <f t="shared" si="22"/>
        <v>0.36</v>
      </c>
      <c r="BY12">
        <f t="shared" si="53"/>
        <v>0.11</v>
      </c>
      <c r="BZ12">
        <f t="shared" si="23"/>
        <v>0.20197907774977894</v>
      </c>
      <c r="CA12">
        <f t="shared" si="24"/>
        <v>0.36694297734584858</v>
      </c>
      <c r="CB12">
        <f t="shared" si="54"/>
        <v>0.16496389959606964</v>
      </c>
      <c r="CC12">
        <f t="shared" si="25"/>
        <v>0.22</v>
      </c>
      <c r="CD12">
        <f t="shared" si="26"/>
        <v>0.34</v>
      </c>
      <c r="CE12">
        <f t="shared" si="55"/>
        <v>0.12000000000000002</v>
      </c>
      <c r="CF12">
        <f t="shared" si="27"/>
        <v>0.17609433917087372</v>
      </c>
      <c r="CG12">
        <f t="shared" si="28"/>
        <v>0.36474289031821405</v>
      </c>
      <c r="CH12">
        <f t="shared" si="56"/>
        <v>0.18864855114734033</v>
      </c>
      <c r="CI12">
        <v>5</v>
      </c>
      <c r="CJ12">
        <f t="shared" si="57"/>
        <v>152.4</v>
      </c>
      <c r="CK12">
        <v>5</v>
      </c>
      <c r="CL12">
        <f t="shared" si="58"/>
        <v>152.4</v>
      </c>
      <c r="CM12">
        <f t="shared" si="59"/>
        <v>19.671169739958806</v>
      </c>
      <c r="CN12">
        <f t="shared" si="29"/>
        <v>25.5848792388074</v>
      </c>
      <c r="CO12">
        <f t="shared" si="30"/>
        <v>19.671169739958806</v>
      </c>
      <c r="CP12">
        <f t="shared" si="31"/>
        <v>25.5848792388074</v>
      </c>
      <c r="CQ12">
        <v>0.10856436820974091</v>
      </c>
      <c r="CR12">
        <v>8.4772410531406481E-2</v>
      </c>
      <c r="CS12">
        <v>0.12543940281461904</v>
      </c>
      <c r="CT12">
        <v>0.12999999999999998</v>
      </c>
      <c r="CU12">
        <v>115</v>
      </c>
      <c r="CV12">
        <f t="shared" si="32"/>
        <v>27.038668660791963</v>
      </c>
      <c r="CY12">
        <v>8</v>
      </c>
      <c r="CZ12" s="4"/>
      <c r="DC12">
        <f t="shared" si="60"/>
        <v>0</v>
      </c>
      <c r="DW12" s="4"/>
      <c r="DX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</row>
    <row r="13" spans="3:153">
      <c r="C13">
        <f t="shared" si="33"/>
        <v>44.906473475006116</v>
      </c>
      <c r="E13" t="s">
        <v>7</v>
      </c>
      <c r="F13">
        <v>2</v>
      </c>
      <c r="G13">
        <v>4</v>
      </c>
      <c r="H13" s="27">
        <v>7.1412882973295</v>
      </c>
      <c r="I13" s="27">
        <v>52.442885575165</v>
      </c>
      <c r="J13" s="27">
        <v>40.415826127505504</v>
      </c>
      <c r="K13" s="8">
        <v>1.5864553083691437</v>
      </c>
      <c r="L13" s="34">
        <v>1.6130692347558118</v>
      </c>
      <c r="N13">
        <f t="shared" si="0"/>
        <v>-1.663617579921696E-2</v>
      </c>
      <c r="P13" s="7">
        <f t="shared" si="35"/>
        <v>1.5997622715624777</v>
      </c>
      <c r="Q13" s="7">
        <f t="shared" si="1"/>
        <v>1.5997622715624777</v>
      </c>
      <c r="S13" s="38">
        <v>0.28105000000000002</v>
      </c>
      <c r="T13" s="38">
        <v>2.298E-2</v>
      </c>
      <c r="U13" s="27">
        <v>0.35077000000000003</v>
      </c>
      <c r="V13" s="27">
        <v>4.564E-2</v>
      </c>
      <c r="W13" s="27">
        <f t="shared" si="36"/>
        <v>6.9720000000000004E-2</v>
      </c>
      <c r="X13" s="27">
        <f t="shared" si="36"/>
        <v>2.266E-2</v>
      </c>
      <c r="Y13" s="8">
        <v>0.17070054119061942</v>
      </c>
      <c r="Z13" s="8">
        <v>0.37048736462093829</v>
      </c>
      <c r="AA13" s="4">
        <v>0.15</v>
      </c>
      <c r="AB13" s="4">
        <v>1.9099999999999999E-2</v>
      </c>
      <c r="AC13" s="4">
        <v>2.0799999999999999E-2</v>
      </c>
      <c r="AD13" s="4">
        <v>0</v>
      </c>
      <c r="AE13" s="8">
        <f t="shared" si="37"/>
        <v>3.6237456837432722</v>
      </c>
      <c r="AF13" s="8">
        <f t="shared" si="38"/>
        <v>0.47438661714806429</v>
      </c>
      <c r="AG13" s="8">
        <f t="shared" si="39"/>
        <v>-3.149359066595208</v>
      </c>
      <c r="AH13" s="8">
        <f t="shared" si="2"/>
        <v>0.19978682343031887</v>
      </c>
      <c r="AI13" s="8">
        <f t="shared" si="3"/>
        <v>0.2730802855320496</v>
      </c>
      <c r="AJ13" s="8">
        <f t="shared" si="4"/>
        <v>0.5926917080111882</v>
      </c>
      <c r="AK13" s="8">
        <f t="shared" si="40"/>
        <v>0.3196114224791386</v>
      </c>
      <c r="AL13" s="27">
        <v>0.16219347364356035</v>
      </c>
      <c r="AM13" s="27">
        <v>0.15273281279756257</v>
      </c>
      <c r="AN13" s="27">
        <v>0.21818781977223961</v>
      </c>
      <c r="AO13" s="27">
        <v>1.5883310806461994</v>
      </c>
      <c r="AP13" s="27">
        <v>0.80691296895829379</v>
      </c>
      <c r="AQ13" s="27">
        <v>3.476911068933267</v>
      </c>
      <c r="AR13" s="27">
        <v>1.946189821072279</v>
      </c>
      <c r="AS13" s="27">
        <v>0.80691296895829379</v>
      </c>
      <c r="AT13" s="27">
        <v>3.6875560461022165</v>
      </c>
      <c r="AU13">
        <f t="shared" si="41"/>
        <v>5.5994346128679262E-2</v>
      </c>
      <c r="AV13">
        <f t="shared" si="42"/>
        <v>6.5455006974677044E-2</v>
      </c>
      <c r="AW13">
        <f t="shared" si="43"/>
        <v>1.8885799882870675</v>
      </c>
      <c r="AX13">
        <f t="shared" si="44"/>
        <v>2.6699980999749733</v>
      </c>
      <c r="AY13">
        <f t="shared" si="45"/>
        <v>1.7413662250299375</v>
      </c>
      <c r="AZ13">
        <f t="shared" si="46"/>
        <v>2.8806430771439229</v>
      </c>
      <c r="BA13">
        <f t="shared" si="5"/>
        <v>0.39631612393868765</v>
      </c>
      <c r="BB13" t="str">
        <f t="shared" si="6"/>
        <v/>
      </c>
      <c r="BC13">
        <f t="shared" si="7"/>
        <v>0.36662553644808615</v>
      </c>
      <c r="BD13" t="str">
        <f t="shared" si="8"/>
        <v/>
      </c>
      <c r="BE13">
        <f t="shared" si="9"/>
        <v>0.24638011769765733</v>
      </c>
      <c r="BF13" t="str">
        <f t="shared" si="10"/>
        <v/>
      </c>
      <c r="BG13">
        <f t="shared" si="47"/>
        <v>0.12024541875042882</v>
      </c>
      <c r="BH13" t="str">
        <f t="shared" si="48"/>
        <v/>
      </c>
      <c r="BI13">
        <f t="shared" si="11"/>
        <v>2.1463957713589838E-3</v>
      </c>
      <c r="BJ13">
        <f t="shared" si="49"/>
        <v>5.9622104759971773E-3</v>
      </c>
      <c r="BK13">
        <f t="shared" si="12"/>
        <v>2.9690587490601494E-2</v>
      </c>
      <c r="BL13">
        <f t="shared" si="13"/>
        <v>166.75301985472103</v>
      </c>
      <c r="BM13" t="str">
        <f t="shared" si="14"/>
        <v/>
      </c>
      <c r="BN13" s="10">
        <f t="shared" si="15"/>
        <v>0.1491797497572796</v>
      </c>
      <c r="BO13" s="10" t="str">
        <f t="shared" si="16"/>
        <v/>
      </c>
      <c r="BP13" s="10">
        <f t="shared" si="17"/>
        <v>8.9640038604057379E-2</v>
      </c>
      <c r="BQ13" s="10" t="str">
        <f t="shared" si="18"/>
        <v/>
      </c>
      <c r="BR13">
        <f t="shared" si="19"/>
        <v>6.1190234762998612E-2</v>
      </c>
      <c r="BS13">
        <f t="shared" si="20"/>
        <v>-6.8380442217563147</v>
      </c>
      <c r="BT13">
        <f t="shared" si="50"/>
        <v>0.23</v>
      </c>
      <c r="BU13">
        <f t="shared" si="51"/>
        <v>0.4</v>
      </c>
      <c r="BV13">
        <f t="shared" si="52"/>
        <v>0.17</v>
      </c>
      <c r="BW13">
        <f t="shared" si="21"/>
        <v>0.25</v>
      </c>
      <c r="BX13">
        <f t="shared" si="22"/>
        <v>0.36</v>
      </c>
      <c r="BY13">
        <f t="shared" si="53"/>
        <v>0.11</v>
      </c>
      <c r="BZ13">
        <f t="shared" si="23"/>
        <v>0.20236479945680733</v>
      </c>
      <c r="CA13">
        <f t="shared" si="24"/>
        <v>0.36631612393868762</v>
      </c>
      <c r="CB13">
        <f t="shared" si="54"/>
        <v>0.1639513244818803</v>
      </c>
      <c r="CC13" t="str">
        <f t="shared" si="25"/>
        <v/>
      </c>
      <c r="CD13" t="str">
        <f t="shared" si="26"/>
        <v/>
      </c>
      <c r="CE13" t="str">
        <f t="shared" si="55"/>
        <v/>
      </c>
      <c r="CF13" t="str">
        <f t="shared" si="27"/>
        <v/>
      </c>
      <c r="CG13" t="str">
        <f t="shared" si="28"/>
        <v/>
      </c>
      <c r="CH13" t="str">
        <f t="shared" si="56"/>
        <v/>
      </c>
      <c r="CI13">
        <v>5</v>
      </c>
      <c r="CJ13">
        <f t="shared" si="57"/>
        <v>152.4</v>
      </c>
      <c r="CK13">
        <v>5</v>
      </c>
      <c r="CL13">
        <f t="shared" si="58"/>
        <v>152.4</v>
      </c>
      <c r="CM13">
        <f t="shared" si="59"/>
        <v>19.671169739958806</v>
      </c>
      <c r="CN13">
        <f t="shared" si="29"/>
        <v>25.5848792388074</v>
      </c>
      <c r="CO13">
        <f t="shared" si="30"/>
        <v>19.671169739958806</v>
      </c>
      <c r="CP13">
        <f t="shared" si="31"/>
        <v>25.5848792388074</v>
      </c>
      <c r="CQ13">
        <v>0.20712202956667974</v>
      </c>
      <c r="CR13">
        <v>0.14394777246169987</v>
      </c>
      <c r="CS13">
        <v>0.3196114224791386</v>
      </c>
      <c r="CT13">
        <v>0.12000000000000002</v>
      </c>
      <c r="CU13">
        <v>115</v>
      </c>
      <c r="CV13">
        <f t="shared" si="32"/>
        <v>27.038668660791963</v>
      </c>
      <c r="CY13">
        <v>9</v>
      </c>
      <c r="CZ13" s="4"/>
      <c r="DC13">
        <f t="shared" si="60"/>
        <v>0</v>
      </c>
      <c r="DW13" s="4"/>
      <c r="DX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</row>
    <row r="14" spans="3:153">
      <c r="C14">
        <f t="shared" si="33"/>
        <v>42.822974394078997</v>
      </c>
      <c r="E14" t="s">
        <v>7</v>
      </c>
      <c r="F14">
        <v>2</v>
      </c>
      <c r="G14">
        <v>5</v>
      </c>
      <c r="H14" s="27">
        <v>8.4857698167428399</v>
      </c>
      <c r="I14" s="27">
        <v>52.973553228586098</v>
      </c>
      <c r="J14" s="27">
        <v>38.540676954671099</v>
      </c>
      <c r="K14" s="8">
        <v>1.6391353620447939</v>
      </c>
      <c r="L14" s="34">
        <v>1.6649597414883859</v>
      </c>
      <c r="N14">
        <f t="shared" si="0"/>
        <v>-1.5631740996787335E-2</v>
      </c>
      <c r="P14" s="7">
        <f t="shared" si="35"/>
        <v>1.6520475517665898</v>
      </c>
      <c r="Q14" s="7">
        <f t="shared" si="1"/>
        <v>1.6520475517665898</v>
      </c>
      <c r="S14" s="38">
        <v>0.22192000000000001</v>
      </c>
      <c r="T14" s="38">
        <v>3.015E-2</v>
      </c>
      <c r="U14" s="27"/>
      <c r="V14" s="27"/>
      <c r="W14" s="27" t="str">
        <f t="shared" si="36"/>
        <v/>
      </c>
      <c r="X14" s="27" t="str">
        <f t="shared" si="36"/>
        <v/>
      </c>
      <c r="Y14" s="8">
        <v>0.19288537549407136</v>
      </c>
      <c r="AA14" s="4">
        <v>0.26800000000000002</v>
      </c>
      <c r="AB14" s="4"/>
      <c r="AC14" s="4">
        <v>6.83E-2</v>
      </c>
      <c r="AD14" s="4"/>
      <c r="AE14" s="8">
        <f t="shared" si="37"/>
        <v>7.5078692474816249</v>
      </c>
      <c r="AF14" s="8" t="str">
        <f t="shared" si="38"/>
        <v/>
      </c>
      <c r="AG14" s="8" t="str">
        <f t="shared" si="39"/>
        <v/>
      </c>
      <c r="AH14" s="8" t="str">
        <f t="shared" si="2"/>
        <v/>
      </c>
      <c r="AI14" s="8">
        <f t="shared" si="3"/>
        <v>0.31865581235655999</v>
      </c>
      <c r="AJ14" s="8" t="str">
        <f t="shared" si="4"/>
        <v/>
      </c>
      <c r="AK14" s="8" t="str">
        <f t="shared" si="40"/>
        <v/>
      </c>
      <c r="AL14" s="27">
        <v>0.17749999999999999</v>
      </c>
      <c r="AM14" s="27">
        <v>0.17414550315065888</v>
      </c>
      <c r="AN14" s="27"/>
      <c r="AO14" s="27">
        <v>2.0262812499999998</v>
      </c>
      <c r="AP14" s="27">
        <v>1.3355905098338745</v>
      </c>
      <c r="AQ14" s="27"/>
      <c r="AR14" s="27">
        <v>2.2897468749999996</v>
      </c>
      <c r="AS14" s="27">
        <v>1.3355905098338745</v>
      </c>
      <c r="AU14" t="str">
        <f t="shared" si="41"/>
        <v/>
      </c>
      <c r="AV14" t="str">
        <f t="shared" si="42"/>
        <v/>
      </c>
      <c r="AW14" t="str">
        <f t="shared" si="43"/>
        <v/>
      </c>
      <c r="AX14" t="str">
        <f t="shared" si="44"/>
        <v/>
      </c>
      <c r="AY14" t="str">
        <f t="shared" si="45"/>
        <v/>
      </c>
      <c r="AZ14" t="str">
        <f t="shared" si="46"/>
        <v/>
      </c>
      <c r="BA14">
        <f t="shared" si="5"/>
        <v>0.37658582952204156</v>
      </c>
      <c r="BB14" t="str">
        <f t="shared" si="6"/>
        <v/>
      </c>
      <c r="BC14">
        <f t="shared" si="7"/>
        <v>0.35196158917869347</v>
      </c>
      <c r="BD14" t="str">
        <f t="shared" si="8"/>
        <v/>
      </c>
      <c r="BE14">
        <f t="shared" si="9"/>
        <v>0.23645591188469045</v>
      </c>
      <c r="BF14" t="str">
        <f t="shared" si="10"/>
        <v/>
      </c>
      <c r="BG14">
        <f t="shared" si="47"/>
        <v>0.11550567729400302</v>
      </c>
      <c r="BH14" t="str">
        <f t="shared" si="48"/>
        <v/>
      </c>
      <c r="BI14" s="10">
        <f>EXP(19.52348*porosity-8.96847-0.028212*clay+0.00018107*sand^2-0.0094125*clay^2-8.395215*porosity^2+0.077718*sand*porosity-0.00298*sand^2*porosity^2-0.019492*clay^2*porosity^2+0.0000173*sand^2*clay+0.02733*clay^2*porosity+0.001434*sand^2*porosity-0.0000035*clay^2*sand)</f>
        <v>1.6288844815773116E-3</v>
      </c>
      <c r="BJ14">
        <f t="shared" si="49"/>
        <v>4.5246791154925324E-3</v>
      </c>
      <c r="BK14">
        <f t="shared" si="12"/>
        <v>2.4624240343348092E-2</v>
      </c>
      <c r="BL14">
        <f t="shared" si="13"/>
        <v>182.40595477988538</v>
      </c>
      <c r="BM14" t="str">
        <f t="shared" si="14"/>
        <v/>
      </c>
      <c r="BN14" s="10">
        <f t="shared" si="15"/>
        <v>0.1495928189403655</v>
      </c>
      <c r="BO14" s="10" t="str">
        <f t="shared" si="16"/>
        <v/>
      </c>
      <c r="BP14" s="10">
        <f t="shared" si="17"/>
        <v>8.6439326093878791E-2</v>
      </c>
      <c r="BQ14" s="10" t="str">
        <f t="shared" si="18"/>
        <v/>
      </c>
      <c r="BR14">
        <f t="shared" si="19"/>
        <v>6.7168717872803999E-2</v>
      </c>
      <c r="BS14">
        <f t="shared" si="20"/>
        <v>-6.5342416398314738</v>
      </c>
      <c r="BT14">
        <f t="shared" si="50"/>
        <v>0.22</v>
      </c>
      <c r="BU14">
        <f t="shared" si="51"/>
        <v>0.39</v>
      </c>
      <c r="BV14">
        <f t="shared" si="52"/>
        <v>0.17</v>
      </c>
      <c r="BW14">
        <f t="shared" si="21"/>
        <v>0.27</v>
      </c>
      <c r="BX14">
        <f t="shared" si="22"/>
        <v>0.35</v>
      </c>
      <c r="BY14">
        <f t="shared" si="53"/>
        <v>0.08</v>
      </c>
      <c r="BZ14">
        <f t="shared" si="23"/>
        <v>0.21450544152020215</v>
      </c>
      <c r="CA14">
        <f t="shared" si="24"/>
        <v>0.34658582952204153</v>
      </c>
      <c r="CB14">
        <f t="shared" si="54"/>
        <v>0.13208038800183938</v>
      </c>
      <c r="CC14" t="str">
        <f t="shared" si="25"/>
        <v/>
      </c>
      <c r="CD14" t="str">
        <f t="shared" si="26"/>
        <v/>
      </c>
      <c r="CE14" t="str">
        <f t="shared" si="55"/>
        <v/>
      </c>
      <c r="CF14" t="str">
        <f t="shared" si="27"/>
        <v/>
      </c>
      <c r="CG14" t="str">
        <f t="shared" si="28"/>
        <v/>
      </c>
      <c r="CH14" t="str">
        <f t="shared" si="56"/>
        <v/>
      </c>
      <c r="CI14">
        <v>5</v>
      </c>
      <c r="CJ14">
        <f t="shared" si="57"/>
        <v>152.4</v>
      </c>
      <c r="CK14">
        <v>5</v>
      </c>
      <c r="CL14">
        <f t="shared" si="58"/>
        <v>152.4</v>
      </c>
      <c r="CM14">
        <f t="shared" si="59"/>
        <v>19.671169739958806</v>
      </c>
      <c r="CN14">
        <f t="shared" si="29"/>
        <v>25.5848792388074</v>
      </c>
      <c r="CO14">
        <f t="shared" si="30"/>
        <v>19.671169739958806</v>
      </c>
      <c r="CP14">
        <f t="shared" si="31"/>
        <v>25.5848792388074</v>
      </c>
      <c r="CQ14">
        <v>6.5163707582260089E-2</v>
      </c>
      <c r="CR14" t="e">
        <v>#N/A</v>
      </c>
      <c r="CS14">
        <v>4.431173084156903E-2</v>
      </c>
      <c r="CU14">
        <v>115</v>
      </c>
      <c r="CV14">
        <f t="shared" si="32"/>
        <v>27.038668660791963</v>
      </c>
      <c r="CY14">
        <v>10</v>
      </c>
      <c r="CZ14" s="4"/>
      <c r="DC14">
        <f t="shared" si="60"/>
        <v>0</v>
      </c>
      <c r="DW14" s="4"/>
      <c r="DX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</row>
    <row r="15" spans="3:153">
      <c r="C15">
        <f t="shared" si="33"/>
        <v>35.488228378375474</v>
      </c>
      <c r="E15" t="s">
        <v>7</v>
      </c>
      <c r="F15">
        <v>3</v>
      </c>
      <c r="G15">
        <v>1</v>
      </c>
      <c r="H15" s="27">
        <v>8.0347562139024333</v>
      </c>
      <c r="I15" s="27">
        <v>60.025838245559605</v>
      </c>
      <c r="J15" s="27">
        <v>31.93940554053793</v>
      </c>
      <c r="K15" s="8">
        <v>1.4570260686267233</v>
      </c>
      <c r="L15" s="34">
        <v>1.5099844438148378</v>
      </c>
      <c r="M15" s="8">
        <v>1.3845180287803291</v>
      </c>
      <c r="N15">
        <f t="shared" si="0"/>
        <v>-3.5698137883936797E-2</v>
      </c>
      <c r="O15">
        <f>AVERAGE(K15:M15)</f>
        <v>1.4505095137406301</v>
      </c>
      <c r="P15" s="7">
        <f t="shared" si="35"/>
        <v>1.4835052562207807</v>
      </c>
      <c r="Q15" s="7">
        <f t="shared" si="1"/>
        <v>1.4835052562207807</v>
      </c>
      <c r="R15" s="8">
        <v>1.2666633509060188</v>
      </c>
      <c r="S15" s="38">
        <v>1.8129333333333333</v>
      </c>
      <c r="T15" s="38">
        <v>0.15118333333333334</v>
      </c>
      <c r="U15" s="27">
        <v>1.7088000000000001</v>
      </c>
      <c r="V15" s="27">
        <v>0.14194000000000001</v>
      </c>
      <c r="W15" s="27">
        <f t="shared" si="36"/>
        <v>-0.10413333333333319</v>
      </c>
      <c r="X15" s="27">
        <f t="shared" si="36"/>
        <v>-9.2433333333333256E-3</v>
      </c>
      <c r="Y15" s="8">
        <v>0.12112341772151899</v>
      </c>
      <c r="Z15" s="8">
        <v>0.21592539454806298</v>
      </c>
      <c r="AA15" s="4">
        <v>0.34599999999999997</v>
      </c>
      <c r="AB15" s="4">
        <v>0.52700000000000002</v>
      </c>
      <c r="AC15" s="4">
        <v>7.3599999999999999E-2</v>
      </c>
      <c r="AD15" s="4">
        <v>6.7500000000000004E-2</v>
      </c>
      <c r="AE15" s="8">
        <f t="shared" si="37"/>
        <v>7.9058135606605449</v>
      </c>
      <c r="AF15" s="8">
        <f t="shared" si="38"/>
        <v>12.148326413682526</v>
      </c>
      <c r="AG15" s="8">
        <f t="shared" si="39"/>
        <v>4.2425128530219807</v>
      </c>
      <c r="AH15" s="8">
        <f t="shared" si="2"/>
        <v>9.4801976826543982E-2</v>
      </c>
      <c r="AI15" s="8">
        <f t="shared" si="3"/>
        <v>0.17968722684129868</v>
      </c>
      <c r="AJ15" s="8">
        <f t="shared" si="4"/>
        <v>0.32032645776359731</v>
      </c>
      <c r="AK15" s="8">
        <f t="shared" si="40"/>
        <v>0.14063923092229863</v>
      </c>
      <c r="AL15" s="27">
        <v>0.12452615617892358</v>
      </c>
      <c r="AM15" s="27">
        <v>0.12640726841793415</v>
      </c>
      <c r="AN15" s="27">
        <v>0.2496899545266639</v>
      </c>
      <c r="AO15" s="27">
        <v>4.82609142026788</v>
      </c>
      <c r="AP15" s="27">
        <v>47.402972545921394</v>
      </c>
      <c r="AQ15" s="27">
        <v>6.769153920352764</v>
      </c>
      <c r="AR15" s="27">
        <v>5.2299837313621431</v>
      </c>
      <c r="AS15" s="27">
        <v>60.309722496543557</v>
      </c>
      <c r="AT15" s="27">
        <v>7.4929326856827903</v>
      </c>
      <c r="AU15">
        <f t="shared" si="41"/>
        <v>0.12516379834774033</v>
      </c>
      <c r="AV15">
        <f t="shared" si="42"/>
        <v>0.12328268610872975</v>
      </c>
      <c r="AW15">
        <f t="shared" si="43"/>
        <v>1.943062500084884</v>
      </c>
      <c r="AX15">
        <f t="shared" si="44"/>
        <v>-40.63381862556863</v>
      </c>
      <c r="AY15">
        <f t="shared" si="45"/>
        <v>2.2629489543206471</v>
      </c>
      <c r="AZ15">
        <f t="shared" si="46"/>
        <v>-52.816789810860769</v>
      </c>
      <c r="BA15">
        <f t="shared" si="5"/>
        <v>0.4401866957657431</v>
      </c>
      <c r="BB15">
        <f t="shared" si="6"/>
        <v>0.52201382984678535</v>
      </c>
      <c r="BC15">
        <f t="shared" si="7"/>
        <v>0.35335588598258461</v>
      </c>
      <c r="BD15">
        <f t="shared" si="8"/>
        <v>0.36320068324420784</v>
      </c>
      <c r="BE15">
        <f t="shared" si="9"/>
        <v>0.19974686735131414</v>
      </c>
      <c r="BF15">
        <f t="shared" si="10"/>
        <v>0.19408143592106961</v>
      </c>
      <c r="BG15">
        <f t="shared" si="47"/>
        <v>0.15360901863127047</v>
      </c>
      <c r="BH15">
        <f t="shared" si="48"/>
        <v>0.16911924732313824</v>
      </c>
      <c r="BI15" s="10">
        <f>EXP(19.52348*porosity-8.96847-0.028212*clay+0.00018107*sand^2-0.0094125*clay^2-8.395215*porosity^2+0.077718*sand*porosity-0.00298*sand^2*porosity^2-0.019492*clay^2*porosity^2+0.0000173*sand^2*clay+0.02733*clay^2*porosity+0.001434*sand^2*porosity-0.0000035*clay^2*sand)</f>
        <v>2.2649426783174373E-2</v>
      </c>
      <c r="BJ15">
        <f t="shared" si="49"/>
        <v>6.2915074397706591E-2</v>
      </c>
      <c r="BK15">
        <f t="shared" si="12"/>
        <v>8.6830809783158491E-2</v>
      </c>
      <c r="BL15">
        <f t="shared" si="13"/>
        <v>95.941331152148635</v>
      </c>
      <c r="BM15">
        <f t="shared" si="14"/>
        <v>56.828018771103828</v>
      </c>
      <c r="BN15" s="10">
        <f t="shared" si="15"/>
        <v>0.23225472043614129</v>
      </c>
      <c r="BO15" s="10">
        <f t="shared" si="16"/>
        <v>0.26743104939923024</v>
      </c>
      <c r="BP15" s="10">
        <f t="shared" si="17"/>
        <v>9.2064356218929458E-2</v>
      </c>
      <c r="BQ15" s="10">
        <f t="shared" si="18"/>
        <v>9.8811442325170196E-2</v>
      </c>
      <c r="BR15">
        <f t="shared" si="19"/>
        <v>0.11143045163700899</v>
      </c>
      <c r="BS15">
        <f t="shared" si="20"/>
        <v>-5.4765162536012992</v>
      </c>
      <c r="BT15">
        <f t="shared" si="50"/>
        <v>0.18</v>
      </c>
      <c r="BU15">
        <f t="shared" si="51"/>
        <v>0.35</v>
      </c>
      <c r="BV15">
        <f t="shared" si="52"/>
        <v>0.16999999999999998</v>
      </c>
      <c r="BW15">
        <f t="shared" si="21"/>
        <v>0.22</v>
      </c>
      <c r="BX15">
        <f t="shared" si="22"/>
        <v>0.34</v>
      </c>
      <c r="BY15">
        <f t="shared" si="53"/>
        <v>0.12</v>
      </c>
      <c r="BZ15">
        <f t="shared" si="23"/>
        <v>0.17536992049446523</v>
      </c>
      <c r="CA15">
        <f t="shared" si="24"/>
        <v>0.36395981931141591</v>
      </c>
      <c r="CB15">
        <f t="shared" si="54"/>
        <v>0.18858989881695068</v>
      </c>
      <c r="CC15">
        <f t="shared" si="25"/>
        <v>0.16</v>
      </c>
      <c r="CD15">
        <f t="shared" si="26"/>
        <v>0.28999999999999998</v>
      </c>
      <c r="CE15">
        <f t="shared" si="55"/>
        <v>0.12999999999999998</v>
      </c>
      <c r="CF15">
        <f t="shared" si="27"/>
        <v>0.12501923008037755</v>
      </c>
      <c r="CG15">
        <f t="shared" si="28"/>
        <v>0.3095325010774107</v>
      </c>
      <c r="CH15">
        <f t="shared" si="56"/>
        <v>0.18451327099703316</v>
      </c>
      <c r="CI15">
        <v>5</v>
      </c>
      <c r="CJ15">
        <f t="shared" si="57"/>
        <v>152.4</v>
      </c>
      <c r="CK15">
        <v>5</v>
      </c>
      <c r="CL15">
        <f t="shared" si="58"/>
        <v>152.4</v>
      </c>
      <c r="CM15">
        <f t="shared" si="59"/>
        <v>24.653962906307932</v>
      </c>
      <c r="CN15">
        <f t="shared" si="29"/>
        <v>26.578689618473248</v>
      </c>
      <c r="CO15">
        <f t="shared" si="30"/>
        <v>24.653962906307932</v>
      </c>
      <c r="CP15">
        <f t="shared" si="31"/>
        <v>26.578689618473248</v>
      </c>
      <c r="CQ15">
        <v>0.19748436822008753</v>
      </c>
      <c r="CR15">
        <v>0.21223505980928462</v>
      </c>
      <c r="CS15">
        <v>0.18273367663089043</v>
      </c>
      <c r="CT15">
        <v>0.1</v>
      </c>
      <c r="CU15">
        <v>150</v>
      </c>
      <c r="CV15">
        <f t="shared" si="32"/>
        <v>28.555432308699611</v>
      </c>
      <c r="CY15">
        <v>11</v>
      </c>
      <c r="CZ15" s="4">
        <v>0.6321</v>
      </c>
      <c r="DC15">
        <f t="shared" si="60"/>
        <v>0</v>
      </c>
      <c r="DW15" s="4"/>
      <c r="DX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</row>
    <row r="16" spans="3:153">
      <c r="C16">
        <f t="shared" si="33"/>
        <v>37.276069999308554</v>
      </c>
      <c r="E16" t="s">
        <v>7</v>
      </c>
      <c r="F16">
        <v>3</v>
      </c>
      <c r="G16">
        <v>2</v>
      </c>
      <c r="H16" s="27">
        <v>8.8371233129968392</v>
      </c>
      <c r="I16" s="27">
        <v>57.6144136876255</v>
      </c>
      <c r="J16" s="27">
        <v>33.548462999377698</v>
      </c>
      <c r="K16" s="8">
        <v>1.474176688903962</v>
      </c>
      <c r="L16" s="34">
        <v>1.2580184079949299</v>
      </c>
      <c r="M16" s="8">
        <v>1.3687482441159708</v>
      </c>
      <c r="N16">
        <f t="shared" si="0"/>
        <v>0.15823048738677339</v>
      </c>
      <c r="O16">
        <f t="shared" ref="O16:O17" si="61">AVERAGE(K16:M16)</f>
        <v>1.3669811136716208</v>
      </c>
      <c r="P16" s="7">
        <f t="shared" si="35"/>
        <v>1.366097548449446</v>
      </c>
      <c r="Q16" s="7">
        <f t="shared" si="1"/>
        <v>1.366097548449446</v>
      </c>
      <c r="R16" s="8">
        <v>1.2812341333117698</v>
      </c>
      <c r="S16" s="38">
        <v>1.53</v>
      </c>
      <c r="T16" s="38">
        <v>0.12259</v>
      </c>
      <c r="U16" s="27">
        <v>1.6394</v>
      </c>
      <c r="V16" s="27">
        <v>0.12776999999999999</v>
      </c>
      <c r="W16" s="27">
        <f t="shared" si="36"/>
        <v>0.10939999999999994</v>
      </c>
      <c r="X16" s="27">
        <f t="shared" si="36"/>
        <v>5.1799999999999902E-3</v>
      </c>
      <c r="Y16" s="8">
        <v>0.15291959157626028</v>
      </c>
      <c r="Z16" s="8">
        <v>0.22103291410222117</v>
      </c>
      <c r="AA16" s="4">
        <v>0.34499999999999997</v>
      </c>
      <c r="AB16" s="4">
        <v>0.30599999999999999</v>
      </c>
      <c r="AC16" s="4">
        <v>1.03E-2</v>
      </c>
      <c r="AD16" s="4">
        <v>6.9400000000000003E-2</v>
      </c>
      <c r="AE16" s="8">
        <f t="shared" si="37"/>
        <v>6.3393468451247283</v>
      </c>
      <c r="AF16" s="8">
        <f t="shared" si="38"/>
        <v>7.0936854424944107</v>
      </c>
      <c r="AG16" s="8">
        <f t="shared" si="39"/>
        <v>0.75433859736968234</v>
      </c>
      <c r="AH16" s="8">
        <f t="shared" si="2"/>
        <v>6.811332252596089E-2</v>
      </c>
      <c r="AI16" s="8">
        <f t="shared" si="3"/>
        <v>0.20890307916221973</v>
      </c>
      <c r="AJ16" s="8">
        <f t="shared" si="4"/>
        <v>0.30195252208168133</v>
      </c>
      <c r="AK16" s="8">
        <f t="shared" si="40"/>
        <v>9.30494429194616E-2</v>
      </c>
      <c r="AL16" s="27">
        <v>0.14734401349072532</v>
      </c>
      <c r="AM16" s="27">
        <v>0.14380200554725858</v>
      </c>
      <c r="AN16" s="27">
        <v>0.25893380199179827</v>
      </c>
      <c r="AO16" s="27">
        <v>2.4094224283305232</v>
      </c>
      <c r="AP16" s="27">
        <v>7.9589556219330078</v>
      </c>
      <c r="AQ16" s="27">
        <v>9.7567369654364349</v>
      </c>
      <c r="AR16" s="27">
        <v>2.5695725302136037</v>
      </c>
      <c r="AS16" s="27">
        <v>8.4183827608278232</v>
      </c>
      <c r="AT16" s="27">
        <v>10.085633421206792</v>
      </c>
      <c r="AU16">
        <f t="shared" si="41"/>
        <v>0.11158978850107296</v>
      </c>
      <c r="AV16">
        <f t="shared" si="42"/>
        <v>0.11513179644453969</v>
      </c>
      <c r="AW16">
        <f t="shared" si="43"/>
        <v>7.3473145371059116</v>
      </c>
      <c r="AX16">
        <f t="shared" si="44"/>
        <v>1.7977813435034271</v>
      </c>
      <c r="AY16">
        <f t="shared" si="45"/>
        <v>7.5160608909931881</v>
      </c>
      <c r="AZ16">
        <f t="shared" si="46"/>
        <v>1.6672506603789685</v>
      </c>
      <c r="BA16">
        <f t="shared" si="5"/>
        <v>0.48449149115115242</v>
      </c>
      <c r="BB16">
        <f t="shared" si="6"/>
        <v>0.51651542139178497</v>
      </c>
      <c r="BC16">
        <f t="shared" si="7"/>
        <v>0.36458386391052233</v>
      </c>
      <c r="BD16">
        <f t="shared" si="8"/>
        <v>0.36741745782129298</v>
      </c>
      <c r="BE16">
        <f t="shared" si="9"/>
        <v>0.20321120168246948</v>
      </c>
      <c r="BF16">
        <f t="shared" si="10"/>
        <v>0.20062448945985051</v>
      </c>
      <c r="BG16">
        <f t="shared" si="47"/>
        <v>0.16137266222805285</v>
      </c>
      <c r="BH16">
        <f t="shared" si="48"/>
        <v>0.16679296836144247</v>
      </c>
      <c r="BI16" s="10">
        <f>EXP(19.52348*porosity-8.96847-0.028212*clay+0.00018107*sand^2-0.0094125*clay^2-8.395215*porosity^2+0.077718*sand*porosity-0.00298*sand^2*porosity^2-0.019492*clay^2*porosity^2+0.0000173*sand^2*clay+0.02733*clay^2*porosity+0.001434*sand^2*porosity-0.0000035*clay^2*sand)</f>
        <v>5.447409199654913E-2</v>
      </c>
      <c r="BJ16">
        <f t="shared" si="49"/>
        <v>0.15131692221263648</v>
      </c>
      <c r="BK16">
        <f t="shared" si="12"/>
        <v>0.11990762724063009</v>
      </c>
      <c r="BL16">
        <f t="shared" si="13"/>
        <v>72.082119073568464</v>
      </c>
      <c r="BM16">
        <f t="shared" si="14"/>
        <v>58.937296726237498</v>
      </c>
      <c r="BN16" s="10">
        <f t="shared" si="15"/>
        <v>0.24472081896354433</v>
      </c>
      <c r="BO16" s="10">
        <f t="shared" si="16"/>
        <v>0.25827118872024069</v>
      </c>
      <c r="BP16" s="10">
        <f t="shared" si="17"/>
        <v>9.8745400666244917E-2</v>
      </c>
      <c r="BQ16" s="10">
        <f t="shared" si="18"/>
        <v>0.10133189935664715</v>
      </c>
      <c r="BR16">
        <f t="shared" si="19"/>
        <v>9.633530723858888E-2</v>
      </c>
      <c r="BS16">
        <f t="shared" si="20"/>
        <v>-5.7298879644108345</v>
      </c>
      <c r="BT16">
        <f t="shared" si="50"/>
        <v>0.19</v>
      </c>
      <c r="BU16">
        <f t="shared" si="51"/>
        <v>0.36</v>
      </c>
      <c r="BV16">
        <f t="shared" si="52"/>
        <v>0.16999999999999998</v>
      </c>
      <c r="BW16">
        <f t="shared" si="21"/>
        <v>0.19</v>
      </c>
      <c r="BX16">
        <f t="shared" si="22"/>
        <v>0.31</v>
      </c>
      <c r="BY16">
        <f t="shared" si="53"/>
        <v>0.12</v>
      </c>
      <c r="BZ16">
        <f t="shared" si="23"/>
        <v>0.14810785074996133</v>
      </c>
      <c r="CA16">
        <f t="shared" si="24"/>
        <v>0.33449048466081094</v>
      </c>
      <c r="CB16">
        <f t="shared" si="54"/>
        <v>0.18638263391084961</v>
      </c>
      <c r="CC16">
        <f t="shared" si="25"/>
        <v>0.16</v>
      </c>
      <c r="CD16">
        <f t="shared" si="26"/>
        <v>0.28999999999999998</v>
      </c>
      <c r="CE16">
        <f t="shared" si="55"/>
        <v>0.12999999999999998</v>
      </c>
      <c r="CF16">
        <f t="shared" si="27"/>
        <v>0.12840256575499295</v>
      </c>
      <c r="CG16">
        <f t="shared" si="28"/>
        <v>0.31318976746125421</v>
      </c>
      <c r="CH16">
        <f t="shared" si="56"/>
        <v>0.18478720170626126</v>
      </c>
      <c r="CI16">
        <v>5</v>
      </c>
      <c r="CJ16">
        <f t="shared" si="57"/>
        <v>152.4</v>
      </c>
      <c r="CK16">
        <v>5</v>
      </c>
      <c r="CL16">
        <f t="shared" si="58"/>
        <v>152.4</v>
      </c>
      <c r="CM16">
        <f t="shared" si="59"/>
        <v>24.653962906307932</v>
      </c>
      <c r="CN16">
        <f t="shared" si="29"/>
        <v>26.578689618473248</v>
      </c>
      <c r="CO16">
        <f t="shared" si="30"/>
        <v>24.653962906307932</v>
      </c>
      <c r="CP16">
        <f t="shared" si="31"/>
        <v>26.578689618473248</v>
      </c>
      <c r="CQ16">
        <v>0.19217905640498928</v>
      </c>
      <c r="CR16">
        <v>0.14717191411746514</v>
      </c>
      <c r="CS16">
        <v>0.17446183888349906</v>
      </c>
      <c r="CT16">
        <v>9.0000000000000024E-2</v>
      </c>
      <c r="CU16">
        <v>150</v>
      </c>
      <c r="CV16">
        <f t="shared" si="32"/>
        <v>28.555432308699611</v>
      </c>
      <c r="CY16">
        <v>12</v>
      </c>
      <c r="CZ16" s="4"/>
      <c r="DC16">
        <f t="shared" si="60"/>
        <v>0</v>
      </c>
      <c r="DW16" s="4"/>
      <c r="DX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</row>
    <row r="17" spans="3:137">
      <c r="C17">
        <f t="shared" si="33"/>
        <v>35.852443767098109</v>
      </c>
      <c r="E17" t="s">
        <v>7</v>
      </c>
      <c r="F17">
        <v>3</v>
      </c>
      <c r="G17">
        <v>3</v>
      </c>
      <c r="H17" s="27">
        <v>8.1446317444300398</v>
      </c>
      <c r="I17" s="27">
        <v>59.5881688651817</v>
      </c>
      <c r="J17" s="27">
        <v>32.267199390388299</v>
      </c>
      <c r="L17" s="34">
        <v>1.2329902251779659</v>
      </c>
      <c r="M17" s="8">
        <v>1.2028777353470599</v>
      </c>
      <c r="N17" t="str">
        <f t="shared" si="0"/>
        <v/>
      </c>
      <c r="O17">
        <f t="shared" si="61"/>
        <v>1.2179339802625129</v>
      </c>
      <c r="P17" s="7">
        <f t="shared" si="35"/>
        <v>1.2329902251779659</v>
      </c>
      <c r="Q17" s="7">
        <f t="shared" si="1"/>
        <v>1.2329902251779659</v>
      </c>
      <c r="R17" s="8">
        <v>1.0423175115638668</v>
      </c>
      <c r="S17" s="38">
        <v>1.5687</v>
      </c>
      <c r="T17" s="38">
        <v>0.13124</v>
      </c>
      <c r="U17" s="27">
        <v>1.6971000000000001</v>
      </c>
      <c r="V17" s="27">
        <v>0.13469</v>
      </c>
      <c r="W17" s="27">
        <f t="shared" si="36"/>
        <v>0.12840000000000007</v>
      </c>
      <c r="X17" s="27">
        <f t="shared" si="36"/>
        <v>3.4500000000000086E-3</v>
      </c>
      <c r="Y17" s="8">
        <v>0.18248978308707928</v>
      </c>
      <c r="Z17" s="8">
        <v>0.2728410513141426</v>
      </c>
      <c r="AA17" s="4">
        <v>0.55700000000000005</v>
      </c>
      <c r="AB17" s="4">
        <v>0.45300000000000001</v>
      </c>
      <c r="AC17" s="4">
        <v>3.56E-2</v>
      </c>
      <c r="AD17" s="4">
        <v>3.9199999999999999E-3</v>
      </c>
      <c r="AE17" s="8">
        <f t="shared" si="37"/>
        <v>9.7878488291019572</v>
      </c>
      <c r="AF17" s="8">
        <f t="shared" si="38"/>
        <v>8.1234881390279341</v>
      </c>
      <c r="AG17" s="8">
        <f t="shared" si="39"/>
        <v>-1.6643606900740231</v>
      </c>
      <c r="AH17" s="8">
        <f t="shared" si="2"/>
        <v>9.0351268227063325E-2</v>
      </c>
      <c r="AI17" s="8">
        <f t="shared" si="3"/>
        <v>0.22500811874121601</v>
      </c>
      <c r="AJ17" s="8">
        <f t="shared" si="4"/>
        <v>0.33641034929761765</v>
      </c>
      <c r="AK17" s="8">
        <f t="shared" si="40"/>
        <v>0.11140223055640164</v>
      </c>
      <c r="AL17" s="27">
        <v>0.14179917229361808</v>
      </c>
      <c r="AM17" s="27">
        <v>0.14019292604501621</v>
      </c>
      <c r="AN17" s="27">
        <v>0.28196527229676382</v>
      </c>
      <c r="AO17" s="27">
        <v>1.979118565308938</v>
      </c>
      <c r="AP17" s="27">
        <v>4.156953376205788</v>
      </c>
      <c r="AQ17" s="27">
        <v>9.561324322546696</v>
      </c>
      <c r="AR17" s="27">
        <v>1.979118565308938</v>
      </c>
      <c r="AS17" s="27">
        <v>4.2438930868167208</v>
      </c>
      <c r="AT17" s="27">
        <v>9.8139783116285173</v>
      </c>
      <c r="AU17">
        <f t="shared" si="41"/>
        <v>0.14016610000314575</v>
      </c>
      <c r="AV17">
        <f t="shared" si="42"/>
        <v>0.14177234625174762</v>
      </c>
      <c r="AW17">
        <f t="shared" si="43"/>
        <v>7.5822057572377579</v>
      </c>
      <c r="AX17">
        <f t="shared" si="44"/>
        <v>5.404370946340908</v>
      </c>
      <c r="AY17">
        <f t="shared" si="45"/>
        <v>7.8348597463195793</v>
      </c>
      <c r="AZ17">
        <f t="shared" si="46"/>
        <v>5.5700852248117965</v>
      </c>
      <c r="BA17">
        <f t="shared" si="5"/>
        <v>0.53472066974416377</v>
      </c>
      <c r="BB17">
        <f t="shared" si="6"/>
        <v>0.60667263714571062</v>
      </c>
      <c r="BC17">
        <f t="shared" si="7"/>
        <v>0.3651646306199382</v>
      </c>
      <c r="BD17">
        <f t="shared" si="8"/>
        <v>0.37149397581949051</v>
      </c>
      <c r="BE17">
        <f t="shared" si="9"/>
        <v>0.19463023597833895</v>
      </c>
      <c r="BF17">
        <f t="shared" si="10"/>
        <v>0.19299875916190903</v>
      </c>
      <c r="BG17">
        <f t="shared" si="47"/>
        <v>0.17053439464159925</v>
      </c>
      <c r="BH17">
        <f t="shared" si="48"/>
        <v>0.17849521665758147</v>
      </c>
      <c r="BI17" s="10">
        <f>EXP(19.52348*porosity-8.96847-0.028212*clay+0.00018107*sand^2-0.0094125*clay^2-8.395215*porosity^2+0.077718*sand*porosity-0.00298*sand^2*porosity^2-0.019492*clay^2*porosity^2+0.0000173*sand^2*clay+0.02733*clay^2*porosity+0.001434*sand^2*porosity-0.0000035*clay^2*sand)</f>
        <v>0.15341802654714529</v>
      </c>
      <c r="BJ17">
        <f t="shared" si="49"/>
        <v>0.42616118485318139</v>
      </c>
      <c r="BK17">
        <f t="shared" si="12"/>
        <v>0.16955603912422557</v>
      </c>
      <c r="BL17">
        <f t="shared" si="13"/>
        <v>52.929246827970609</v>
      </c>
      <c r="BM17">
        <f t="shared" si="14"/>
        <v>36.620562465907312</v>
      </c>
      <c r="BN17" s="10">
        <f t="shared" si="15"/>
        <v>0.27024477735459901</v>
      </c>
      <c r="BO17" s="10">
        <f t="shared" si="16"/>
        <v>0.28599203684563423</v>
      </c>
      <c r="BP17" s="10">
        <f t="shared" si="17"/>
        <v>0.10015768481303737</v>
      </c>
      <c r="BQ17" s="10">
        <f t="shared" si="18"/>
        <v>0.1027989205317872</v>
      </c>
      <c r="BR17">
        <f t="shared" si="19"/>
        <v>0.10838948964086047</v>
      </c>
      <c r="BS17">
        <f t="shared" si="20"/>
        <v>-5.5259753092977864</v>
      </c>
      <c r="BT17">
        <f t="shared" si="50"/>
        <v>0.18</v>
      </c>
      <c r="BU17">
        <f t="shared" si="51"/>
        <v>0.36</v>
      </c>
      <c r="BV17">
        <f t="shared" si="52"/>
        <v>0.18</v>
      </c>
      <c r="BW17">
        <f t="shared" si="21"/>
        <v>0.15</v>
      </c>
      <c r="BX17">
        <f t="shared" si="22"/>
        <v>0.28000000000000003</v>
      </c>
      <c r="BY17">
        <f t="shared" si="53"/>
        <v>0.13</v>
      </c>
      <c r="BZ17">
        <f t="shared" si="23"/>
        <v>0.11720033028632368</v>
      </c>
      <c r="CA17">
        <f t="shared" si="24"/>
        <v>0.30108054651966942</v>
      </c>
      <c r="CB17">
        <f t="shared" si="54"/>
        <v>0.18388021623334574</v>
      </c>
      <c r="CC17">
        <f t="shared" si="25"/>
        <v>0.1</v>
      </c>
      <c r="CD17">
        <f t="shared" si="26"/>
        <v>0.23</v>
      </c>
      <c r="CE17">
        <f t="shared" si="55"/>
        <v>0.13</v>
      </c>
      <c r="CF17">
        <f t="shared" si="27"/>
        <v>7.2926126185129864E-2</v>
      </c>
      <c r="CG17">
        <f t="shared" si="28"/>
        <v>0.25322169540253053</v>
      </c>
      <c r="CH17">
        <f t="shared" si="56"/>
        <v>0.18029556921740067</v>
      </c>
      <c r="CI17">
        <v>5</v>
      </c>
      <c r="CJ17">
        <f t="shared" si="57"/>
        <v>152.4</v>
      </c>
      <c r="CK17">
        <v>5</v>
      </c>
      <c r="CL17">
        <f t="shared" si="58"/>
        <v>152.4</v>
      </c>
      <c r="CM17">
        <f t="shared" si="59"/>
        <v>24.653962906307932</v>
      </c>
      <c r="CN17">
        <f t="shared" si="29"/>
        <v>26.578689618473248</v>
      </c>
      <c r="CO17">
        <f t="shared" si="30"/>
        <v>24.653962906307932</v>
      </c>
      <c r="CP17">
        <f t="shared" si="31"/>
        <v>26.578689618473248</v>
      </c>
      <c r="CQ17">
        <v>0.15435441974385247</v>
      </c>
      <c r="CR17">
        <v>0.1199553865583436</v>
      </c>
      <c r="CS17">
        <v>0.11963951999177813</v>
      </c>
      <c r="CT17">
        <v>0.11</v>
      </c>
      <c r="CU17">
        <v>150</v>
      </c>
      <c r="CV17">
        <f t="shared" si="32"/>
        <v>28.555432308699611</v>
      </c>
      <c r="DC17">
        <f t="shared" si="60"/>
        <v>0</v>
      </c>
    </row>
    <row r="18" spans="3:137">
      <c r="C18">
        <f t="shared" si="33"/>
        <v>33.784384468223777</v>
      </c>
      <c r="E18" t="s">
        <v>7</v>
      </c>
      <c r="F18">
        <v>3</v>
      </c>
      <c r="G18">
        <v>4</v>
      </c>
      <c r="H18" s="27">
        <v>7.8662894225235904</v>
      </c>
      <c r="I18" s="27">
        <v>61.727764556075002</v>
      </c>
      <c r="J18" s="27">
        <v>30.405946021401402</v>
      </c>
      <c r="L18" s="34"/>
      <c r="M18" s="8">
        <v>1.0349352840675039</v>
      </c>
      <c r="N18" t="str">
        <f t="shared" si="0"/>
        <v/>
      </c>
      <c r="P18" s="7" t="e">
        <f t="shared" si="35"/>
        <v>#DIV/0!</v>
      </c>
      <c r="Q18" s="7">
        <f>M18</f>
        <v>1.0349352840675039</v>
      </c>
      <c r="S18" s="38">
        <v>1.1297999999999999</v>
      </c>
      <c r="T18" s="38">
        <v>0.10224999999999999</v>
      </c>
      <c r="U18" s="27">
        <v>1.0048999999999999</v>
      </c>
      <c r="V18" s="27">
        <v>0.10299</v>
      </c>
      <c r="W18" s="27">
        <f t="shared" si="36"/>
        <v>-0.12490000000000001</v>
      </c>
      <c r="X18" s="27">
        <f t="shared" si="36"/>
        <v>7.4000000000000454E-4</v>
      </c>
      <c r="Y18" s="8">
        <v>0.18413855970829521</v>
      </c>
      <c r="Z18" s="8">
        <v>0.26536491677336743</v>
      </c>
      <c r="AA18" s="4">
        <v>0.91500000000000004</v>
      </c>
      <c r="AB18" s="4">
        <v>0.67400000000000004</v>
      </c>
      <c r="AC18" s="4">
        <v>2.3400000000000001E-2</v>
      </c>
      <c r="AD18" s="4">
        <v>4.2599999999999999E-2</v>
      </c>
      <c r="AE18" s="8">
        <f t="shared" si="37"/>
        <v>13.027836261116594</v>
      </c>
      <c r="AF18" s="8">
        <f t="shared" si="38"/>
        <v>10.631005966896776</v>
      </c>
      <c r="AG18" s="8">
        <f t="shared" si="39"/>
        <v>-2.3968302942198179</v>
      </c>
      <c r="AH18" s="8">
        <f t="shared" si="2"/>
        <v>8.1226357065072224E-2</v>
      </c>
      <c r="AI18" s="8">
        <f t="shared" si="3"/>
        <v>0.19057149259948553</v>
      </c>
      <c r="AJ18" s="8">
        <f t="shared" si="4"/>
        <v>0.27463551552239457</v>
      </c>
      <c r="AK18" s="8">
        <f t="shared" si="40"/>
        <v>8.4064022922909043E-2</v>
      </c>
      <c r="AL18" s="27">
        <v>0.12640449438202267</v>
      </c>
      <c r="AM18" s="27">
        <v>0.12133979355382328</v>
      </c>
      <c r="AN18" s="27">
        <v>0.27422948384701096</v>
      </c>
      <c r="AO18" s="27">
        <v>3.8110018726591766</v>
      </c>
      <c r="AP18" s="27">
        <v>25.136700372164871</v>
      </c>
      <c r="AQ18" s="27">
        <v>9.0257921772496612</v>
      </c>
      <c r="AR18" s="27">
        <v>3.9987359550561803</v>
      </c>
      <c r="AS18" s="27">
        <v>26.837399059054835</v>
      </c>
      <c r="AT18" s="27">
        <v>9.8221856046540434</v>
      </c>
      <c r="AU18">
        <f t="shared" si="41"/>
        <v>0.14782498946498829</v>
      </c>
      <c r="AV18">
        <f t="shared" si="42"/>
        <v>0.15288969029318766</v>
      </c>
      <c r="AW18">
        <f t="shared" si="43"/>
        <v>5.2147903045904851</v>
      </c>
      <c r="AX18">
        <f t="shared" si="44"/>
        <v>-16.110908194915211</v>
      </c>
      <c r="AY18">
        <f t="shared" si="45"/>
        <v>5.8234496495978636</v>
      </c>
      <c r="AZ18">
        <f t="shared" si="46"/>
        <v>-17.015213454400794</v>
      </c>
      <c r="BA18">
        <f t="shared" si="5"/>
        <v>0.6094583833707532</v>
      </c>
      <c r="BB18" t="str">
        <f t="shared" si="6"/>
        <v/>
      </c>
      <c r="BC18">
        <f t="shared" si="7"/>
        <v>0.3662332908093201</v>
      </c>
      <c r="BD18" t="str">
        <f t="shared" si="8"/>
        <v/>
      </c>
      <c r="BE18">
        <f t="shared" si="9"/>
        <v>0.18647091604232188</v>
      </c>
      <c r="BF18" t="str">
        <f t="shared" si="10"/>
        <v/>
      </c>
      <c r="BG18">
        <f t="shared" si="47"/>
        <v>0.17976237476699822</v>
      </c>
      <c r="BH18" t="str">
        <f t="shared" si="48"/>
        <v/>
      </c>
      <c r="BI18" s="10"/>
      <c r="BK18">
        <f t="shared" si="12"/>
        <v>0.2432250925614331</v>
      </c>
      <c r="BL18">
        <f t="shared" si="13"/>
        <v>36.101401420390395</v>
      </c>
      <c r="BM18" t="str">
        <f t="shared" si="14"/>
        <v/>
      </c>
      <c r="BN18" s="10">
        <f t="shared" si="15"/>
        <v>0.29239107240166645</v>
      </c>
      <c r="BO18" s="10" t="str">
        <f t="shared" si="16"/>
        <v/>
      </c>
      <c r="BP18" s="10">
        <f t="shared" si="17"/>
        <v>9.8890301011600512E-2</v>
      </c>
      <c r="BQ18" s="10" t="str">
        <f t="shared" si="18"/>
        <v/>
      </c>
      <c r="BV18" t="str">
        <f t="shared" si="52"/>
        <v/>
      </c>
      <c r="BW18">
        <f t="shared" si="21"/>
        <v>0.09</v>
      </c>
      <c r="BX18">
        <f t="shared" si="22"/>
        <v>0.23</v>
      </c>
      <c r="BY18">
        <f t="shared" si="53"/>
        <v>0.14000000000000001</v>
      </c>
      <c r="BZ18">
        <f t="shared" si="23"/>
        <v>7.1211972960474407E-2</v>
      </c>
      <c r="CA18">
        <f t="shared" si="24"/>
        <v>0.25136875630094346</v>
      </c>
      <c r="CB18">
        <f t="shared" si="54"/>
        <v>0.18015678334046906</v>
      </c>
      <c r="CC18" t="str">
        <f t="shared" si="25"/>
        <v/>
      </c>
      <c r="CD18" t="str">
        <f t="shared" si="26"/>
        <v/>
      </c>
      <c r="CE18" t="str">
        <f t="shared" si="55"/>
        <v/>
      </c>
      <c r="CF18" t="str">
        <f t="shared" si="27"/>
        <v/>
      </c>
      <c r="CG18" t="str">
        <f t="shared" si="28"/>
        <v/>
      </c>
      <c r="CH18" t="str">
        <f t="shared" si="56"/>
        <v/>
      </c>
      <c r="CI18">
        <v>5</v>
      </c>
      <c r="CJ18">
        <f t="shared" si="57"/>
        <v>152.4</v>
      </c>
      <c r="CK18">
        <v>5</v>
      </c>
      <c r="CL18">
        <f t="shared" si="58"/>
        <v>152.4</v>
      </c>
      <c r="CM18">
        <f t="shared" si="59"/>
        <v>24.653962906307932</v>
      </c>
      <c r="CN18">
        <f t="shared" si="29"/>
        <v>26.578689618473248</v>
      </c>
      <c r="CO18">
        <f t="shared" si="30"/>
        <v>24.653962906307932</v>
      </c>
      <c r="CP18">
        <f t="shared" si="31"/>
        <v>26.578689618473248</v>
      </c>
      <c r="CQ18">
        <v>0.10604833682582604</v>
      </c>
      <c r="CR18">
        <v>7.1457191315687563E-2</v>
      </c>
      <c r="CS18">
        <v>8.419891905668897E-2</v>
      </c>
      <c r="CT18">
        <v>8.0000000000000016E-2</v>
      </c>
      <c r="CU18">
        <v>150</v>
      </c>
      <c r="CV18">
        <f t="shared" si="32"/>
        <v>28.555432308699611</v>
      </c>
      <c r="DC18">
        <f t="shared" si="60"/>
        <v>0</v>
      </c>
    </row>
    <row r="19" spans="3:137">
      <c r="C19">
        <f t="shared" si="33"/>
        <v>28.413251514040223</v>
      </c>
      <c r="E19" t="s">
        <v>7</v>
      </c>
      <c r="F19">
        <v>3</v>
      </c>
      <c r="G19">
        <v>5</v>
      </c>
      <c r="H19" s="27">
        <v>11.025454848650099</v>
      </c>
      <c r="I19" s="27">
        <v>63.402618788713703</v>
      </c>
      <c r="J19" s="27">
        <v>25.571926362636201</v>
      </c>
      <c r="L19" s="34">
        <v>1.6505475607316391</v>
      </c>
      <c r="M19" s="8">
        <v>1.0769496738667075</v>
      </c>
      <c r="N19" t="str">
        <f t="shared" si="0"/>
        <v/>
      </c>
      <c r="P19" s="7">
        <f t="shared" si="35"/>
        <v>1.6505475607316391</v>
      </c>
      <c r="Q19" s="7">
        <f>AVERAGE(K19:L19)</f>
        <v>1.6505475607316391</v>
      </c>
      <c r="S19" s="38">
        <v>0.80310000000000004</v>
      </c>
      <c r="T19" s="38">
        <v>9.2539999999999997E-2</v>
      </c>
      <c r="U19" s="27">
        <v>0.69010000000000005</v>
      </c>
      <c r="V19" s="27">
        <v>7.7679999999999999E-2</v>
      </c>
      <c r="W19" s="27">
        <f t="shared" si="36"/>
        <v>-0.11299999999999999</v>
      </c>
      <c r="X19" s="27">
        <f t="shared" si="36"/>
        <v>-1.4859999999999998E-2</v>
      </c>
      <c r="Y19" s="8">
        <v>0.23504490764277192</v>
      </c>
      <c r="Z19" s="8">
        <v>0.25870646766169164</v>
      </c>
      <c r="AA19" s="4">
        <v>0.59299999999999997</v>
      </c>
      <c r="AB19" s="4">
        <v>0.74299999999999999</v>
      </c>
      <c r="AC19" s="4">
        <v>5.4100000000000002E-2</v>
      </c>
      <c r="AD19" s="4">
        <v>1.6199999999999999E-2</v>
      </c>
      <c r="AE19" s="8">
        <f t="shared" si="37"/>
        <v>14.943446310987495</v>
      </c>
      <c r="AF19" s="8">
        <f t="shared" si="38"/>
        <v>17.868055040747826</v>
      </c>
      <c r="AG19" s="8">
        <f t="shared" si="39"/>
        <v>2.9246087297603314</v>
      </c>
      <c r="AH19" s="8">
        <f t="shared" si="2"/>
        <v>2.3661560018919725E-2</v>
      </c>
      <c r="AI19" s="8">
        <f t="shared" si="3"/>
        <v>0.38795279897217061</v>
      </c>
      <c r="AJ19" s="8">
        <f t="shared" si="4"/>
        <v>0.42700732914450379</v>
      </c>
      <c r="AK19" s="8">
        <f t="shared" si="40"/>
        <v>3.9054530172333179E-2</v>
      </c>
      <c r="AL19" s="27">
        <v>0.12395574621810815</v>
      </c>
      <c r="AM19" s="27">
        <v>0.12329880154377397</v>
      </c>
      <c r="AN19" s="27">
        <v>0.28092986603624914</v>
      </c>
      <c r="AO19" s="27">
        <v>1.4189941296003616</v>
      </c>
      <c r="AP19" s="27">
        <v>9.3608233461981172</v>
      </c>
      <c r="AQ19" s="27">
        <v>7.6322071184659839</v>
      </c>
      <c r="AR19" s="27">
        <v>1.6494050575750738</v>
      </c>
      <c r="AS19" s="27">
        <v>9.6224583587243551</v>
      </c>
      <c r="AT19" s="27">
        <v>7.7522942934068819</v>
      </c>
      <c r="AU19">
        <f t="shared" si="41"/>
        <v>0.15697411981814099</v>
      </c>
      <c r="AV19">
        <f t="shared" si="42"/>
        <v>0.15763106449247516</v>
      </c>
      <c r="AW19">
        <f t="shared" si="43"/>
        <v>6.2132129888656227</v>
      </c>
      <c r="AX19">
        <f t="shared" si="44"/>
        <v>-1.7286162277321333</v>
      </c>
      <c r="AY19">
        <f t="shared" si="45"/>
        <v>6.1028892358318085</v>
      </c>
      <c r="AZ19">
        <f t="shared" si="46"/>
        <v>-1.8701640653174731</v>
      </c>
      <c r="BA19">
        <f t="shared" si="5"/>
        <v>0.37715186387485311</v>
      </c>
      <c r="BB19" t="str">
        <f t="shared" si="6"/>
        <v/>
      </c>
      <c r="BC19">
        <f t="shared" si="7"/>
        <v>0.31136712303284259</v>
      </c>
      <c r="BD19" t="str">
        <f t="shared" si="8"/>
        <v/>
      </c>
      <c r="BE19">
        <f t="shared" si="9"/>
        <v>0.16778852256887586</v>
      </c>
      <c r="BF19" t="str">
        <f t="shared" si="10"/>
        <v/>
      </c>
      <c r="BG19">
        <f t="shared" si="47"/>
        <v>0.14357860046396673</v>
      </c>
      <c r="BH19" t="str">
        <f t="shared" si="48"/>
        <v/>
      </c>
      <c r="BI19" s="10">
        <f t="shared" ref="BI19:BI28" si="62">EXP(19.52348*porosity-8.96847-0.028212*clay+0.00018107*sand^2-0.0094125*clay^2-8.395215*porosity^2+0.077718*sand*porosity-0.00298*sand^2*porosity^2-0.019492*clay^2*porosity^2+0.0000173*sand^2*clay+0.02733*clay^2*porosity+0.001434*sand^2*porosity-0.0000035*clay^2*sand)</f>
        <v>1.2770926428793006E-2</v>
      </c>
      <c r="BJ19">
        <f t="shared" si="49"/>
        <v>3.5474795635536127E-2</v>
      </c>
      <c r="BK19">
        <f t="shared" si="12"/>
        <v>6.5784740842010525E-2</v>
      </c>
      <c r="BL19">
        <f t="shared" si="13"/>
        <v>122.65501053664623</v>
      </c>
      <c r="BM19" t="str">
        <f t="shared" si="14"/>
        <v/>
      </c>
      <c r="BN19" s="10">
        <f t="shared" si="15"/>
        <v>0.25166200391839866</v>
      </c>
      <c r="BO19" s="10" t="str">
        <f t="shared" si="16"/>
        <v/>
      </c>
      <c r="BP19" s="10">
        <f t="shared" si="17"/>
        <v>7.8778391549510399E-2</v>
      </c>
      <c r="BQ19" s="10" t="str">
        <f t="shared" si="18"/>
        <v/>
      </c>
      <c r="BR19">
        <f t="shared" ref="BR19:BR28" si="63">100*EXP(-4.396-0.0715*clay-4.88*10^-4*sand^2-4.285*10^-5*sand^2*clay)</f>
        <v>0.16336879431727899</v>
      </c>
      <c r="BS19">
        <f t="shared" ref="BS19:BS28" si="64">-3.14-0.00222*clay^2-3.484*10^-5*sand^2*clay</f>
        <v>-4.7000115251103916</v>
      </c>
      <c r="BT19">
        <f t="shared" si="50"/>
        <v>0.14000000000000001</v>
      </c>
      <c r="BU19">
        <f t="shared" si="51"/>
        <v>0.32</v>
      </c>
      <c r="BV19">
        <f t="shared" si="52"/>
        <v>0.18</v>
      </c>
      <c r="BW19">
        <f t="shared" si="21"/>
        <v>0.27</v>
      </c>
      <c r="BX19">
        <f t="shared" si="22"/>
        <v>0.35</v>
      </c>
      <c r="BY19">
        <f t="shared" si="53"/>
        <v>0.08</v>
      </c>
      <c r="BZ19">
        <f t="shared" si="23"/>
        <v>0.21415714360188656</v>
      </c>
      <c r="CA19">
        <f t="shared" si="24"/>
        <v>0.34715186387485308</v>
      </c>
      <c r="CB19">
        <f t="shared" si="54"/>
        <v>0.13299472027296652</v>
      </c>
      <c r="CC19" t="str">
        <f t="shared" si="25"/>
        <v/>
      </c>
      <c r="CD19" t="str">
        <f t="shared" si="26"/>
        <v/>
      </c>
      <c r="CE19" t="str">
        <f t="shared" si="55"/>
        <v/>
      </c>
      <c r="CF19" t="str">
        <f t="shared" si="27"/>
        <v/>
      </c>
      <c r="CG19" t="str">
        <f t="shared" si="28"/>
        <v/>
      </c>
      <c r="CH19" t="str">
        <f t="shared" si="56"/>
        <v/>
      </c>
      <c r="CI19">
        <v>5</v>
      </c>
      <c r="CJ19">
        <f t="shared" si="57"/>
        <v>152.4</v>
      </c>
      <c r="CK19">
        <v>5</v>
      </c>
      <c r="CL19">
        <f t="shared" si="58"/>
        <v>152.4</v>
      </c>
      <c r="CM19">
        <f t="shared" si="59"/>
        <v>24.653962906307932</v>
      </c>
      <c r="CN19">
        <f t="shared" si="29"/>
        <v>26.578689618473248</v>
      </c>
      <c r="CO19">
        <f t="shared" si="30"/>
        <v>24.653962906307932</v>
      </c>
      <c r="CP19">
        <f t="shared" si="31"/>
        <v>26.578689618473248</v>
      </c>
      <c r="CQ19">
        <v>3.6416551047838974E-2</v>
      </c>
      <c r="CR19">
        <v>3.5621840921950532E-2</v>
      </c>
      <c r="CS19">
        <v>2.5482309345553122E-2</v>
      </c>
      <c r="CT19">
        <v>4.0000000000000008E-2</v>
      </c>
      <c r="CU19">
        <v>150</v>
      </c>
      <c r="CV19">
        <f t="shared" si="32"/>
        <v>28.555432308699611</v>
      </c>
      <c r="DC19">
        <f t="shared" si="60"/>
        <v>0</v>
      </c>
    </row>
    <row r="20" spans="3:137">
      <c r="C20">
        <f t="shared" si="33"/>
        <v>37.506396597662338</v>
      </c>
      <c r="E20" t="s">
        <v>7</v>
      </c>
      <c r="F20">
        <v>4</v>
      </c>
      <c r="G20">
        <v>1</v>
      </c>
      <c r="H20" s="27">
        <v>8.5469243432479232</v>
      </c>
      <c r="I20" s="27">
        <v>57.697318718855996</v>
      </c>
      <c r="J20" s="27">
        <v>33.755756937896102</v>
      </c>
      <c r="K20" s="8">
        <v>1.416414562629869</v>
      </c>
      <c r="L20" s="34">
        <v>1.8523884234285128</v>
      </c>
      <c r="M20" s="8">
        <v>1.1924029148765738</v>
      </c>
      <c r="N20">
        <f t="shared" si="0"/>
        <v>-0.26674832509520796</v>
      </c>
      <c r="O20">
        <f>AVERAGE(K20:L20)</f>
        <v>1.6344014930291908</v>
      </c>
      <c r="P20" s="7">
        <f t="shared" si="35"/>
        <v>1.6344014930291908</v>
      </c>
      <c r="Q20" s="7">
        <f>AVERAGE(K20,M20)</f>
        <v>1.3044087387532213</v>
      </c>
      <c r="R20" s="8">
        <v>1.1807675754850109</v>
      </c>
      <c r="S20" s="38">
        <v>1.8030000000000002</v>
      </c>
      <c r="T20" s="38">
        <v>0.14884</v>
      </c>
      <c r="U20" s="27">
        <v>1.8082</v>
      </c>
      <c r="V20" s="27">
        <v>0.15618000000000001</v>
      </c>
      <c r="W20" s="27">
        <f t="shared" si="36"/>
        <v>5.1999999999998714E-3</v>
      </c>
      <c r="X20" s="27">
        <f t="shared" si="36"/>
        <v>7.3400000000000132E-3</v>
      </c>
      <c r="Y20" s="8">
        <v>0.12394689813632874</v>
      </c>
      <c r="AA20" s="4">
        <v>0.23599999999999999</v>
      </c>
      <c r="AB20" s="4"/>
      <c r="AC20" s="4">
        <v>0</v>
      </c>
      <c r="AD20" s="4"/>
      <c r="AE20" s="8">
        <f t="shared" si="37"/>
        <v>3.9195848562011788</v>
      </c>
      <c r="AF20" s="8" t="str">
        <f t="shared" si="38"/>
        <v/>
      </c>
      <c r="AG20" s="8" t="str">
        <f t="shared" si="39"/>
        <v/>
      </c>
      <c r="AH20" s="8" t="str">
        <f t="shared" si="2"/>
        <v/>
      </c>
      <c r="AI20" s="8">
        <f t="shared" si="3"/>
        <v>0.16167741707038255</v>
      </c>
      <c r="AJ20" s="8" t="str">
        <f t="shared" si="4"/>
        <v/>
      </c>
      <c r="AK20" s="8" t="str">
        <f t="shared" si="40"/>
        <v/>
      </c>
      <c r="AL20" s="27">
        <v>0.13378923373662976</v>
      </c>
      <c r="AM20" s="27">
        <v>0.14619188921859547</v>
      </c>
      <c r="AN20" s="27">
        <v>0.27867633389105767</v>
      </c>
      <c r="AO20" s="27">
        <v>2.6360599684376642</v>
      </c>
      <c r="AP20" s="27">
        <v>7.2592152983844374</v>
      </c>
      <c r="AQ20" s="27">
        <v>3.2126742889012818</v>
      </c>
      <c r="AR20" s="27">
        <v>2.9483244198959611</v>
      </c>
      <c r="AS20" s="27">
        <v>7.7797774480712159</v>
      </c>
      <c r="AT20" s="27">
        <v>3.7880786391522578</v>
      </c>
      <c r="AU20">
        <f t="shared" si="41"/>
        <v>0.14488710015442791</v>
      </c>
      <c r="AV20">
        <f t="shared" si="42"/>
        <v>0.1324844446724622</v>
      </c>
      <c r="AW20">
        <f t="shared" si="43"/>
        <v>0.5766143204636176</v>
      </c>
      <c r="AX20">
        <f t="shared" si="44"/>
        <v>-4.0465410094831551</v>
      </c>
      <c r="AY20">
        <f t="shared" si="45"/>
        <v>0.83975421925629679</v>
      </c>
      <c r="AZ20">
        <f t="shared" si="46"/>
        <v>-3.991698808918958</v>
      </c>
      <c r="BA20">
        <f t="shared" si="5"/>
        <v>0.50777028726293527</v>
      </c>
      <c r="BB20">
        <f t="shared" si="6"/>
        <v>0.55442733000565625</v>
      </c>
      <c r="BC20">
        <f t="shared" si="7"/>
        <v>0.36797660113748731</v>
      </c>
      <c r="BD20">
        <f t="shared" si="8"/>
        <v>0.37122098464530834</v>
      </c>
      <c r="BE20">
        <f t="shared" si="9"/>
        <v>0.20230201415616125</v>
      </c>
      <c r="BF20">
        <f t="shared" si="10"/>
        <v>0.19923859506199115</v>
      </c>
      <c r="BG20">
        <f t="shared" si="47"/>
        <v>0.16567458698132606</v>
      </c>
      <c r="BH20">
        <f t="shared" si="48"/>
        <v>0.17198238958331719</v>
      </c>
      <c r="BI20" s="10">
        <f t="shared" si="62"/>
        <v>8.588799876050314E-2</v>
      </c>
      <c r="BJ20">
        <f t="shared" si="49"/>
        <v>0.23857777433473093</v>
      </c>
      <c r="BK20">
        <f t="shared" si="12"/>
        <v>0.13979368612544796</v>
      </c>
      <c r="BL20">
        <f t="shared" si="13"/>
        <v>62.806313036184186</v>
      </c>
      <c r="BM20">
        <f t="shared" si="14"/>
        <v>47.796914597346536</v>
      </c>
      <c r="BN20" s="10">
        <f t="shared" si="15"/>
        <v>0.25373648407499566</v>
      </c>
      <c r="BO20" s="10">
        <f t="shared" si="16"/>
        <v>0.27016768165829846</v>
      </c>
      <c r="BP20" s="10">
        <f t="shared" si="17"/>
        <v>0.10089946622236212</v>
      </c>
      <c r="BQ20" s="10">
        <f t="shared" si="18"/>
        <v>0.10392030544881076</v>
      </c>
      <c r="BR20">
        <f t="shared" si="63"/>
        <v>9.5782365298459182E-2</v>
      </c>
      <c r="BS20">
        <f t="shared" si="64"/>
        <v>-5.7554918958768697</v>
      </c>
      <c r="BT20">
        <f t="shared" si="50"/>
        <v>0.19</v>
      </c>
      <c r="BU20">
        <f t="shared" si="51"/>
        <v>0.36</v>
      </c>
      <c r="BV20">
        <f t="shared" si="52"/>
        <v>0.16999999999999998</v>
      </c>
      <c r="BW20">
        <f t="shared" si="21"/>
        <v>0.17</v>
      </c>
      <c r="BX20">
        <f t="shared" si="22"/>
        <v>0.28999999999999998</v>
      </c>
      <c r="BY20">
        <f t="shared" si="53"/>
        <v>0.12</v>
      </c>
      <c r="BZ20">
        <f t="shared" si="23"/>
        <v>0.13378370913849799</v>
      </c>
      <c r="CA20">
        <f t="shared" si="24"/>
        <v>0.3190065934270585</v>
      </c>
      <c r="CB20">
        <f t="shared" si="54"/>
        <v>0.18522288428856051</v>
      </c>
      <c r="CC20">
        <f t="shared" si="25"/>
        <v>0.13</v>
      </c>
      <c r="CD20">
        <f t="shared" si="26"/>
        <v>0.27</v>
      </c>
      <c r="CE20">
        <f t="shared" si="55"/>
        <v>0.14000000000000001</v>
      </c>
      <c r="CF20">
        <f t="shared" si="27"/>
        <v>0.10507423102761951</v>
      </c>
      <c r="CG20">
        <f t="shared" si="28"/>
        <v>0.28797266144673772</v>
      </c>
      <c r="CH20">
        <f t="shared" si="56"/>
        <v>0.18289843041911821</v>
      </c>
      <c r="CI20">
        <v>5</v>
      </c>
      <c r="CJ20">
        <f t="shared" si="57"/>
        <v>152.4</v>
      </c>
      <c r="CK20">
        <v>5</v>
      </c>
      <c r="CL20">
        <f t="shared" si="58"/>
        <v>152.4</v>
      </c>
      <c r="CM20">
        <f t="shared" si="59"/>
        <v>23.097061745681824</v>
      </c>
      <c r="CN20">
        <f t="shared" si="29"/>
        <v>27.963498612474911</v>
      </c>
      <c r="CO20">
        <f t="shared" si="30"/>
        <v>23.097061745681824</v>
      </c>
      <c r="CP20">
        <f t="shared" si="31"/>
        <v>27.963498612474911</v>
      </c>
      <c r="CQ20">
        <v>0.20844459249632516</v>
      </c>
      <c r="CR20">
        <v>0.22273945699630926</v>
      </c>
      <c r="CS20">
        <v>0.19414972799634106</v>
      </c>
      <c r="CT20">
        <v>0.12000000000000002</v>
      </c>
      <c r="CU20">
        <v>110</v>
      </c>
      <c r="CV20">
        <f t="shared" si="32"/>
        <v>22.166515943770378</v>
      </c>
      <c r="DC20">
        <f t="shared" si="60"/>
        <v>0</v>
      </c>
    </row>
    <row r="21" spans="3:137">
      <c r="C21">
        <f t="shared" si="33"/>
        <v>35.129980594712329</v>
      </c>
      <c r="E21" t="s">
        <v>7</v>
      </c>
      <c r="F21">
        <v>4</v>
      </c>
      <c r="G21">
        <v>2</v>
      </c>
      <c r="H21" s="27">
        <v>8.65534364255433</v>
      </c>
      <c r="I21" s="27">
        <v>59.727673822204601</v>
      </c>
      <c r="J21" s="27">
        <v>31.6169825352411</v>
      </c>
      <c r="K21" s="8">
        <v>1.5897120882736899</v>
      </c>
      <c r="L21" s="34">
        <v>1.3716725434951766</v>
      </c>
      <c r="M21" s="8">
        <v>1.5114820615160045</v>
      </c>
      <c r="N21">
        <f t="shared" si="0"/>
        <v>0.14725513358815262</v>
      </c>
      <c r="O21">
        <f t="shared" ref="O21:O22" si="65">AVERAGE(K21:M21)</f>
        <v>1.4909555644282904</v>
      </c>
      <c r="P21" s="7">
        <f t="shared" si="35"/>
        <v>1.4806923158844332</v>
      </c>
      <c r="Q21" s="7">
        <f t="shared" ref="Q21:Q28" si="66">AVERAGE(K21:L21)</f>
        <v>1.4806923158844332</v>
      </c>
      <c r="R21" s="8">
        <v>1.0352807999595721</v>
      </c>
      <c r="S21" s="38">
        <v>0.62495000000000001</v>
      </c>
      <c r="T21" s="38">
        <v>7.1919999999999998E-2</v>
      </c>
      <c r="U21" s="27">
        <v>0.81889999999999996</v>
      </c>
      <c r="V21" s="27">
        <v>8.3360000000000004E-2</v>
      </c>
      <c r="W21" s="27">
        <f t="shared" si="36"/>
        <v>0.19394999999999996</v>
      </c>
      <c r="X21" s="27">
        <f t="shared" si="36"/>
        <v>1.1440000000000006E-2</v>
      </c>
      <c r="Y21" s="8">
        <v>0.12943078166493485</v>
      </c>
      <c r="Z21" s="8">
        <v>0.24140508221225715</v>
      </c>
      <c r="AA21" s="4">
        <v>0.20499999999999999</v>
      </c>
      <c r="AB21" s="4">
        <v>0.64100000000000001</v>
      </c>
      <c r="AC21" s="4">
        <v>2.9600000000000001E-2</v>
      </c>
      <c r="AD21" s="4">
        <v>2.9899999999999999E-2</v>
      </c>
      <c r="AE21" s="8">
        <f t="shared" si="37"/>
        <v>4.4444807098981371</v>
      </c>
      <c r="AF21" s="8">
        <f t="shared" si="38"/>
        <v>13.970267076947218</v>
      </c>
      <c r="AG21" s="8">
        <f t="shared" si="39"/>
        <v>9.525786367049081</v>
      </c>
      <c r="AH21" s="8">
        <f t="shared" si="2"/>
        <v>0.1119743005473223</v>
      </c>
      <c r="AI21" s="8">
        <f t="shared" si="3"/>
        <v>0.19164716385018482</v>
      </c>
      <c r="AJ21" s="8">
        <f t="shared" si="4"/>
        <v>0.35744665024713901</v>
      </c>
      <c r="AK21" s="8">
        <f t="shared" si="40"/>
        <v>0.16579948639695419</v>
      </c>
      <c r="AL21" s="27">
        <v>0.14014792338327328</v>
      </c>
      <c r="AM21" s="27">
        <v>0.13824790688176428</v>
      </c>
      <c r="AN21" s="27">
        <v>0.26158694846125324</v>
      </c>
      <c r="AO21" s="27">
        <v>0.83610847714773362</v>
      </c>
      <c r="AP21" s="27">
        <v>2.3713498060036757</v>
      </c>
      <c r="AQ21" s="27">
        <v>2.4600945494994439</v>
      </c>
      <c r="AR21" s="27">
        <v>0.83610847714773362</v>
      </c>
      <c r="AS21" s="27">
        <v>7.0286808249948951</v>
      </c>
      <c r="AT21" s="27">
        <v>2.8800978710913361</v>
      </c>
      <c r="AU21">
        <f t="shared" si="41"/>
        <v>0.12143902507797996</v>
      </c>
      <c r="AV21">
        <f t="shared" si="42"/>
        <v>0.12333904157948897</v>
      </c>
      <c r="AW21">
        <f t="shared" si="43"/>
        <v>1.6239860723517103</v>
      </c>
      <c r="AX21">
        <f t="shared" si="44"/>
        <v>8.8744743495768219E-2</v>
      </c>
      <c r="AY21">
        <f t="shared" si="45"/>
        <v>2.0439893939436025</v>
      </c>
      <c r="AZ21">
        <f t="shared" si="46"/>
        <v>-4.148582953903559</v>
      </c>
      <c r="BA21">
        <f t="shared" si="5"/>
        <v>0.44124818268511956</v>
      </c>
      <c r="BB21">
        <f t="shared" si="6"/>
        <v>0.60932800001525578</v>
      </c>
      <c r="BC21">
        <f t="shared" si="7"/>
        <v>0.35150875063976089</v>
      </c>
      <c r="BD21">
        <f t="shared" si="8"/>
        <v>0.36883893850018346</v>
      </c>
      <c r="BE21">
        <f t="shared" si="9"/>
        <v>0.19775203677103392</v>
      </c>
      <c r="BF21">
        <f t="shared" si="10"/>
        <v>0.19058473166439238</v>
      </c>
      <c r="BG21">
        <f t="shared" si="47"/>
        <v>0.15375671386872697</v>
      </c>
      <c r="BH21">
        <f t="shared" si="48"/>
        <v>0.17825420683579107</v>
      </c>
      <c r="BI21" s="10">
        <f t="shared" si="62"/>
        <v>2.4645964667390316E-2</v>
      </c>
      <c r="BJ21">
        <f t="shared" si="49"/>
        <v>6.8461012964973103E-2</v>
      </c>
      <c r="BK21">
        <f t="shared" si="12"/>
        <v>8.9739432045358669E-2</v>
      </c>
      <c r="BL21">
        <f t="shared" si="13"/>
        <v>93.35776413826774</v>
      </c>
      <c r="BM21">
        <f t="shared" si="14"/>
        <v>35.577838983952631</v>
      </c>
      <c r="BN21" s="10">
        <f t="shared" si="15"/>
        <v>0.23522686490620678</v>
      </c>
      <c r="BO21" s="10">
        <f t="shared" si="16"/>
        <v>0.28815870392487153</v>
      </c>
      <c r="BP21" s="10">
        <f t="shared" si="17"/>
        <v>9.2017854972299196E-2</v>
      </c>
      <c r="BQ21" s="10">
        <f t="shared" si="18"/>
        <v>0.10161876262826403</v>
      </c>
      <c r="BR21">
        <f t="shared" si="63"/>
        <v>0.11197311767606401</v>
      </c>
      <c r="BS21">
        <f t="shared" si="64"/>
        <v>-5.4417080736065992</v>
      </c>
      <c r="BT21">
        <f t="shared" si="50"/>
        <v>0.17</v>
      </c>
      <c r="BU21">
        <f t="shared" si="51"/>
        <v>0.35</v>
      </c>
      <c r="BV21">
        <f t="shared" si="52"/>
        <v>0.17999999999999997</v>
      </c>
      <c r="BW21">
        <f t="shared" si="21"/>
        <v>0.22</v>
      </c>
      <c r="BX21">
        <f t="shared" si="22"/>
        <v>0.33</v>
      </c>
      <c r="BY21">
        <f t="shared" si="53"/>
        <v>0.11</v>
      </c>
      <c r="BZ21">
        <f t="shared" si="23"/>
        <v>0.17471675574836534</v>
      </c>
      <c r="CA21">
        <f t="shared" si="24"/>
        <v>0.36325377128699271</v>
      </c>
      <c r="CB21">
        <f t="shared" si="54"/>
        <v>0.18853701553862737</v>
      </c>
      <c r="CC21">
        <f t="shared" si="25"/>
        <v>0.09</v>
      </c>
      <c r="CD21">
        <f t="shared" si="26"/>
        <v>0.23</v>
      </c>
      <c r="CE21">
        <f t="shared" si="55"/>
        <v>0.14000000000000001</v>
      </c>
      <c r="CF21">
        <f t="shared" si="27"/>
        <v>7.1292201750612627E-2</v>
      </c>
      <c r="CG21">
        <f t="shared" si="28"/>
        <v>0.25145548078985258</v>
      </c>
      <c r="CH21">
        <f t="shared" si="56"/>
        <v>0.18016327903923995</v>
      </c>
      <c r="CI21">
        <v>5</v>
      </c>
      <c r="CJ21">
        <f t="shared" si="57"/>
        <v>152.4</v>
      </c>
      <c r="CK21">
        <v>5</v>
      </c>
      <c r="CL21">
        <f t="shared" si="58"/>
        <v>152.4</v>
      </c>
      <c r="CM21">
        <f t="shared" si="59"/>
        <v>23.097061745681824</v>
      </c>
      <c r="CN21">
        <f t="shared" si="29"/>
        <v>27.963498612474911</v>
      </c>
      <c r="CO21">
        <f t="shared" si="30"/>
        <v>23.097061745681824</v>
      </c>
      <c r="CP21">
        <f t="shared" si="31"/>
        <v>27.963498612474911</v>
      </c>
      <c r="CQ21">
        <v>0.17221479075102458</v>
      </c>
      <c r="CR21">
        <v>0.14527384697068049</v>
      </c>
      <c r="CS21">
        <v>0.16694870647399596</v>
      </c>
      <c r="CT21">
        <v>0.09</v>
      </c>
      <c r="CU21">
        <v>110</v>
      </c>
      <c r="CV21">
        <f t="shared" si="32"/>
        <v>22.166515943770378</v>
      </c>
      <c r="DC21">
        <f t="shared" si="60"/>
        <v>0</v>
      </c>
    </row>
    <row r="22" spans="3:137">
      <c r="C22">
        <f t="shared" si="33"/>
        <v>36.521197630391221</v>
      </c>
      <c r="E22" t="s">
        <v>7</v>
      </c>
      <c r="F22">
        <v>4</v>
      </c>
      <c r="G22">
        <v>3</v>
      </c>
      <c r="H22" s="27">
        <v>7.6002662846667297</v>
      </c>
      <c r="I22" s="27">
        <v>59.530655847981201</v>
      </c>
      <c r="J22" s="27">
        <v>32.869077867352097</v>
      </c>
      <c r="K22" s="8">
        <v>1.620751720981608</v>
      </c>
      <c r="L22" s="34">
        <v>1.3761011688997828</v>
      </c>
      <c r="M22" s="8">
        <v>1.3435396102364481</v>
      </c>
      <c r="N22">
        <f t="shared" si="0"/>
        <v>0.16327164600429081</v>
      </c>
      <c r="O22">
        <f t="shared" si="65"/>
        <v>1.4467975000392796</v>
      </c>
      <c r="P22" s="7">
        <f t="shared" si="35"/>
        <v>1.4984264449406954</v>
      </c>
      <c r="Q22" s="7">
        <f t="shared" si="66"/>
        <v>1.4984264449406954</v>
      </c>
      <c r="R22" s="8">
        <v>0.98436595473897059</v>
      </c>
      <c r="S22" s="38">
        <v>0.42265000000000003</v>
      </c>
      <c r="T22" s="38">
        <v>4.6080000000000003E-2</v>
      </c>
      <c r="U22" s="27">
        <v>0.49717</v>
      </c>
      <c r="V22" s="27">
        <v>5.9389999999999998E-2</v>
      </c>
      <c r="W22" s="27">
        <f t="shared" si="36"/>
        <v>7.4519999999999975E-2</v>
      </c>
      <c r="X22" s="27">
        <f t="shared" si="36"/>
        <v>1.3309999999999995E-2</v>
      </c>
      <c r="Y22" s="8">
        <v>0.13494652891063999</v>
      </c>
      <c r="AA22" s="4">
        <v>0.105</v>
      </c>
      <c r="AB22" s="4"/>
      <c r="AC22" s="4">
        <v>0</v>
      </c>
      <c r="AD22" s="4"/>
      <c r="AE22" s="8">
        <f t="shared" si="37"/>
        <v>2.0228734037345677</v>
      </c>
      <c r="AF22" s="8" t="str">
        <f t="shared" si="38"/>
        <v/>
      </c>
      <c r="AG22" s="8" t="str">
        <f t="shared" si="39"/>
        <v/>
      </c>
      <c r="AH22" s="8" t="str">
        <f t="shared" si="2"/>
        <v/>
      </c>
      <c r="AI22" s="8">
        <f t="shared" si="3"/>
        <v>0.20220744757265705</v>
      </c>
      <c r="AJ22" s="8" t="str">
        <f t="shared" si="4"/>
        <v/>
      </c>
      <c r="AK22" s="8" t="str">
        <f t="shared" si="40"/>
        <v/>
      </c>
      <c r="AL22" s="27">
        <v>0.13276383698166949</v>
      </c>
      <c r="AM22" s="27">
        <v>0.1237575521340868</v>
      </c>
      <c r="AN22" s="27">
        <v>0.22731577950369386</v>
      </c>
      <c r="AO22" s="27">
        <v>0.67021860354748775</v>
      </c>
      <c r="AP22" s="27">
        <v>0.8334535178327811</v>
      </c>
      <c r="AQ22" s="27">
        <v>1.8256322220117445</v>
      </c>
      <c r="AR22" s="27">
        <v>0.88874762709853483</v>
      </c>
      <c r="AS22" s="27">
        <v>1.0446262911713116</v>
      </c>
      <c r="AT22" s="27">
        <v>1.9233061027972467</v>
      </c>
      <c r="AU22">
        <f t="shared" si="41"/>
        <v>9.4551942522024368E-2</v>
      </c>
      <c r="AV22">
        <f t="shared" si="42"/>
        <v>0.10355822736960706</v>
      </c>
      <c r="AW22">
        <f t="shared" si="43"/>
        <v>1.1554136184642567</v>
      </c>
      <c r="AX22">
        <f t="shared" si="44"/>
        <v>0.99217870417896337</v>
      </c>
      <c r="AY22">
        <f t="shared" si="45"/>
        <v>1.0345584756987118</v>
      </c>
      <c r="AZ22">
        <f t="shared" si="46"/>
        <v>0.87867981162593511</v>
      </c>
      <c r="BA22">
        <f t="shared" si="5"/>
        <v>0.4345560585129451</v>
      </c>
      <c r="BB22">
        <f t="shared" si="6"/>
        <v>0.62854114915510539</v>
      </c>
      <c r="BC22">
        <f t="shared" si="7"/>
        <v>0.35611453037638552</v>
      </c>
      <c r="BD22">
        <f t="shared" si="8"/>
        <v>0.37734315612251818</v>
      </c>
      <c r="BE22">
        <f t="shared" si="9"/>
        <v>0.20490315507620677</v>
      </c>
      <c r="BF22">
        <f t="shared" si="10"/>
        <v>0.19583414561520612</v>
      </c>
      <c r="BG22">
        <f t="shared" si="47"/>
        <v>0.15121137530017875</v>
      </c>
      <c r="BH22">
        <f t="shared" si="48"/>
        <v>0.18150901050731205</v>
      </c>
      <c r="BI22" s="10">
        <f t="shared" si="62"/>
        <v>1.7649019984563925E-2</v>
      </c>
      <c r="BJ22">
        <f t="shared" si="49"/>
        <v>4.9025055512677572E-2</v>
      </c>
      <c r="BK22">
        <f t="shared" si="12"/>
        <v>7.844152813655958E-2</v>
      </c>
      <c r="BL22">
        <f t="shared" si="13"/>
        <v>102.74514109998866</v>
      </c>
      <c r="BM22">
        <f t="shared" si="14"/>
        <v>33.785287522946639</v>
      </c>
      <c r="BN22" s="10">
        <f t="shared" si="15"/>
        <v>0.22312547411747383</v>
      </c>
      <c r="BO22" s="10">
        <f t="shared" si="16"/>
        <v>0.28613657259028524</v>
      </c>
      <c r="BP22" s="10">
        <f t="shared" si="17"/>
        <v>9.234502945336362E-2</v>
      </c>
      <c r="BQ22" s="10">
        <f t="shared" si="18"/>
        <v>0.10418745841846223</v>
      </c>
      <c r="BR22">
        <f t="shared" si="63"/>
        <v>0.10534496518581364</v>
      </c>
      <c r="BS22">
        <f t="shared" si="64"/>
        <v>-5.6045843413555154</v>
      </c>
      <c r="BT22">
        <f t="shared" si="50"/>
        <v>0.18</v>
      </c>
      <c r="BU22">
        <f t="shared" si="51"/>
        <v>0.36</v>
      </c>
      <c r="BV22">
        <f t="shared" si="52"/>
        <v>0.18</v>
      </c>
      <c r="BW22">
        <f t="shared" si="21"/>
        <v>0.22</v>
      </c>
      <c r="BX22">
        <f t="shared" si="22"/>
        <v>0.34</v>
      </c>
      <c r="BY22">
        <f t="shared" si="53"/>
        <v>0.12</v>
      </c>
      <c r="BZ22">
        <f t="shared" si="23"/>
        <v>0.17883462051522944</v>
      </c>
      <c r="CA22">
        <f t="shared" si="24"/>
        <v>0.36770503768011453</v>
      </c>
      <c r="CB22">
        <f t="shared" si="54"/>
        <v>0.18887041716488509</v>
      </c>
      <c r="CC22">
        <f t="shared" si="25"/>
        <v>0.08</v>
      </c>
      <c r="CD22">
        <f t="shared" si="26"/>
        <v>0.22</v>
      </c>
      <c r="CE22">
        <f t="shared" si="55"/>
        <v>0.14000000000000001</v>
      </c>
      <c r="CF22">
        <f t="shared" si="27"/>
        <v>5.9469774690388971E-2</v>
      </c>
      <c r="CG22">
        <f t="shared" si="28"/>
        <v>0.23867585463948163</v>
      </c>
      <c r="CH22">
        <f t="shared" si="56"/>
        <v>0.17920607994909266</v>
      </c>
      <c r="CI22">
        <v>5</v>
      </c>
      <c r="CJ22">
        <f t="shared" si="57"/>
        <v>152.4</v>
      </c>
      <c r="CK22">
        <v>5</v>
      </c>
      <c r="CL22">
        <f t="shared" si="58"/>
        <v>152.4</v>
      </c>
      <c r="CM22">
        <f t="shared" si="59"/>
        <v>23.097061745681824</v>
      </c>
      <c r="CN22">
        <f t="shared" si="29"/>
        <v>27.963498612474911</v>
      </c>
      <c r="CO22">
        <f t="shared" si="30"/>
        <v>23.097061745681824</v>
      </c>
      <c r="CP22">
        <f t="shared" si="31"/>
        <v>27.963498612474911</v>
      </c>
      <c r="CQ22">
        <v>0.13731271230271375</v>
      </c>
      <c r="CR22">
        <v>9.7696958385154908E-2</v>
      </c>
      <c r="CS22">
        <v>0.13162592056946562</v>
      </c>
      <c r="CT22">
        <v>0.1</v>
      </c>
      <c r="CU22">
        <v>110</v>
      </c>
      <c r="CV22">
        <f t="shared" si="32"/>
        <v>22.166515943770378</v>
      </c>
      <c r="DC22">
        <f t="shared" si="60"/>
        <v>0</v>
      </c>
    </row>
    <row r="23" spans="3:137">
      <c r="C23">
        <f t="shared" si="33"/>
        <v>35.520383724820221</v>
      </c>
      <c r="E23" t="s">
        <v>7</v>
      </c>
      <c r="F23">
        <v>4</v>
      </c>
      <c r="G23">
        <v>4</v>
      </c>
      <c r="H23" s="27">
        <v>9.6315459962965502</v>
      </c>
      <c r="I23" s="27">
        <v>58.400108651365201</v>
      </c>
      <c r="J23" s="27">
        <v>31.968345352338201</v>
      </c>
      <c r="K23" s="8">
        <v>1.5978046536326032</v>
      </c>
      <c r="L23" s="34"/>
      <c r="M23" s="8">
        <v>1.4258417710759839</v>
      </c>
      <c r="N23" t="str">
        <f t="shared" si="0"/>
        <v/>
      </c>
      <c r="P23" s="7">
        <f t="shared" si="35"/>
        <v>1.5978046536326032</v>
      </c>
      <c r="Q23" s="7">
        <f t="shared" si="66"/>
        <v>1.5978046536326032</v>
      </c>
      <c r="S23" s="38">
        <v>0.3629</v>
      </c>
      <c r="T23" s="38">
        <v>4.623E-2</v>
      </c>
      <c r="U23" s="27"/>
      <c r="V23" s="27"/>
      <c r="W23" s="27" t="str">
        <f t="shared" si="36"/>
        <v/>
      </c>
      <c r="X23" s="27" t="str">
        <f t="shared" si="36"/>
        <v/>
      </c>
      <c r="Y23" s="8">
        <v>0.14201732673267339</v>
      </c>
      <c r="Z23" s="8">
        <v>0.22261072261072248</v>
      </c>
      <c r="AA23" s="4">
        <v>0.26300000000000001</v>
      </c>
      <c r="AB23" s="4">
        <v>0.57299999999999995</v>
      </c>
      <c r="AC23" s="4">
        <v>0</v>
      </c>
      <c r="AD23" s="4">
        <v>4.48E-2</v>
      </c>
      <c r="AE23" s="8">
        <f t="shared" si="37"/>
        <v>5.4365163518099768</v>
      </c>
      <c r="AF23" s="8">
        <f t="shared" si="38"/>
        <v>13.671883887566784</v>
      </c>
      <c r="AG23" s="8">
        <f t="shared" si="39"/>
        <v>8.2353675357568079</v>
      </c>
      <c r="AH23" s="8">
        <f t="shared" si="2"/>
        <v>8.059339587804909E-2</v>
      </c>
      <c r="AI23" s="8">
        <f t="shared" si="3"/>
        <v>0.22691594554992744</v>
      </c>
      <c r="AJ23" s="8">
        <f t="shared" si="4"/>
        <v>0.35568844853592896</v>
      </c>
      <c r="AK23" s="8">
        <f t="shared" si="40"/>
        <v>0.12877250298600151</v>
      </c>
      <c r="AL23" s="27">
        <v>0.14441110277569397</v>
      </c>
      <c r="AM23" s="27">
        <v>0.130996671235559</v>
      </c>
      <c r="AN23" s="27">
        <v>0.22934648581997555</v>
      </c>
      <c r="AO23" s="27">
        <v>0.71048855963990998</v>
      </c>
      <c r="AP23" s="27">
        <v>1.1545591018862997</v>
      </c>
      <c r="AQ23" s="27">
        <v>2.4177147554459522</v>
      </c>
      <c r="AR23" s="27">
        <v>0.79679623030757696</v>
      </c>
      <c r="AS23" s="27">
        <v>1.4175158279485673</v>
      </c>
      <c r="AT23" s="27">
        <v>2.6922688039457467</v>
      </c>
      <c r="AU23">
        <f t="shared" si="41"/>
        <v>8.4935383044281582E-2</v>
      </c>
      <c r="AV23">
        <f t="shared" si="42"/>
        <v>9.8349814584416551E-2</v>
      </c>
      <c r="AW23">
        <f t="shared" si="43"/>
        <v>1.7072261958060422</v>
      </c>
      <c r="AX23">
        <f t="shared" si="44"/>
        <v>1.2631556535596524</v>
      </c>
      <c r="AY23">
        <f t="shared" si="45"/>
        <v>1.8954725736381697</v>
      </c>
      <c r="AZ23">
        <f t="shared" si="46"/>
        <v>1.2747529759971794</v>
      </c>
      <c r="BA23">
        <f t="shared" si="5"/>
        <v>0.39705484768581012</v>
      </c>
      <c r="BB23" t="str">
        <f t="shared" si="6"/>
        <v/>
      </c>
      <c r="BC23">
        <f t="shared" si="7"/>
        <v>0.34091443176531172</v>
      </c>
      <c r="BD23" t="str">
        <f t="shared" si="8"/>
        <v/>
      </c>
      <c r="BE23">
        <f t="shared" si="9"/>
        <v>0.20109791922461182</v>
      </c>
      <c r="BF23" t="str">
        <f t="shared" si="10"/>
        <v/>
      </c>
      <c r="BG23">
        <f t="shared" si="47"/>
        <v>0.13981651254069991</v>
      </c>
      <c r="BH23" t="str">
        <f t="shared" si="48"/>
        <v/>
      </c>
      <c r="BI23" s="10">
        <f t="shared" si="62"/>
        <v>8.4655063288372693E-3</v>
      </c>
      <c r="BJ23">
        <f t="shared" si="49"/>
        <v>2.3515295357881303E-2</v>
      </c>
      <c r="BK23">
        <f t="shared" si="12"/>
        <v>5.6140415920498399E-2</v>
      </c>
      <c r="BL23">
        <f t="shared" si="13"/>
        <v>127.48351429274551</v>
      </c>
      <c r="BM23" t="str">
        <f t="shared" si="14"/>
        <v/>
      </c>
      <c r="BN23" s="10">
        <f t="shared" si="15"/>
        <v>0.21064631501541431</v>
      </c>
      <c r="BO23" s="10" t="str">
        <f t="shared" si="16"/>
        <v/>
      </c>
      <c r="BP23" s="10">
        <f t="shared" si="17"/>
        <v>8.7831909966962773E-2</v>
      </c>
      <c r="BQ23" s="10" t="str">
        <f t="shared" si="18"/>
        <v/>
      </c>
      <c r="BR23">
        <f t="shared" si="63"/>
        <v>0.10551391003500089</v>
      </c>
      <c r="BS23">
        <f t="shared" si="64"/>
        <v>-5.5121061388781634</v>
      </c>
      <c r="BT23">
        <f t="shared" si="50"/>
        <v>0.18</v>
      </c>
      <c r="BU23">
        <f t="shared" si="51"/>
        <v>0.35</v>
      </c>
      <c r="BV23">
        <f t="shared" si="52"/>
        <v>0.16999999999999998</v>
      </c>
      <c r="BW23">
        <f t="shared" si="21"/>
        <v>0.25</v>
      </c>
      <c r="BX23">
        <f t="shared" si="22"/>
        <v>0.36</v>
      </c>
      <c r="BY23">
        <f t="shared" si="53"/>
        <v>0.11</v>
      </c>
      <c r="BZ23">
        <f t="shared" si="23"/>
        <v>0.20191024057349041</v>
      </c>
      <c r="CA23">
        <f t="shared" si="24"/>
        <v>0.36705484768581009</v>
      </c>
      <c r="CB23">
        <f t="shared" si="54"/>
        <v>0.16514460711231968</v>
      </c>
      <c r="CC23" t="str">
        <f t="shared" si="25"/>
        <v/>
      </c>
      <c r="CD23" t="str">
        <f t="shared" si="26"/>
        <v/>
      </c>
      <c r="CE23" t="str">
        <f t="shared" si="55"/>
        <v/>
      </c>
      <c r="CF23" t="str">
        <f t="shared" si="27"/>
        <v/>
      </c>
      <c r="CG23" t="str">
        <f t="shared" si="28"/>
        <v/>
      </c>
      <c r="CH23" t="str">
        <f t="shared" si="56"/>
        <v/>
      </c>
      <c r="CI23">
        <v>5</v>
      </c>
      <c r="CJ23">
        <f t="shared" si="57"/>
        <v>152.4</v>
      </c>
      <c r="CK23">
        <v>5</v>
      </c>
      <c r="CL23">
        <f t="shared" si="58"/>
        <v>152.4</v>
      </c>
      <c r="CM23">
        <f t="shared" si="59"/>
        <v>23.097061745681824</v>
      </c>
      <c r="CN23">
        <f t="shared" si="29"/>
        <v>27.963498612474911</v>
      </c>
      <c r="CO23">
        <f t="shared" si="30"/>
        <v>23.097061745681824</v>
      </c>
      <c r="CP23">
        <f t="shared" si="31"/>
        <v>27.963498612474911</v>
      </c>
      <c r="CQ23">
        <v>0.14860216998200079</v>
      </c>
      <c r="CR23">
        <v>7.700227266243892E-2</v>
      </c>
      <c r="CS23">
        <v>0.1433433855865075</v>
      </c>
      <c r="CT23">
        <v>9.9999999999999992E-2</v>
      </c>
      <c r="CU23">
        <v>110</v>
      </c>
      <c r="CV23">
        <f t="shared" si="32"/>
        <v>22.166515943770378</v>
      </c>
      <c r="CX23" s="4"/>
      <c r="DC23">
        <f t="shared" si="60"/>
        <v>0</v>
      </c>
    </row>
    <row r="24" spans="3:137">
      <c r="C24">
        <f t="shared" si="33"/>
        <v>30.645885047453998</v>
      </c>
      <c r="E24" t="s">
        <v>7</v>
      </c>
      <c r="F24">
        <v>4</v>
      </c>
      <c r="G24">
        <v>5</v>
      </c>
      <c r="H24" s="27">
        <v>14.5248266685344</v>
      </c>
      <c r="I24" s="27">
        <v>57.893876788756998</v>
      </c>
      <c r="J24" s="27">
        <v>27.5812965427086</v>
      </c>
      <c r="K24" s="8">
        <v>1.6026499031954993</v>
      </c>
      <c r="L24" s="34">
        <v>1.4784878005412456</v>
      </c>
      <c r="M24" s="8">
        <v>1.3909640721467824</v>
      </c>
      <c r="N24">
        <f t="shared" si="0"/>
        <v>8.0594971463737064E-2</v>
      </c>
      <c r="P24" s="7">
        <f t="shared" si="35"/>
        <v>1.5405688518683724</v>
      </c>
      <c r="Q24" s="7">
        <f t="shared" si="66"/>
        <v>1.5405688518683724</v>
      </c>
      <c r="S24" s="38">
        <v>0.32413999999999998</v>
      </c>
      <c r="T24" s="38">
        <v>5.0939999999999999E-2</v>
      </c>
      <c r="U24" s="27"/>
      <c r="V24" s="27"/>
      <c r="W24" s="27" t="str">
        <f t="shared" si="36"/>
        <v/>
      </c>
      <c r="X24" s="27" t="str">
        <f t="shared" si="36"/>
        <v/>
      </c>
      <c r="Y24" s="8">
        <v>0.15857519788918223</v>
      </c>
      <c r="Z24" s="8">
        <v>0.23560700876095123</v>
      </c>
      <c r="AA24" s="4">
        <v>0.81399999999999995</v>
      </c>
      <c r="AB24" s="4">
        <v>0.84</v>
      </c>
      <c r="AC24" s="4">
        <v>1.9800000000000002E-2</v>
      </c>
      <c r="AD24" s="4">
        <v>2.93E-2</v>
      </c>
      <c r="AE24" s="8">
        <f t="shared" si="37"/>
        <v>16.859155098938114</v>
      </c>
      <c r="AF24" s="8">
        <f t="shared" si="38"/>
        <v>18.74561662556652</v>
      </c>
      <c r="AG24" s="8">
        <f t="shared" si="39"/>
        <v>1.8864615266284055</v>
      </c>
      <c r="AH24" s="8">
        <f t="shared" si="2"/>
        <v>7.7031810871768996E-2</v>
      </c>
      <c r="AI24" s="8">
        <f t="shared" si="3"/>
        <v>0.24429601054693742</v>
      </c>
      <c r="AJ24" s="8">
        <f t="shared" si="4"/>
        <v>0.36296881897900019</v>
      </c>
      <c r="AK24" s="8">
        <f t="shared" si="40"/>
        <v>0.11867280843206277</v>
      </c>
      <c r="AL24" s="27">
        <v>0.15240209931368617</v>
      </c>
      <c r="AM24" s="27">
        <v>0.13364553314121042</v>
      </c>
      <c r="AN24" s="27">
        <v>0.24565469293163383</v>
      </c>
      <c r="AO24" s="27">
        <v>0.77306974162293118</v>
      </c>
      <c r="AP24" s="27">
        <v>1.7051918227665706</v>
      </c>
      <c r="AQ24" s="27">
        <v>2.6937282734646586</v>
      </c>
      <c r="AR24" s="27">
        <v>0.77306974162293118</v>
      </c>
      <c r="AS24" s="27">
        <v>1.931448577089337</v>
      </c>
      <c r="AT24" s="27">
        <v>2.7830001931247592</v>
      </c>
      <c r="AU24">
        <f t="shared" si="41"/>
        <v>9.325259361794766E-2</v>
      </c>
      <c r="AV24">
        <f t="shared" si="42"/>
        <v>0.11200915979042342</v>
      </c>
      <c r="AW24">
        <f t="shared" si="43"/>
        <v>1.9206585318417275</v>
      </c>
      <c r="AX24">
        <f t="shared" si="44"/>
        <v>0.98853645069808804</v>
      </c>
      <c r="AY24">
        <f t="shared" si="45"/>
        <v>2.0099304515018281</v>
      </c>
      <c r="AZ24">
        <f t="shared" si="46"/>
        <v>0.85155161603542218</v>
      </c>
      <c r="BA24">
        <f t="shared" si="5"/>
        <v>0.41865326344589715</v>
      </c>
      <c r="BB24" t="str">
        <f t="shared" si="6"/>
        <v/>
      </c>
      <c r="BC24">
        <f t="shared" si="7"/>
        <v>0.32297576861331329</v>
      </c>
      <c r="BD24" t="str">
        <f t="shared" si="8"/>
        <v/>
      </c>
      <c r="BE24">
        <f t="shared" si="9"/>
        <v>0.1756573409761012</v>
      </c>
      <c r="BF24" t="str">
        <f t="shared" si="10"/>
        <v/>
      </c>
      <c r="BG24">
        <f t="shared" si="47"/>
        <v>0.14731842763721209</v>
      </c>
      <c r="BH24" t="str">
        <f t="shared" si="48"/>
        <v/>
      </c>
      <c r="BI24" s="10">
        <f t="shared" si="62"/>
        <v>2.988500080371825E-2</v>
      </c>
      <c r="BJ24">
        <f t="shared" si="49"/>
        <v>8.3013891121439573E-2</v>
      </c>
      <c r="BK24">
        <f t="shared" si="12"/>
        <v>9.5677494832583865E-2</v>
      </c>
      <c r="BL24">
        <f t="shared" si="13"/>
        <v>87.42905086863199</v>
      </c>
      <c r="BM24" t="str">
        <f t="shared" si="14"/>
        <v/>
      </c>
      <c r="BN24" s="10">
        <f t="shared" si="15"/>
        <v>0.25599960057278665</v>
      </c>
      <c r="BO24" s="10" t="str">
        <f t="shared" si="16"/>
        <v/>
      </c>
      <c r="BP24" s="10">
        <f t="shared" si="17"/>
        <v>8.6733414795788555E-2</v>
      </c>
      <c r="BQ24" s="10" t="str">
        <f t="shared" si="18"/>
        <v/>
      </c>
      <c r="BR24">
        <f t="shared" si="63"/>
        <v>0.12061114797518205</v>
      </c>
      <c r="BS24">
        <f t="shared" si="64"/>
        <v>-5.0315444492648336</v>
      </c>
      <c r="BT24">
        <f t="shared" si="50"/>
        <v>0.15</v>
      </c>
      <c r="BU24">
        <f t="shared" si="51"/>
        <v>0.33</v>
      </c>
      <c r="BV24">
        <f t="shared" si="52"/>
        <v>0.18000000000000002</v>
      </c>
      <c r="BW24">
        <f t="shared" si="21"/>
        <v>0.24</v>
      </c>
      <c r="BX24">
        <f t="shared" si="22"/>
        <v>0.35</v>
      </c>
      <c r="BY24">
        <f t="shared" si="53"/>
        <v>0.11</v>
      </c>
      <c r="BZ24">
        <f t="shared" si="23"/>
        <v>0.18862008740383604</v>
      </c>
      <c r="CA24">
        <f t="shared" si="24"/>
        <v>0.37828278181896147</v>
      </c>
      <c r="CB24">
        <f t="shared" si="54"/>
        <v>0.18966269441512543</v>
      </c>
      <c r="CC24" t="str">
        <f t="shared" si="25"/>
        <v/>
      </c>
      <c r="CD24" t="str">
        <f t="shared" si="26"/>
        <v/>
      </c>
      <c r="CE24" t="str">
        <f t="shared" si="55"/>
        <v/>
      </c>
      <c r="CF24" t="str">
        <f t="shared" si="27"/>
        <v/>
      </c>
      <c r="CG24" t="str">
        <f t="shared" si="28"/>
        <v/>
      </c>
      <c r="CH24" t="str">
        <f t="shared" si="56"/>
        <v/>
      </c>
      <c r="CI24">
        <v>5</v>
      </c>
      <c r="CJ24">
        <f t="shared" si="57"/>
        <v>152.4</v>
      </c>
      <c r="CK24">
        <v>5</v>
      </c>
      <c r="CL24">
        <f t="shared" si="58"/>
        <v>152.4</v>
      </c>
      <c r="CM24">
        <f t="shared" si="59"/>
        <v>23.097061745681824</v>
      </c>
      <c r="CN24">
        <f t="shared" si="29"/>
        <v>27.963498612474911</v>
      </c>
      <c r="CO24">
        <f t="shared" si="30"/>
        <v>23.097061745681824</v>
      </c>
      <c r="CP24">
        <f t="shared" si="31"/>
        <v>27.963498612474911</v>
      </c>
      <c r="CQ24">
        <v>0.20709578411231966</v>
      </c>
      <c r="CR24">
        <v>0.15219467132647632</v>
      </c>
      <c r="CS24">
        <v>0.11483136606638736</v>
      </c>
      <c r="CT24">
        <v>0.1</v>
      </c>
      <c r="CU24">
        <v>110</v>
      </c>
      <c r="CV24">
        <f t="shared" si="32"/>
        <v>22.166515943770378</v>
      </c>
      <c r="CX24" s="4"/>
      <c r="DC24">
        <f t="shared" si="60"/>
        <v>0</v>
      </c>
    </row>
    <row r="25" spans="3:137">
      <c r="C25">
        <f t="shared" si="33"/>
        <v>45.699970597388344</v>
      </c>
      <c r="E25" t="s">
        <v>7</v>
      </c>
      <c r="F25">
        <v>5</v>
      </c>
      <c r="G25">
        <v>1</v>
      </c>
      <c r="H25" s="27">
        <v>6.990793092652793</v>
      </c>
      <c r="I25" s="27">
        <v>51.879233369697694</v>
      </c>
      <c r="J25" s="27">
        <v>41.129973537649512</v>
      </c>
      <c r="K25" s="8">
        <v>1.5071753507032064</v>
      </c>
      <c r="L25" s="34">
        <v>1.6701744995794967</v>
      </c>
      <c r="M25" s="8">
        <v>1.1925755767524608</v>
      </c>
      <c r="N25">
        <f t="shared" si="0"/>
        <v>-0.10260069338086111</v>
      </c>
      <c r="O25">
        <f>AVERAGE(K25:M25)</f>
        <v>1.4566418090117212</v>
      </c>
      <c r="P25" s="7">
        <f t="shared" si="35"/>
        <v>1.5886749251413517</v>
      </c>
      <c r="Q25" s="7">
        <f t="shared" si="66"/>
        <v>1.5886749251413517</v>
      </c>
      <c r="R25" s="8">
        <v>1.1687941133311066</v>
      </c>
      <c r="S25" s="38">
        <v>1.4160466666666667</v>
      </c>
      <c r="T25" s="38">
        <v>0.12526000000000001</v>
      </c>
      <c r="U25" s="27">
        <v>1.5464</v>
      </c>
      <c r="V25" s="27">
        <v>0.13020000000000001</v>
      </c>
      <c r="W25" s="27">
        <f t="shared" si="36"/>
        <v>0.13035333333333332</v>
      </c>
      <c r="X25" s="27">
        <f t="shared" si="36"/>
        <v>4.9399999999999999E-3</v>
      </c>
      <c r="Y25" s="8">
        <v>0.14471867449085271</v>
      </c>
      <c r="AA25" s="4">
        <v>0.191</v>
      </c>
      <c r="AB25" s="4"/>
      <c r="AC25" s="4">
        <v>5.0299999999999997E-2</v>
      </c>
      <c r="AD25" s="4"/>
      <c r="AE25" s="8">
        <f t="shared" si="37"/>
        <v>4.9711824869933707</v>
      </c>
      <c r="AF25" s="8" t="str">
        <f t="shared" si="38"/>
        <v/>
      </c>
      <c r="AG25" s="8" t="str">
        <f t="shared" si="39"/>
        <v/>
      </c>
      <c r="AH25" s="8" t="str">
        <f t="shared" si="2"/>
        <v/>
      </c>
      <c r="AI25" s="8">
        <f t="shared" si="3"/>
        <v>0.22991092936331106</v>
      </c>
      <c r="AJ25" s="8" t="str">
        <f t="shared" si="4"/>
        <v/>
      </c>
      <c r="AK25" s="8" t="str">
        <f t="shared" si="40"/>
        <v/>
      </c>
      <c r="AL25" s="27">
        <v>0.1235528563294741</v>
      </c>
      <c r="AM25" s="27">
        <v>0.1322256836275528</v>
      </c>
      <c r="AN25" s="27">
        <v>0.27532327586206889</v>
      </c>
      <c r="AO25" s="27">
        <v>2.635667742139558</v>
      </c>
      <c r="AP25" s="27">
        <v>7.4066430137302417</v>
      </c>
      <c r="AQ25" s="27">
        <v>5.117234644396552</v>
      </c>
      <c r="AR25" s="27">
        <v>3.3659770987537163</v>
      </c>
      <c r="AS25" s="27">
        <v>7.7741446002076851</v>
      </c>
      <c r="AT25" s="27">
        <v>8.1036166487068968</v>
      </c>
      <c r="AU25">
        <f t="shared" si="41"/>
        <v>0.15177041953259479</v>
      </c>
      <c r="AV25">
        <f t="shared" si="42"/>
        <v>0.1430975922345161</v>
      </c>
      <c r="AW25">
        <f t="shared" si="43"/>
        <v>2.4815669022569939</v>
      </c>
      <c r="AX25">
        <f t="shared" si="44"/>
        <v>-2.2894083693336897</v>
      </c>
      <c r="AY25">
        <f t="shared" si="45"/>
        <v>4.7376395499531805</v>
      </c>
      <c r="AZ25">
        <f t="shared" si="46"/>
        <v>0.32947204849921174</v>
      </c>
      <c r="BA25">
        <f t="shared" si="5"/>
        <v>0.40050002824854647</v>
      </c>
      <c r="BB25">
        <f t="shared" si="6"/>
        <v>0.55894561761090311</v>
      </c>
      <c r="BC25">
        <f t="shared" si="7"/>
        <v>0.37029973389687165</v>
      </c>
      <c r="BD25">
        <f t="shared" si="8"/>
        <v>0.39997305263558564</v>
      </c>
      <c r="BE25">
        <f t="shared" si="9"/>
        <v>0.24990009054562357</v>
      </c>
      <c r="BF25">
        <f t="shared" si="10"/>
        <v>0.22775989054356788</v>
      </c>
      <c r="BG25">
        <f t="shared" si="47"/>
        <v>0.12039964335124809</v>
      </c>
      <c r="BH25">
        <f t="shared" si="48"/>
        <v>0.17221316209201776</v>
      </c>
      <c r="BI25" s="10">
        <f t="shared" si="62"/>
        <v>2.1827389281382655E-3</v>
      </c>
      <c r="BJ25">
        <f t="shared" si="49"/>
        <v>6.0631636892729598E-3</v>
      </c>
      <c r="BK25">
        <f t="shared" si="12"/>
        <v>3.0200294351674817E-2</v>
      </c>
      <c r="BL25">
        <f t="shared" si="13"/>
        <v>164.62234283363304</v>
      </c>
      <c r="BM25">
        <f t="shared" si="14"/>
        <v>53.050232881217632</v>
      </c>
      <c r="BN25" s="10">
        <f t="shared" si="15"/>
        <v>0.14730724239043327</v>
      </c>
      <c r="BO25" s="10">
        <f t="shared" si="16"/>
        <v>0.24215816924010283</v>
      </c>
      <c r="BP25" s="10">
        <f t="shared" si="17"/>
        <v>9.0341577009614524E-2</v>
      </c>
      <c r="BQ25" s="10">
        <f t="shared" si="18"/>
        <v>0.11445974561876804</v>
      </c>
      <c r="BR25">
        <f t="shared" si="63"/>
        <v>5.8332050230486591E-2</v>
      </c>
      <c r="BS25">
        <f t="shared" si="64"/>
        <v>-6.9655487477280182</v>
      </c>
      <c r="BT25">
        <f t="shared" si="50"/>
        <v>0.23</v>
      </c>
      <c r="BU25">
        <f t="shared" si="51"/>
        <v>0.4</v>
      </c>
      <c r="BV25">
        <f t="shared" si="52"/>
        <v>0.17</v>
      </c>
      <c r="BW25">
        <f t="shared" si="21"/>
        <v>0.25</v>
      </c>
      <c r="BX25">
        <f t="shared" si="22"/>
        <v>0.36</v>
      </c>
      <c r="BY25">
        <f t="shared" si="53"/>
        <v>0.11</v>
      </c>
      <c r="BZ25">
        <f t="shared" si="23"/>
        <v>0.19979031761782182</v>
      </c>
      <c r="CA25">
        <f t="shared" si="24"/>
        <v>0.37050002824854644</v>
      </c>
      <c r="CB25">
        <f t="shared" si="54"/>
        <v>0.17070971063072463</v>
      </c>
      <c r="CC25">
        <f t="shared" si="25"/>
        <v>0.13</v>
      </c>
      <c r="CD25">
        <f t="shared" si="26"/>
        <v>0.26</v>
      </c>
      <c r="CE25">
        <f t="shared" si="55"/>
        <v>0.13</v>
      </c>
      <c r="CF25">
        <f t="shared" si="27"/>
        <v>0.10229399311548296</v>
      </c>
      <c r="CG25">
        <f t="shared" si="28"/>
        <v>0.28496732244610773</v>
      </c>
      <c r="CH25">
        <f t="shared" si="56"/>
        <v>0.18267332933062477</v>
      </c>
      <c r="CI25">
        <v>4</v>
      </c>
      <c r="CJ25">
        <f t="shared" si="57"/>
        <v>121.92</v>
      </c>
      <c r="CK25">
        <v>5</v>
      </c>
      <c r="CL25">
        <f t="shared" si="58"/>
        <v>152.4</v>
      </c>
      <c r="CM25">
        <f t="shared" si="59"/>
        <v>15.61815684677445</v>
      </c>
      <c r="CN25">
        <f t="shared" si="29"/>
        <v>21.412162405400867</v>
      </c>
      <c r="CO25">
        <f t="shared" si="30"/>
        <v>19.522696058468064</v>
      </c>
      <c r="CP25">
        <f t="shared" si="31"/>
        <v>26.765203006751083</v>
      </c>
      <c r="CQ25">
        <v>0.18461189502565958</v>
      </c>
      <c r="CR25">
        <v>0.1603243555182424</v>
      </c>
      <c r="CS25">
        <v>0.20889943453307677</v>
      </c>
      <c r="CT25">
        <v>0.15000000000000002</v>
      </c>
      <c r="CU25">
        <v>75</v>
      </c>
      <c r="CV25">
        <f t="shared" si="32"/>
        <v>18.939588781211611</v>
      </c>
      <c r="CX25" s="4"/>
      <c r="DC25">
        <f t="shared" si="60"/>
        <v>0</v>
      </c>
      <c r="EF25" s="4">
        <v>18.897600000000001</v>
      </c>
      <c r="EG25" s="4">
        <v>4.5802000000000002E-2</v>
      </c>
    </row>
    <row r="26" spans="3:137">
      <c r="C26">
        <f t="shared" si="33"/>
        <v>49.38497997475622</v>
      </c>
      <c r="E26" t="s">
        <v>7</v>
      </c>
      <c r="F26">
        <v>5</v>
      </c>
      <c r="G26">
        <v>2</v>
      </c>
      <c r="H26" s="27">
        <v>6.0414700910554702</v>
      </c>
      <c r="I26" s="27">
        <v>49.512047931663901</v>
      </c>
      <c r="J26" s="27">
        <v>44.446481977280598</v>
      </c>
      <c r="K26" s="8">
        <v>1.5596331937191281</v>
      </c>
      <c r="L26" s="34">
        <v>1.6088612381311025</v>
      </c>
      <c r="N26">
        <f t="shared" si="0"/>
        <v>-3.107346121055219E-2</v>
      </c>
      <c r="O26">
        <f t="shared" ref="O26:O27" si="67">AVERAGE(K26:M26)</f>
        <v>1.5842472159251153</v>
      </c>
      <c r="P26" s="7">
        <f t="shared" si="35"/>
        <v>1.5842472159251153</v>
      </c>
      <c r="Q26" s="7">
        <f t="shared" si="66"/>
        <v>1.5842472159251153</v>
      </c>
      <c r="R26" s="8">
        <v>1.336072589976651</v>
      </c>
      <c r="S26" s="38">
        <v>0.47311999999999999</v>
      </c>
      <c r="T26" s="38">
        <v>4.7699999999999999E-2</v>
      </c>
      <c r="U26" s="27">
        <v>0.72011999999999998</v>
      </c>
      <c r="V26" s="27">
        <v>7.7495000000000008E-2</v>
      </c>
      <c r="W26" s="27">
        <f t="shared" si="36"/>
        <v>0.247</v>
      </c>
      <c r="X26" s="27">
        <f t="shared" si="36"/>
        <v>2.9795000000000009E-2</v>
      </c>
      <c r="Y26" s="8">
        <v>0.15149596327370574</v>
      </c>
      <c r="AA26" s="4">
        <v>0.2</v>
      </c>
      <c r="AB26" s="4"/>
      <c r="AC26" s="4">
        <v>3.6900000000000001E-3</v>
      </c>
      <c r="AD26" s="4"/>
      <c r="AE26" s="8">
        <f t="shared" si="37"/>
        <v>4.2094335284503046</v>
      </c>
      <c r="AF26" s="8" t="str">
        <f t="shared" si="38"/>
        <v/>
      </c>
      <c r="AG26" s="8" t="str">
        <f t="shared" si="39"/>
        <v/>
      </c>
      <c r="AH26" s="8" t="str">
        <f t="shared" si="2"/>
        <v/>
      </c>
      <c r="AI26" s="8">
        <f t="shared" si="3"/>
        <v>0.24000705804026182</v>
      </c>
      <c r="AJ26" s="8" t="str">
        <f t="shared" si="4"/>
        <v/>
      </c>
      <c r="AK26" s="8" t="str">
        <f t="shared" si="40"/>
        <v/>
      </c>
      <c r="AL26" s="27">
        <v>0.15716143414452893</v>
      </c>
      <c r="AM26" s="27">
        <v>0.158</v>
      </c>
      <c r="AN26" s="27">
        <v>0.27191811303960822</v>
      </c>
      <c r="AO26" s="27">
        <v>1.3066281193881972</v>
      </c>
      <c r="AP26" s="27">
        <v>1.3895999999999999</v>
      </c>
      <c r="AQ26" s="27">
        <v>2.5491358848835484</v>
      </c>
      <c r="AR26" s="27">
        <v>1.5018991114000864</v>
      </c>
      <c r="AS26" s="27">
        <v>1.5589575</v>
      </c>
      <c r="AT26" s="27">
        <v>2.7839107699154426</v>
      </c>
      <c r="AU26">
        <f t="shared" si="41"/>
        <v>0.11475667889507929</v>
      </c>
      <c r="AV26">
        <f t="shared" si="42"/>
        <v>0.11391811303960822</v>
      </c>
      <c r="AW26">
        <f t="shared" si="43"/>
        <v>1.2425077654953511</v>
      </c>
      <c r="AX26">
        <f t="shared" si="44"/>
        <v>1.1595358848835484</v>
      </c>
      <c r="AY26">
        <f t="shared" si="45"/>
        <v>1.2820116585153563</v>
      </c>
      <c r="AZ26">
        <f t="shared" si="46"/>
        <v>1.2249532699154426</v>
      </c>
      <c r="BA26">
        <f t="shared" si="5"/>
        <v>0.4021708619150508</v>
      </c>
      <c r="BB26">
        <f t="shared" si="6"/>
        <v>0.49582166415975437</v>
      </c>
      <c r="BC26">
        <f t="shared" si="7"/>
        <v>0.37885727682328552</v>
      </c>
      <c r="BD26">
        <f t="shared" si="8"/>
        <v>0.40833665363395255</v>
      </c>
      <c r="BE26">
        <f t="shared" si="9"/>
        <v>0.26721107268585298</v>
      </c>
      <c r="BF26">
        <f t="shared" si="10"/>
        <v>0.25216108998911435</v>
      </c>
      <c r="BG26">
        <f t="shared" si="47"/>
        <v>0.11164620413743254</v>
      </c>
      <c r="BH26">
        <f t="shared" si="48"/>
        <v>0.1561755636448382</v>
      </c>
      <c r="BI26" s="10">
        <f t="shared" si="62"/>
        <v>1.2909531024661418E-3</v>
      </c>
      <c r="BJ26">
        <f t="shared" si="49"/>
        <v>3.5859808401837272E-3</v>
      </c>
      <c r="BK26">
        <f t="shared" si="12"/>
        <v>2.3313585091765288E-2</v>
      </c>
      <c r="BL26">
        <f t="shared" si="13"/>
        <v>179.84679985351198</v>
      </c>
      <c r="BM26">
        <f t="shared" si="14"/>
        <v>87.534164795137585</v>
      </c>
      <c r="BN26" s="10">
        <f t="shared" si="15"/>
        <v>0.12746385727464185</v>
      </c>
      <c r="BO26" s="10">
        <f t="shared" si="16"/>
        <v>0.19313053745497044</v>
      </c>
      <c r="BP26" s="10">
        <f t="shared" si="17"/>
        <v>8.9033740097509917E-2</v>
      </c>
      <c r="BQ26" s="10">
        <f t="shared" si="18"/>
        <v>0.10886969327378276</v>
      </c>
      <c r="BR26">
        <f t="shared" si="63"/>
        <v>4.7071895470206133E-2</v>
      </c>
      <c r="BS26">
        <f t="shared" si="64"/>
        <v>-7.5821070911027455</v>
      </c>
      <c r="BT26">
        <f t="shared" si="50"/>
        <v>0.25</v>
      </c>
      <c r="BU26">
        <f t="shared" si="51"/>
        <v>0.42</v>
      </c>
      <c r="BV26">
        <f t="shared" si="52"/>
        <v>0.16999999999999998</v>
      </c>
      <c r="BW26">
        <f t="shared" si="21"/>
        <v>0.25</v>
      </c>
      <c r="BX26">
        <f t="shared" si="22"/>
        <v>0.36</v>
      </c>
      <c r="BY26">
        <f t="shared" si="53"/>
        <v>0.11</v>
      </c>
      <c r="BZ26">
        <f t="shared" si="23"/>
        <v>0.19876220353781174</v>
      </c>
      <c r="CA26">
        <f t="shared" si="24"/>
        <v>0.37217086191505078</v>
      </c>
      <c r="CB26">
        <f t="shared" si="54"/>
        <v>0.17340865837723904</v>
      </c>
      <c r="CC26">
        <f t="shared" si="25"/>
        <v>0.18</v>
      </c>
      <c r="CD26">
        <f t="shared" si="26"/>
        <v>0.3</v>
      </c>
      <c r="CE26">
        <f t="shared" si="55"/>
        <v>0.12</v>
      </c>
      <c r="CF26">
        <f t="shared" si="27"/>
        <v>0.14113605539257837</v>
      </c>
      <c r="CG26">
        <f t="shared" si="28"/>
        <v>0.32695422008413938</v>
      </c>
      <c r="CH26">
        <f t="shared" si="56"/>
        <v>0.18581816469156101</v>
      </c>
      <c r="CI26">
        <v>4</v>
      </c>
      <c r="CJ26">
        <f t="shared" si="57"/>
        <v>121.92</v>
      </c>
      <c r="CK26">
        <v>5</v>
      </c>
      <c r="CL26">
        <f t="shared" si="58"/>
        <v>152.4</v>
      </c>
      <c r="CM26">
        <f t="shared" si="59"/>
        <v>15.61815684677445</v>
      </c>
      <c r="CN26">
        <f t="shared" si="29"/>
        <v>21.412162405400867</v>
      </c>
      <c r="CO26">
        <f t="shared" si="30"/>
        <v>19.522696058468064</v>
      </c>
      <c r="CP26">
        <f t="shared" si="31"/>
        <v>26.765203006751083</v>
      </c>
      <c r="CQ26">
        <v>0.1523173624708139</v>
      </c>
      <c r="CR26">
        <v>0.121373412510752</v>
      </c>
      <c r="CS26">
        <v>0.20003814584988339</v>
      </c>
      <c r="CT26">
        <v>9.9999999999999992E-2</v>
      </c>
      <c r="CU26">
        <v>75</v>
      </c>
      <c r="CV26">
        <f t="shared" si="32"/>
        <v>18.939588781211611</v>
      </c>
      <c r="CX26" s="4"/>
      <c r="DC26">
        <f t="shared" si="60"/>
        <v>0</v>
      </c>
      <c r="EF26" s="4">
        <v>19.811999999999998</v>
      </c>
      <c r="EG26" s="4">
        <v>0.12612599999999999</v>
      </c>
    </row>
    <row r="27" spans="3:137">
      <c r="C27">
        <f t="shared" si="33"/>
        <v>43.968975013040904</v>
      </c>
      <c r="E27" t="s">
        <v>7</v>
      </c>
      <c r="F27">
        <v>5</v>
      </c>
      <c r="G27">
        <v>3</v>
      </c>
      <c r="H27" s="27">
        <v>9.3445513827911793</v>
      </c>
      <c r="I27" s="27">
        <v>51.083371105471997</v>
      </c>
      <c r="J27" s="27">
        <v>39.572077511736815</v>
      </c>
      <c r="K27" s="8">
        <v>1.59007049211417</v>
      </c>
      <c r="L27" s="34"/>
      <c r="N27" t="str">
        <f t="shared" si="0"/>
        <v/>
      </c>
      <c r="O27">
        <f t="shared" si="67"/>
        <v>1.59007049211417</v>
      </c>
      <c r="P27" s="7">
        <f t="shared" si="35"/>
        <v>1.59007049211417</v>
      </c>
      <c r="Q27" s="7">
        <f t="shared" si="66"/>
        <v>1.59007049211417</v>
      </c>
      <c r="R27" s="8">
        <v>1.3352252372703746</v>
      </c>
      <c r="S27" s="38">
        <v>0.30234</v>
      </c>
      <c r="T27" s="38">
        <v>4.1770000000000002E-2</v>
      </c>
      <c r="U27" s="27">
        <v>0.33701999999999999</v>
      </c>
      <c r="V27" s="27">
        <v>4.6530000000000002E-2</v>
      </c>
      <c r="W27" s="27">
        <f t="shared" si="36"/>
        <v>3.4679999999999989E-2</v>
      </c>
      <c r="X27" s="27">
        <f t="shared" si="36"/>
        <v>4.7600000000000003E-3</v>
      </c>
      <c r="Z27" s="8">
        <v>0.24268617021276587</v>
      </c>
      <c r="AA27" s="4"/>
      <c r="AB27" s="4">
        <v>0.93</v>
      </c>
      <c r="AC27" s="4"/>
      <c r="AD27" s="4">
        <v>0</v>
      </c>
      <c r="AE27" s="8" t="str">
        <f t="shared" si="37"/>
        <v/>
      </c>
      <c r="AF27" s="8">
        <f t="shared" si="38"/>
        <v>20.817538053548589</v>
      </c>
      <c r="AG27" s="8" t="str">
        <f t="shared" si="39"/>
        <v/>
      </c>
      <c r="AH27" s="8" t="str">
        <f t="shared" si="2"/>
        <v/>
      </c>
      <c r="AI27" s="8" t="str">
        <f t="shared" si="3"/>
        <v/>
      </c>
      <c r="AJ27" s="8">
        <f t="shared" si="4"/>
        <v>0.38588811809951584</v>
      </c>
      <c r="AK27" s="8" t="str">
        <f t="shared" si="40"/>
        <v/>
      </c>
      <c r="AL27" s="27">
        <v>0.17486105173150901</v>
      </c>
      <c r="AM27" s="27">
        <v>0.15123352483947286</v>
      </c>
      <c r="AN27" s="27">
        <v>0.25224856909239551</v>
      </c>
      <c r="AO27" s="27">
        <v>0.71470713980333456</v>
      </c>
      <c r="AP27" s="27">
        <v>2.8972710375126733</v>
      </c>
      <c r="AQ27" s="27">
        <v>2.9427841373671288</v>
      </c>
      <c r="AR27" s="27">
        <v>0.84198375374091472</v>
      </c>
      <c r="AS27" s="27">
        <v>2.9553123943899968</v>
      </c>
      <c r="AT27" s="27">
        <v>3.3779405151267361</v>
      </c>
      <c r="AU27">
        <f t="shared" si="41"/>
        <v>7.7387517360886504E-2</v>
      </c>
      <c r="AV27">
        <f t="shared" si="42"/>
        <v>0.10101504425292265</v>
      </c>
      <c r="AW27">
        <f t="shared" si="43"/>
        <v>2.2280769975637944</v>
      </c>
      <c r="AX27">
        <f t="shared" si="44"/>
        <v>4.5513099854455508E-2</v>
      </c>
      <c r="AY27">
        <f t="shared" si="45"/>
        <v>2.5359567613858216</v>
      </c>
      <c r="AZ27">
        <f t="shared" si="46"/>
        <v>0.42262812073673928</v>
      </c>
      <c r="BA27">
        <f t="shared" si="5"/>
        <v>0.39997339920219999</v>
      </c>
      <c r="BB27">
        <f t="shared" si="6"/>
        <v>0.49614141989797189</v>
      </c>
      <c r="BC27">
        <f t="shared" si="7"/>
        <v>0.36433052720101955</v>
      </c>
      <c r="BD27">
        <f t="shared" si="8"/>
        <v>0.38726455493726802</v>
      </c>
      <c r="BE27">
        <f t="shared" si="9"/>
        <v>0.24047238801698803</v>
      </c>
      <c r="BF27">
        <f t="shared" si="10"/>
        <v>0.22838529524335699</v>
      </c>
      <c r="BG27">
        <f t="shared" si="47"/>
        <v>0.12385813918403152</v>
      </c>
      <c r="BH27">
        <f t="shared" si="48"/>
        <v>0.15887925969391103</v>
      </c>
      <c r="BI27" s="10">
        <f t="shared" si="62"/>
        <v>3.0259182165008939E-3</v>
      </c>
      <c r="BJ27">
        <f t="shared" si="49"/>
        <v>8.4053283791691493E-3</v>
      </c>
      <c r="BK27">
        <f t="shared" si="12"/>
        <v>3.5642872001180437E-2</v>
      </c>
      <c r="BL27">
        <f t="shared" si="13"/>
        <v>152.09783183457503</v>
      </c>
      <c r="BM27">
        <f t="shared" si="14"/>
        <v>73.815664486964053</v>
      </c>
      <c r="BN27" s="10">
        <f t="shared" si="15"/>
        <v>0.1584839016488524</v>
      </c>
      <c r="BO27" s="10">
        <f t="shared" si="16"/>
        <v>0.21908547603310569</v>
      </c>
      <c r="BP27" s="10">
        <f t="shared" si="17"/>
        <v>9.1433589017325151E-2</v>
      </c>
      <c r="BQ27" s="10">
        <f t="shared" si="18"/>
        <v>0.10687616571464255</v>
      </c>
      <c r="BR27">
        <f t="shared" si="63"/>
        <v>6.0150095219782443E-2</v>
      </c>
      <c r="BS27">
        <f t="shared" si="64"/>
        <v>-6.7367956842773342</v>
      </c>
      <c r="BT27">
        <f t="shared" si="50"/>
        <v>0.22</v>
      </c>
      <c r="BU27">
        <f t="shared" si="51"/>
        <v>0.39</v>
      </c>
      <c r="BV27">
        <f t="shared" si="52"/>
        <v>0.17</v>
      </c>
      <c r="BW27">
        <f t="shared" si="21"/>
        <v>0.25</v>
      </c>
      <c r="BX27">
        <f t="shared" si="22"/>
        <v>0.36</v>
      </c>
      <c r="BY27">
        <f t="shared" si="53"/>
        <v>0.11</v>
      </c>
      <c r="BZ27">
        <f t="shared" si="23"/>
        <v>0.20011436826891024</v>
      </c>
      <c r="CA27">
        <f t="shared" si="24"/>
        <v>0.36997339920219996</v>
      </c>
      <c r="CB27">
        <f t="shared" si="54"/>
        <v>0.16985903093328972</v>
      </c>
      <c r="CC27">
        <f t="shared" si="25"/>
        <v>0.18</v>
      </c>
      <c r="CD27">
        <f t="shared" si="26"/>
        <v>0.3</v>
      </c>
      <c r="CE27">
        <f t="shared" si="55"/>
        <v>0.12</v>
      </c>
      <c r="CF27">
        <f t="shared" si="27"/>
        <v>0.14093930009418096</v>
      </c>
      <c r="CG27">
        <f t="shared" si="28"/>
        <v>0.32674153455486399</v>
      </c>
      <c r="CH27">
        <f t="shared" si="56"/>
        <v>0.18580223446068303</v>
      </c>
      <c r="CI27">
        <v>4</v>
      </c>
      <c r="CJ27">
        <f t="shared" si="57"/>
        <v>121.92</v>
      </c>
      <c r="CK27">
        <v>5</v>
      </c>
      <c r="CL27">
        <f t="shared" si="58"/>
        <v>152.4</v>
      </c>
      <c r="CM27">
        <f t="shared" si="59"/>
        <v>15.61815684677445</v>
      </c>
      <c r="CN27">
        <f t="shared" si="29"/>
        <v>21.412162405400867</v>
      </c>
      <c r="CO27">
        <f t="shared" si="30"/>
        <v>19.522696058468064</v>
      </c>
      <c r="CP27">
        <f t="shared" si="31"/>
        <v>26.765203006751083</v>
      </c>
      <c r="CQ27" t="e">
        <v>#N/A</v>
      </c>
      <c r="CR27" t="e">
        <v>#N/A</v>
      </c>
      <c r="CS27" t="e">
        <v>#N/A</v>
      </c>
      <c r="CU27">
        <v>75</v>
      </c>
      <c r="CV27">
        <f t="shared" si="32"/>
        <v>18.939588781211611</v>
      </c>
      <c r="CX27" s="4"/>
      <c r="DC27">
        <f t="shared" si="60"/>
        <v>0</v>
      </c>
      <c r="EF27" s="4">
        <v>24.002999999999997</v>
      </c>
      <c r="EG27" s="4">
        <v>5.2173999999999998E-2</v>
      </c>
    </row>
    <row r="28" spans="3:137">
      <c r="C28">
        <f t="shared" si="33"/>
        <v>32.685664034740448</v>
      </c>
      <c r="E28" t="s">
        <v>7</v>
      </c>
      <c r="F28">
        <v>5</v>
      </c>
      <c r="G28">
        <v>4</v>
      </c>
      <c r="H28" s="27">
        <v>8.2129775766058799</v>
      </c>
      <c r="I28" s="27">
        <v>62.369924792127698</v>
      </c>
      <c r="J28" s="27">
        <v>29.417097631266401</v>
      </c>
      <c r="K28" s="8">
        <v>1.4798599276670144</v>
      </c>
      <c r="L28" s="34"/>
      <c r="N28" t="str">
        <f t="shared" si="0"/>
        <v/>
      </c>
      <c r="P28" s="7">
        <f t="shared" si="35"/>
        <v>1.4798599276670144</v>
      </c>
      <c r="Q28" s="7">
        <f t="shared" si="66"/>
        <v>1.4798599276670144</v>
      </c>
      <c r="S28" s="38">
        <v>0.38912999999999998</v>
      </c>
      <c r="T28" s="38">
        <v>2.9420000000000002E-2</v>
      </c>
      <c r="U28" s="27"/>
      <c r="V28" s="27"/>
      <c r="W28" s="27" t="str">
        <f t="shared" si="36"/>
        <v/>
      </c>
      <c r="X28" s="27" t="str">
        <f t="shared" si="36"/>
        <v/>
      </c>
      <c r="AA28" s="4"/>
      <c r="AB28" s="4"/>
      <c r="AC28" s="4"/>
      <c r="AD28" s="4"/>
      <c r="AE28" s="8" t="str">
        <f t="shared" si="37"/>
        <v/>
      </c>
      <c r="AF28" s="8" t="str">
        <f t="shared" si="38"/>
        <v/>
      </c>
      <c r="AG28" s="8" t="str">
        <f t="shared" si="39"/>
        <v/>
      </c>
      <c r="AH28" s="8" t="str">
        <f t="shared" si="2"/>
        <v/>
      </c>
      <c r="AI28" s="8" t="str">
        <f t="shared" si="3"/>
        <v/>
      </c>
      <c r="AJ28" s="8" t="str">
        <f t="shared" si="4"/>
        <v/>
      </c>
      <c r="AK28" s="8" t="str">
        <f t="shared" si="40"/>
        <v/>
      </c>
      <c r="AL28" s="27">
        <v>0.18496071829405183</v>
      </c>
      <c r="AM28" s="27"/>
      <c r="AO28" s="27">
        <v>0.54804433221099891</v>
      </c>
      <c r="AR28" s="27">
        <v>0.54804433221099891</v>
      </c>
      <c r="AU28" t="str">
        <f t="shared" si="41"/>
        <v/>
      </c>
      <c r="AV28" t="str">
        <f t="shared" si="42"/>
        <v/>
      </c>
      <c r="AW28" t="str">
        <f t="shared" si="43"/>
        <v/>
      </c>
      <c r="AX28" t="str">
        <f t="shared" si="44"/>
        <v/>
      </c>
      <c r="AY28" t="str">
        <f t="shared" si="45"/>
        <v/>
      </c>
      <c r="AZ28" t="str">
        <f t="shared" si="46"/>
        <v/>
      </c>
      <c r="BA28">
        <f t="shared" si="5"/>
        <v>0.44156229144640968</v>
      </c>
      <c r="BB28" t="str">
        <f t="shared" si="6"/>
        <v/>
      </c>
      <c r="BC28">
        <f t="shared" si="7"/>
        <v>0.34409060000246927</v>
      </c>
      <c r="BD28" t="str">
        <f t="shared" si="8"/>
        <v/>
      </c>
      <c r="BE28">
        <f t="shared" si="9"/>
        <v>0.18758786598048155</v>
      </c>
      <c r="BF28" t="str">
        <f t="shared" si="10"/>
        <v/>
      </c>
      <c r="BG28">
        <f t="shared" si="47"/>
        <v>0.15650273402198772</v>
      </c>
      <c r="BH28" t="str">
        <f t="shared" si="48"/>
        <v/>
      </c>
      <c r="BI28" s="10">
        <f t="shared" si="62"/>
        <v>3.0247994071875617E-2</v>
      </c>
      <c r="BJ28">
        <f t="shared" si="49"/>
        <v>8.4022205755210036E-2</v>
      </c>
      <c r="BK28">
        <f t="shared" si="12"/>
        <v>9.7471691443940411E-2</v>
      </c>
      <c r="BL28">
        <f t="shared" si="13"/>
        <v>89.943414867374457</v>
      </c>
      <c r="BM28" t="str">
        <f t="shared" si="14"/>
        <v/>
      </c>
      <c r="BN28" s="10">
        <f t="shared" si="15"/>
        <v>0.24880562874151899</v>
      </c>
      <c r="BO28" s="10" t="str">
        <f t="shared" si="16"/>
        <v/>
      </c>
      <c r="BP28" s="10">
        <f t="shared" si="17"/>
        <v>8.8830919148861737E-2</v>
      </c>
      <c r="BQ28" s="10" t="str">
        <f t="shared" si="18"/>
        <v/>
      </c>
      <c r="BR28">
        <f t="shared" si="63"/>
        <v>0.13370820967953631</v>
      </c>
      <c r="BS28">
        <f t="shared" si="64"/>
        <v>-5.130243724646383</v>
      </c>
      <c r="BT28">
        <f t="shared" si="50"/>
        <v>0.16</v>
      </c>
      <c r="BU28">
        <f t="shared" si="51"/>
        <v>0.34</v>
      </c>
      <c r="BV28">
        <f t="shared" si="52"/>
        <v>0.18000000000000002</v>
      </c>
      <c r="BW28">
        <f t="shared" si="21"/>
        <v>0.22</v>
      </c>
      <c r="BX28">
        <f t="shared" si="22"/>
        <v>0.33</v>
      </c>
      <c r="BY28">
        <f t="shared" si="53"/>
        <v>0.11</v>
      </c>
      <c r="BZ28">
        <f t="shared" si="23"/>
        <v>0.17452347520428071</v>
      </c>
      <c r="CA28">
        <f t="shared" si="24"/>
        <v>0.3630448418444206</v>
      </c>
      <c r="CB28">
        <f t="shared" si="54"/>
        <v>0.18852136664013988</v>
      </c>
      <c r="CC28" t="str">
        <f t="shared" si="25"/>
        <v/>
      </c>
      <c r="CD28" t="str">
        <f t="shared" si="26"/>
        <v/>
      </c>
      <c r="CE28" t="str">
        <f t="shared" si="55"/>
        <v/>
      </c>
      <c r="CF28" t="str">
        <f t="shared" si="27"/>
        <v/>
      </c>
      <c r="CG28" t="str">
        <f t="shared" si="28"/>
        <v/>
      </c>
      <c r="CH28" t="str">
        <f t="shared" si="56"/>
        <v/>
      </c>
      <c r="CI28">
        <v>4</v>
      </c>
      <c r="CJ28">
        <f t="shared" si="57"/>
        <v>121.92</v>
      </c>
      <c r="CK28">
        <v>5</v>
      </c>
      <c r="CL28">
        <f t="shared" si="58"/>
        <v>152.4</v>
      </c>
      <c r="CM28">
        <f t="shared" si="59"/>
        <v>15.61815684677445</v>
      </c>
      <c r="CN28">
        <f t="shared" si="29"/>
        <v>21.412162405400867</v>
      </c>
      <c r="CO28">
        <f t="shared" si="30"/>
        <v>19.522696058468064</v>
      </c>
      <c r="CP28">
        <f t="shared" si="31"/>
        <v>26.765203006751083</v>
      </c>
      <c r="CQ28" t="e">
        <v>#N/A</v>
      </c>
      <c r="CR28" t="e">
        <v>#N/A</v>
      </c>
      <c r="CS28" t="e">
        <v>#N/A</v>
      </c>
      <c r="CU28">
        <v>75</v>
      </c>
      <c r="CV28">
        <f t="shared" si="32"/>
        <v>18.939588781211611</v>
      </c>
      <c r="CX28" s="4"/>
      <c r="DC28">
        <f t="shared" si="60"/>
        <v>0</v>
      </c>
      <c r="EF28" s="4">
        <v>23.164799999999996</v>
      </c>
      <c r="EG28" s="4">
        <v>5.5761999999999999E-2</v>
      </c>
    </row>
    <row r="29" spans="3:137">
      <c r="C29">
        <f t="shared" si="33"/>
        <v>0</v>
      </c>
      <c r="E29" t="s">
        <v>7</v>
      </c>
      <c r="F29">
        <v>5</v>
      </c>
      <c r="G29">
        <v>5</v>
      </c>
      <c r="H29" s="27"/>
      <c r="I29" s="27"/>
      <c r="J29" s="27"/>
      <c r="L29" s="34"/>
      <c r="N29" t="str">
        <f t="shared" si="0"/>
        <v/>
      </c>
      <c r="P29" s="7" t="e">
        <f t="shared" si="35"/>
        <v>#DIV/0!</v>
      </c>
      <c r="S29" s="38"/>
      <c r="T29" s="38"/>
      <c r="U29" s="27"/>
      <c r="V29" s="27"/>
      <c r="W29" s="27" t="str">
        <f t="shared" si="36"/>
        <v/>
      </c>
      <c r="X29" s="27" t="str">
        <f t="shared" si="36"/>
        <v/>
      </c>
      <c r="AA29" s="4"/>
      <c r="AB29" s="4"/>
      <c r="AC29" s="4"/>
      <c r="AD29" s="4"/>
      <c r="AE29" s="8" t="str">
        <f t="shared" si="37"/>
        <v/>
      </c>
      <c r="AF29" s="8" t="str">
        <f t="shared" si="38"/>
        <v/>
      </c>
      <c r="AG29" s="8" t="str">
        <f t="shared" si="39"/>
        <v/>
      </c>
      <c r="AH29" s="8" t="str">
        <f t="shared" si="2"/>
        <v/>
      </c>
      <c r="AI29" s="8" t="str">
        <f t="shared" si="3"/>
        <v/>
      </c>
      <c r="AJ29" s="8" t="str">
        <f t="shared" si="4"/>
        <v/>
      </c>
      <c r="AK29" s="8" t="str">
        <f t="shared" si="40"/>
        <v/>
      </c>
      <c r="AL29" s="27">
        <v>0.1986213939239212</v>
      </c>
      <c r="AM29" s="27"/>
      <c r="AN29" s="27"/>
      <c r="AO29" s="27">
        <v>0.8989660454429409</v>
      </c>
      <c r="AR29" s="27">
        <v>0.8989660454429409</v>
      </c>
      <c r="AU29" t="str">
        <f t="shared" si="41"/>
        <v/>
      </c>
      <c r="AV29" t="str">
        <f t="shared" si="42"/>
        <v/>
      </c>
      <c r="AW29" t="str">
        <f t="shared" si="43"/>
        <v/>
      </c>
      <c r="AX29" t="str">
        <f t="shared" si="44"/>
        <v/>
      </c>
      <c r="AY29" t="str">
        <f t="shared" si="45"/>
        <v/>
      </c>
      <c r="AZ29" t="str">
        <f t="shared" si="46"/>
        <v/>
      </c>
      <c r="BA29" t="str">
        <f t="shared" si="5"/>
        <v/>
      </c>
      <c r="BB29" t="str">
        <f t="shared" si="6"/>
        <v/>
      </c>
      <c r="BC29" t="str">
        <f t="shared" si="7"/>
        <v/>
      </c>
      <c r="BD29" t="str">
        <f t="shared" si="8"/>
        <v/>
      </c>
      <c r="BE29" t="str">
        <f t="shared" si="9"/>
        <v/>
      </c>
      <c r="BF29" t="str">
        <f t="shared" si="10"/>
        <v/>
      </c>
      <c r="BG29" t="str">
        <f t="shared" si="47"/>
        <v/>
      </c>
      <c r="BH29" t="str">
        <f t="shared" si="48"/>
        <v/>
      </c>
      <c r="BI29" s="10"/>
      <c r="BK29" t="str">
        <f t="shared" si="12"/>
        <v/>
      </c>
      <c r="BL29" t="str">
        <f t="shared" si="13"/>
        <v/>
      </c>
      <c r="BM29" t="str">
        <f t="shared" si="14"/>
        <v/>
      </c>
      <c r="BN29" s="10" t="str">
        <f t="shared" si="15"/>
        <v/>
      </c>
      <c r="BO29" s="10" t="str">
        <f t="shared" si="16"/>
        <v/>
      </c>
      <c r="BP29" s="10" t="str">
        <f t="shared" si="17"/>
        <v/>
      </c>
      <c r="BQ29" s="10" t="str">
        <f t="shared" si="18"/>
        <v/>
      </c>
      <c r="BV29" t="str">
        <f t="shared" si="52"/>
        <v/>
      </c>
      <c r="BW29" t="str">
        <f t="shared" si="21"/>
        <v/>
      </c>
      <c r="BX29" t="str">
        <f t="shared" si="22"/>
        <v/>
      </c>
      <c r="BY29" t="str">
        <f t="shared" si="53"/>
        <v/>
      </c>
      <c r="BZ29" t="str">
        <f t="shared" si="23"/>
        <v/>
      </c>
      <c r="CA29" t="str">
        <f t="shared" si="24"/>
        <v/>
      </c>
      <c r="CB29" t="str">
        <f t="shared" si="54"/>
        <v/>
      </c>
      <c r="CC29" t="str">
        <f t="shared" si="25"/>
        <v/>
      </c>
      <c r="CD29" t="str">
        <f t="shared" si="26"/>
        <v/>
      </c>
      <c r="CE29" t="str">
        <f t="shared" si="55"/>
        <v/>
      </c>
      <c r="CF29" t="str">
        <f t="shared" si="27"/>
        <v/>
      </c>
      <c r="CG29" t="str">
        <f t="shared" si="28"/>
        <v/>
      </c>
      <c r="CH29" t="str">
        <f t="shared" si="56"/>
        <v/>
      </c>
      <c r="CI29">
        <v>4</v>
      </c>
      <c r="CJ29">
        <f t="shared" si="57"/>
        <v>121.92</v>
      </c>
      <c r="CK29">
        <v>5</v>
      </c>
      <c r="CL29">
        <f t="shared" si="58"/>
        <v>152.4</v>
      </c>
      <c r="CM29">
        <f t="shared" si="59"/>
        <v>15.61815684677445</v>
      </c>
      <c r="CN29">
        <f t="shared" si="29"/>
        <v>21.412162405400867</v>
      </c>
      <c r="CO29">
        <f t="shared" si="30"/>
        <v>19.522696058468064</v>
      </c>
      <c r="CP29">
        <f t="shared" si="31"/>
        <v>26.765203006751083</v>
      </c>
      <c r="CQ29" t="e">
        <v>#N/A</v>
      </c>
      <c r="CR29" t="e">
        <v>#N/A</v>
      </c>
      <c r="CS29" t="e">
        <v>#N/A</v>
      </c>
      <c r="CU29">
        <v>75</v>
      </c>
      <c r="CV29">
        <f t="shared" si="32"/>
        <v>18.939588781211611</v>
      </c>
      <c r="CX29" s="4"/>
      <c r="DC29">
        <v>0.5</v>
      </c>
      <c r="EF29" s="4">
        <v>15.24</v>
      </c>
      <c r="EG29" s="4">
        <v>6.5789999999999998E-3</v>
      </c>
    </row>
    <row r="30" spans="3:137">
      <c r="C30">
        <f t="shared" si="33"/>
        <v>34.231844310436998</v>
      </c>
      <c r="E30" t="s">
        <v>7</v>
      </c>
      <c r="F30">
        <v>6</v>
      </c>
      <c r="G30">
        <v>1</v>
      </c>
      <c r="H30" s="27">
        <v>8.8914381334584451</v>
      </c>
      <c r="I30" s="27">
        <v>60.299901987148239</v>
      </c>
      <c r="J30" s="27">
        <v>30.8086598793933</v>
      </c>
      <c r="K30" s="8">
        <v>1.4453320469336137</v>
      </c>
      <c r="L30" s="34">
        <v>1.4339263204368131</v>
      </c>
      <c r="M30" s="8">
        <v>1.3788777408346826</v>
      </c>
      <c r="N30">
        <f t="shared" si="0"/>
        <v>7.9226835813399014E-3</v>
      </c>
      <c r="O30">
        <f>AVERAGE(K30:M30)</f>
        <v>1.4193787027350364</v>
      </c>
      <c r="P30" s="7">
        <f t="shared" si="35"/>
        <v>1.4396291836852133</v>
      </c>
      <c r="Q30" s="7">
        <f t="shared" ref="Q30:Q58" si="68">AVERAGE(K30:L30)</f>
        <v>1.4396291836852133</v>
      </c>
      <c r="R30" s="8">
        <v>1.3333279040367558</v>
      </c>
      <c r="S30" s="38">
        <v>1.3279300000000001</v>
      </c>
      <c r="T30" s="38">
        <v>0.11672333333333333</v>
      </c>
      <c r="U30" s="27">
        <v>1.4036</v>
      </c>
      <c r="V30" s="27">
        <v>0.13100000000000001</v>
      </c>
      <c r="W30" s="27">
        <f t="shared" si="36"/>
        <v>7.5669999999999904E-2</v>
      </c>
      <c r="X30" s="27">
        <f t="shared" si="36"/>
        <v>1.4276666666666674E-2</v>
      </c>
      <c r="Y30" s="8">
        <v>0.11231249524099597</v>
      </c>
      <c r="Z30" s="8">
        <v>0.2334928229665072</v>
      </c>
      <c r="AA30" s="4">
        <v>0.13500000000000001</v>
      </c>
      <c r="AB30" s="4">
        <v>1.4</v>
      </c>
      <c r="AC30" s="4">
        <v>3.9300000000000002E-2</v>
      </c>
      <c r="AD30" s="4">
        <v>0.11899999999999999</v>
      </c>
      <c r="AE30" s="8">
        <f t="shared" si="37"/>
        <v>3.1618657069096705</v>
      </c>
      <c r="AF30" s="8">
        <f t="shared" si="38"/>
        <v>30.557204316167116</v>
      </c>
      <c r="AG30" s="8">
        <f t="shared" si="39"/>
        <v>27.395338609257447</v>
      </c>
      <c r="AH30" s="8">
        <f t="shared" si="2"/>
        <v>0.12118032772551122</v>
      </c>
      <c r="AI30" s="8">
        <f t="shared" si="3"/>
        <v>0.16168834584144443</v>
      </c>
      <c r="AJ30" s="8">
        <f t="shared" si="4"/>
        <v>0.33614308212362876</v>
      </c>
      <c r="AK30" s="8">
        <f t="shared" si="40"/>
        <v>0.17445473628218433</v>
      </c>
      <c r="AL30" s="27">
        <v>0.11371428571428598</v>
      </c>
      <c r="AM30" s="27">
        <v>0.1236799713620905</v>
      </c>
      <c r="AN30" s="27">
        <v>0.24397698669543316</v>
      </c>
      <c r="AO30" s="27">
        <v>3.0534333333333339</v>
      </c>
      <c r="AP30" s="27">
        <v>3.7432589045999647</v>
      </c>
      <c r="AQ30" s="27">
        <v>2.4724042610571733</v>
      </c>
      <c r="AR30" s="27">
        <v>3.3443911904761912</v>
      </c>
      <c r="AS30" s="27">
        <v>4.3352977895113662</v>
      </c>
      <c r="AT30" s="27">
        <v>2.8559638319549316</v>
      </c>
      <c r="AU30">
        <f t="shared" si="41"/>
        <v>0.13026270098114717</v>
      </c>
      <c r="AV30">
        <f t="shared" si="42"/>
        <v>0.12029701533334267</v>
      </c>
      <c r="AW30">
        <f t="shared" si="43"/>
        <v>-0.58102907227616063</v>
      </c>
      <c r="AX30">
        <f t="shared" si="44"/>
        <v>-1.2708546435427914</v>
      </c>
      <c r="AY30">
        <f t="shared" si="45"/>
        <v>-0.48842735852125951</v>
      </c>
      <c r="AZ30">
        <f t="shared" si="46"/>
        <v>-1.4793339575564346</v>
      </c>
      <c r="BA30">
        <f t="shared" si="5"/>
        <v>0.45674370426973077</v>
      </c>
      <c r="BB30">
        <f t="shared" si="6"/>
        <v>0.49685739470311097</v>
      </c>
      <c r="BC30">
        <f t="shared" si="7"/>
        <v>0.35070373793577714</v>
      </c>
      <c r="BD30">
        <f t="shared" si="8"/>
        <v>0.35543476626431114</v>
      </c>
      <c r="BE30">
        <f t="shared" si="9"/>
        <v>0.19285561475248578</v>
      </c>
      <c r="BF30">
        <f t="shared" si="10"/>
        <v>0.19044604146762317</v>
      </c>
      <c r="BG30">
        <f t="shared" si="47"/>
        <v>0.15784812318329136</v>
      </c>
      <c r="BH30">
        <f t="shared" si="48"/>
        <v>0.16498872479668797</v>
      </c>
      <c r="BI30" s="10">
        <f t="shared" ref="BI30:BI36" si="69">EXP(19.52348*porosity-8.96847-0.028212*clay+0.00018107*sand^2-0.0094125*clay^2-8.395215*porosity^2+0.077718*sand*porosity-0.00298*sand^2*porosity^2-0.019492*clay^2*porosity^2+0.0000173*sand^2*clay+0.02733*clay^2*porosity+0.001434*sand^2*porosity-0.0000035*clay^2*sand)</f>
        <v>3.7930232806773913E-2</v>
      </c>
      <c r="BJ30">
        <f t="shared" si="49"/>
        <v>0.10536175779659421</v>
      </c>
      <c r="BK30">
        <f t="shared" si="12"/>
        <v>0.10603996633395363</v>
      </c>
      <c r="BL30">
        <f t="shared" si="13"/>
        <v>82.21076935335617</v>
      </c>
      <c r="BM30">
        <f t="shared" si="14"/>
        <v>63.624330911196274</v>
      </c>
      <c r="BN30" s="10">
        <f t="shared" si="15"/>
        <v>0.24753582107646613</v>
      </c>
      <c r="BO30" s="10">
        <f t="shared" si="16"/>
        <v>0.26394434227518027</v>
      </c>
      <c r="BP30" s="10">
        <f t="shared" si="17"/>
        <v>9.2457998095837657E-2</v>
      </c>
      <c r="BQ30" s="10">
        <f t="shared" si="18"/>
        <v>9.5541542429214282E-2</v>
      </c>
      <c r="BR30">
        <f t="shared" ref="BR30:BR36" si="70">100*EXP(-4.396-0.0715*clay-4.88*10^-4*sand^2-4.285*10^-5*sand^2*clay)</f>
        <v>0.11805587965450809</v>
      </c>
      <c r="BS30">
        <f t="shared" ref="BS30:BS36" si="71">-3.14-0.00222*clay^2-3.484*10^-5*sand^2*clay</f>
        <v>-5.3320236491137205</v>
      </c>
      <c r="BT30">
        <f t="shared" si="50"/>
        <v>0.17</v>
      </c>
      <c r="BU30">
        <f t="shared" si="51"/>
        <v>0.35</v>
      </c>
      <c r="BV30">
        <f t="shared" si="52"/>
        <v>0.17999999999999997</v>
      </c>
      <c r="BW30">
        <f t="shared" si="21"/>
        <v>0.21</v>
      </c>
      <c r="BX30">
        <f t="shared" si="22"/>
        <v>0.33</v>
      </c>
      <c r="BY30">
        <f t="shared" si="53"/>
        <v>0.12</v>
      </c>
      <c r="BZ30">
        <f t="shared" si="23"/>
        <v>0.16518189645170653</v>
      </c>
      <c r="CA30">
        <f t="shared" si="24"/>
        <v>0.35294692510498854</v>
      </c>
      <c r="CB30">
        <f t="shared" si="54"/>
        <v>0.18776502865328201</v>
      </c>
      <c r="CC30">
        <f t="shared" si="25"/>
        <v>0.18</v>
      </c>
      <c r="CD30">
        <f t="shared" si="26"/>
        <v>0.3</v>
      </c>
      <c r="CE30">
        <f t="shared" si="55"/>
        <v>0.12</v>
      </c>
      <c r="CF30">
        <f t="shared" si="27"/>
        <v>0.14049873931733467</v>
      </c>
      <c r="CG30">
        <f t="shared" si="28"/>
        <v>0.32626530391322567</v>
      </c>
      <c r="CH30">
        <f t="shared" si="56"/>
        <v>0.185766564595891</v>
      </c>
      <c r="CI30">
        <v>5</v>
      </c>
      <c r="CJ30">
        <f t="shared" si="57"/>
        <v>152.4</v>
      </c>
      <c r="CK30">
        <v>5</v>
      </c>
      <c r="CL30">
        <f t="shared" si="58"/>
        <v>152.4</v>
      </c>
      <c r="CM30">
        <f t="shared" si="59"/>
        <v>23.382427368945692</v>
      </c>
      <c r="CN30">
        <f t="shared" si="29"/>
        <v>28.743658036383028</v>
      </c>
      <c r="CO30">
        <f t="shared" si="30"/>
        <v>23.382427368945692</v>
      </c>
      <c r="CP30">
        <f t="shared" si="31"/>
        <v>28.743658036383028</v>
      </c>
      <c r="CQ30">
        <v>0.1683189966418086</v>
      </c>
      <c r="CR30">
        <v>0.14389551473253395</v>
      </c>
      <c r="CS30">
        <v>0.19274247855108326</v>
      </c>
      <c r="CT30">
        <v>0.10000000000000003</v>
      </c>
      <c r="CU30">
        <v>150</v>
      </c>
      <c r="CV30">
        <f t="shared" si="32"/>
        <v>29.051168611099683</v>
      </c>
      <c r="CX30" s="4"/>
      <c r="DC30">
        <f t="shared" si="60"/>
        <v>0</v>
      </c>
      <c r="EF30" s="4">
        <v>23.774399999999996</v>
      </c>
      <c r="EG30" s="4">
        <v>9.8813999999999999E-2</v>
      </c>
    </row>
    <row r="31" spans="3:137">
      <c r="C31">
        <f t="shared" si="33"/>
        <v>31.407501783522108</v>
      </c>
      <c r="E31" t="s">
        <v>7</v>
      </c>
      <c r="F31">
        <v>6</v>
      </c>
      <c r="G31">
        <v>2</v>
      </c>
      <c r="H31" s="27">
        <v>8.3981827630718904</v>
      </c>
      <c r="I31" s="27">
        <v>63.335065631758198</v>
      </c>
      <c r="J31" s="27">
        <v>28.266751605169897</v>
      </c>
      <c r="K31" s="8">
        <v>1.5395971090361333</v>
      </c>
      <c r="L31" s="34">
        <v>1.4390952896835607</v>
      </c>
      <c r="M31" s="8">
        <v>1.5190791840550386</v>
      </c>
      <c r="N31">
        <f t="shared" si="0"/>
        <v>6.7480495398430845E-2</v>
      </c>
      <c r="O31">
        <f t="shared" ref="O31:O32" si="72">AVERAGE(K31:M31)</f>
        <v>1.4992571942582442</v>
      </c>
      <c r="P31" s="7">
        <f t="shared" si="35"/>
        <v>1.4893461993598471</v>
      </c>
      <c r="Q31" s="7">
        <f t="shared" si="68"/>
        <v>1.4893461993598471</v>
      </c>
      <c r="R31" s="8">
        <v>1.31647295346626</v>
      </c>
      <c r="S31" s="38">
        <v>0.71045999999999998</v>
      </c>
      <c r="T31" s="38">
        <v>7.4050000000000005E-2</v>
      </c>
      <c r="U31" s="27">
        <v>0.54737000000000002</v>
      </c>
      <c r="V31" s="27">
        <v>7.1859999999999993E-2</v>
      </c>
      <c r="W31" s="27">
        <f t="shared" si="36"/>
        <v>-0.16308999999999996</v>
      </c>
      <c r="X31" s="27">
        <f t="shared" si="36"/>
        <v>-2.1900000000000114E-3</v>
      </c>
      <c r="Y31" s="8">
        <v>0.12665847665847668</v>
      </c>
      <c r="Z31" s="8">
        <v>0.23978919631093545</v>
      </c>
      <c r="AA31" s="4">
        <v>8.4099999999999994E-2</v>
      </c>
      <c r="AB31" s="4">
        <v>0.81200000000000006</v>
      </c>
      <c r="AC31" s="4">
        <v>0</v>
      </c>
      <c r="AD31" s="4">
        <v>7.4999999999999997E-2</v>
      </c>
      <c r="AE31" s="8">
        <f t="shared" si="37"/>
        <v>1.5986467944175236</v>
      </c>
      <c r="AF31" s="8">
        <f t="shared" si="38"/>
        <v>18.553921046077747</v>
      </c>
      <c r="AG31" s="8">
        <f t="shared" si="39"/>
        <v>16.955274251660224</v>
      </c>
      <c r="AH31" s="8">
        <f t="shared" si="2"/>
        <v>0.11313071965245877</v>
      </c>
      <c r="AI31" s="8">
        <f t="shared" si="3"/>
        <v>0.18863832082801016</v>
      </c>
      <c r="AJ31" s="8">
        <f t="shared" si="4"/>
        <v>0.35712912817324399</v>
      </c>
      <c r="AK31" s="8">
        <f t="shared" si="40"/>
        <v>0.16849080734523383</v>
      </c>
      <c r="AL31" s="27">
        <v>0.14030703320242771</v>
      </c>
      <c r="AM31" s="27">
        <v>0.13826539773747509</v>
      </c>
      <c r="AN31" s="27">
        <v>0.24173341548572594</v>
      </c>
      <c r="AO31" s="27">
        <v>0.98826609544210398</v>
      </c>
      <c r="AP31" s="27">
        <v>1.3232335248698148</v>
      </c>
      <c r="AQ31" s="27">
        <v>9.8303895392619967E-2</v>
      </c>
      <c r="AR31" s="27">
        <v>1.1013465429013447</v>
      </c>
      <c r="AS31" s="27">
        <v>1.6741986891722029</v>
      </c>
      <c r="AT31" s="27">
        <v>1.4952539878140616</v>
      </c>
      <c r="AU31">
        <f t="shared" si="41"/>
        <v>0.10142638228329823</v>
      </c>
      <c r="AV31">
        <f t="shared" si="42"/>
        <v>0.10346801774825085</v>
      </c>
      <c r="AW31">
        <f t="shared" si="43"/>
        <v>-0.88996220004948401</v>
      </c>
      <c r="AX31">
        <f t="shared" si="44"/>
        <v>-1.2249296294771947</v>
      </c>
      <c r="AY31">
        <f t="shared" si="45"/>
        <v>0.3939074449127169</v>
      </c>
      <c r="AZ31">
        <f t="shared" si="46"/>
        <v>-0.17894470135814133</v>
      </c>
      <c r="BA31">
        <f t="shared" si="5"/>
        <v>0.43798256627930299</v>
      </c>
      <c r="BB31">
        <f t="shared" si="6"/>
        <v>0.50321775340895847</v>
      </c>
      <c r="BC31">
        <f t="shared" si="7"/>
        <v>0.33887491940530934</v>
      </c>
      <c r="BD31">
        <f t="shared" si="8"/>
        <v>0.34734771669239051</v>
      </c>
      <c r="BE31">
        <f t="shared" si="9"/>
        <v>0.18221032424159711</v>
      </c>
      <c r="BF31">
        <f t="shared" si="10"/>
        <v>0.17976618091336505</v>
      </c>
      <c r="BG31">
        <f t="shared" si="47"/>
        <v>0.15666459516371223</v>
      </c>
      <c r="BH31">
        <f t="shared" si="48"/>
        <v>0.16758153577902546</v>
      </c>
      <c r="BI31" s="10">
        <f t="shared" si="69"/>
        <v>3.1559226916971904E-2</v>
      </c>
      <c r="BJ31">
        <f t="shared" si="49"/>
        <v>8.766451921381084E-2</v>
      </c>
      <c r="BK31">
        <f t="shared" si="12"/>
        <v>9.9107646873993649E-2</v>
      </c>
      <c r="BL31">
        <f t="shared" si="13"/>
        <v>89.708975250049861</v>
      </c>
      <c r="BM31">
        <f t="shared" si="14"/>
        <v>59.757865132646906</v>
      </c>
      <c r="BN31" s="10">
        <f t="shared" si="15"/>
        <v>0.25458673519422231</v>
      </c>
      <c r="BO31" s="10">
        <f t="shared" si="16"/>
        <v>0.27808080094141058</v>
      </c>
      <c r="BP31" s="10">
        <f t="shared" si="17"/>
        <v>8.6822242156377266E-2</v>
      </c>
      <c r="BQ31" s="10">
        <f t="shared" si="18"/>
        <v>9.1111995090521841E-2</v>
      </c>
      <c r="BR31">
        <f t="shared" si="70"/>
        <v>0.14489464700594396</v>
      </c>
      <c r="BS31">
        <f t="shared" si="71"/>
        <v>-4.9832589135552343</v>
      </c>
      <c r="BT31">
        <f t="shared" si="50"/>
        <v>0.16</v>
      </c>
      <c r="BU31">
        <f t="shared" si="51"/>
        <v>0.34</v>
      </c>
      <c r="BV31">
        <f t="shared" si="52"/>
        <v>0.18000000000000002</v>
      </c>
      <c r="BW31">
        <f t="shared" si="21"/>
        <v>0.22</v>
      </c>
      <c r="BX31">
        <f t="shared" si="22"/>
        <v>0.34</v>
      </c>
      <c r="BY31">
        <f t="shared" si="53"/>
        <v>0.12</v>
      </c>
      <c r="BZ31">
        <f t="shared" si="23"/>
        <v>0.17672618749135646</v>
      </c>
      <c r="CA31">
        <f t="shared" si="24"/>
        <v>0.36542589603932163</v>
      </c>
      <c r="CB31">
        <f t="shared" si="54"/>
        <v>0.18869970854796517</v>
      </c>
      <c r="CC31">
        <f t="shared" si="25"/>
        <v>0.17</v>
      </c>
      <c r="CD31">
        <f t="shared" si="26"/>
        <v>0.3</v>
      </c>
      <c r="CE31">
        <f t="shared" si="55"/>
        <v>0.12999999999999998</v>
      </c>
      <c r="CF31">
        <f t="shared" si="27"/>
        <v>0.13658501979486556</v>
      </c>
      <c r="CG31">
        <f t="shared" si="28"/>
        <v>0.32203471132003125</v>
      </c>
      <c r="CH31">
        <f t="shared" si="56"/>
        <v>0.18544969152516569</v>
      </c>
      <c r="CI31">
        <v>5</v>
      </c>
      <c r="CJ31">
        <f t="shared" si="57"/>
        <v>152.4</v>
      </c>
      <c r="CK31">
        <v>5</v>
      </c>
      <c r="CL31">
        <f t="shared" si="58"/>
        <v>152.4</v>
      </c>
      <c r="CM31">
        <f t="shared" si="59"/>
        <v>23.382427368945692</v>
      </c>
      <c r="CN31">
        <f t="shared" si="29"/>
        <v>28.743658036383028</v>
      </c>
      <c r="CO31">
        <f t="shared" si="30"/>
        <v>23.382427368945692</v>
      </c>
      <c r="CP31">
        <f t="shared" si="31"/>
        <v>28.743658036383028</v>
      </c>
      <c r="CQ31">
        <v>0.16754991549393605</v>
      </c>
      <c r="CR31">
        <v>0.12223272102830531</v>
      </c>
      <c r="CS31">
        <v>0.16961204533056137</v>
      </c>
      <c r="CT31">
        <v>0.09</v>
      </c>
      <c r="CU31">
        <v>150</v>
      </c>
      <c r="CV31">
        <f t="shared" si="32"/>
        <v>29.051168611099683</v>
      </c>
      <c r="CX31" s="4"/>
      <c r="DC31">
        <f t="shared" si="60"/>
        <v>0</v>
      </c>
      <c r="EF31" s="4">
        <v>25.527000000000001</v>
      </c>
      <c r="EG31" s="4">
        <v>4.4586000000000001E-2</v>
      </c>
    </row>
    <row r="32" spans="3:137">
      <c r="C32">
        <f t="shared" si="33"/>
        <v>35.894918728173216</v>
      </c>
      <c r="E32" t="s">
        <v>7</v>
      </c>
      <c r="F32">
        <v>6</v>
      </c>
      <c r="G32">
        <v>3</v>
      </c>
      <c r="H32" s="27">
        <v>9.5224513214755397</v>
      </c>
      <c r="I32" s="27">
        <v>58.172121823168503</v>
      </c>
      <c r="J32" s="27">
        <v>32.305426855355897</v>
      </c>
      <c r="K32" s="8">
        <v>1.5951536410408387</v>
      </c>
      <c r="L32" s="34">
        <v>1.3886611255419568</v>
      </c>
      <c r="M32" s="8">
        <v>1.4061583172248504</v>
      </c>
      <c r="N32">
        <f t="shared" si="0"/>
        <v>0.13840840109211394</v>
      </c>
      <c r="O32">
        <f t="shared" si="72"/>
        <v>1.4633243612692153</v>
      </c>
      <c r="P32" s="7">
        <f t="shared" si="35"/>
        <v>1.4919073832913976</v>
      </c>
      <c r="Q32" s="7">
        <f t="shared" si="68"/>
        <v>1.4919073832913976</v>
      </c>
      <c r="R32" s="8">
        <v>1.3777955004052551</v>
      </c>
      <c r="S32" s="38">
        <v>0.40893000000000002</v>
      </c>
      <c r="T32" s="38">
        <v>6.1719999999999997E-2</v>
      </c>
      <c r="U32" s="27">
        <v>0.52373000000000003</v>
      </c>
      <c r="V32" s="27">
        <v>6.8029999999999993E-2</v>
      </c>
      <c r="W32" s="27">
        <f t="shared" si="36"/>
        <v>0.11480000000000001</v>
      </c>
      <c r="X32" s="27">
        <f t="shared" si="36"/>
        <v>6.3099999999999962E-3</v>
      </c>
      <c r="Y32" s="8">
        <v>0.14142420146546203</v>
      </c>
      <c r="Z32" s="8">
        <v>0.21691302853214173</v>
      </c>
      <c r="AA32" s="4">
        <v>6.9699999999999998E-2</v>
      </c>
      <c r="AB32" s="4">
        <v>0.51400000000000001</v>
      </c>
      <c r="AC32" s="4">
        <v>9.3799999999999994E-3</v>
      </c>
      <c r="AD32" s="4">
        <v>8.1600000000000006E-2</v>
      </c>
      <c r="AE32" s="8">
        <f t="shared" si="37"/>
        <v>1.5255420246457525</v>
      </c>
      <c r="AF32" s="8">
        <f t="shared" si="38"/>
        <v>12.249677876334879</v>
      </c>
      <c r="AG32" s="8">
        <f t="shared" si="39"/>
        <v>10.724135851689127</v>
      </c>
      <c r="AH32" s="8">
        <f t="shared" si="2"/>
        <v>7.5488827066679698E-2</v>
      </c>
      <c r="AI32" s="8">
        <f t="shared" si="3"/>
        <v>0.21099181034241291</v>
      </c>
      <c r="AJ32" s="8">
        <f t="shared" si="4"/>
        <v>0.32361414879919981</v>
      </c>
      <c r="AK32" s="8">
        <f t="shared" si="40"/>
        <v>0.1126223384567869</v>
      </c>
      <c r="AL32" s="27">
        <v>0.16409888928699412</v>
      </c>
      <c r="AM32" s="27">
        <v>0.12975348748327931</v>
      </c>
      <c r="AN32" s="27">
        <v>0.22197445773363039</v>
      </c>
      <c r="AO32" s="27">
        <v>1.2756583661769978</v>
      </c>
      <c r="AP32" s="27">
        <v>0.68726670488566155</v>
      </c>
      <c r="AQ32" s="27">
        <v>2.3013852287316707</v>
      </c>
      <c r="AR32" s="27">
        <v>1.6258581153708351</v>
      </c>
      <c r="AS32" s="27">
        <v>1.1048047646346904</v>
      </c>
      <c r="AT32" s="27">
        <v>3.2127745117913369</v>
      </c>
      <c r="AU32">
        <f t="shared" si="41"/>
        <v>5.7875568446636272E-2</v>
      </c>
      <c r="AV32">
        <f t="shared" si="42"/>
        <v>9.2220970250351086E-2</v>
      </c>
      <c r="AW32">
        <f t="shared" si="43"/>
        <v>1.0257268625546729</v>
      </c>
      <c r="AX32">
        <f t="shared" si="44"/>
        <v>1.6141185238460092</v>
      </c>
      <c r="AY32">
        <f t="shared" si="45"/>
        <v>1.5869163964205018</v>
      </c>
      <c r="AZ32">
        <f t="shared" si="46"/>
        <v>2.1079697471566465</v>
      </c>
      <c r="BA32">
        <f t="shared" si="5"/>
        <v>0.43701608177683104</v>
      </c>
      <c r="BB32">
        <f t="shared" si="6"/>
        <v>0.48007716965839431</v>
      </c>
      <c r="BC32">
        <f t="shared" si="7"/>
        <v>0.35198337386142464</v>
      </c>
      <c r="BD32">
        <f t="shared" si="8"/>
        <v>0.35836001608080059</v>
      </c>
      <c r="BE32">
        <f t="shared" si="9"/>
        <v>0.20079809262883122</v>
      </c>
      <c r="BF32">
        <f t="shared" si="10"/>
        <v>0.19768754680674971</v>
      </c>
      <c r="BG32">
        <f t="shared" si="47"/>
        <v>0.15118528123259342</v>
      </c>
      <c r="BH32">
        <f t="shared" si="48"/>
        <v>0.16067246927405088</v>
      </c>
      <c r="BI32" s="10">
        <f t="shared" si="69"/>
        <v>2.1629950245794088E-2</v>
      </c>
      <c r="BJ32">
        <f t="shared" si="49"/>
        <v>6.00831951272058E-2</v>
      </c>
      <c r="BK32">
        <f t="shared" si="12"/>
        <v>8.5032707915406402E-2</v>
      </c>
      <c r="BL32">
        <f t="shared" si="13"/>
        <v>95.766011656885425</v>
      </c>
      <c r="BM32">
        <f t="shared" si="14"/>
        <v>71.417279947680072</v>
      </c>
      <c r="BN32" s="10">
        <f t="shared" si="15"/>
        <v>0.22930565198362007</v>
      </c>
      <c r="BO32" s="10">
        <f t="shared" si="16"/>
        <v>0.24968773031538347</v>
      </c>
      <c r="BP32" s="10">
        <f t="shared" si="17"/>
        <v>9.2757695549155028E-2</v>
      </c>
      <c r="BQ32" s="10">
        <f t="shared" si="18"/>
        <v>9.6854029426008778E-2</v>
      </c>
      <c r="BR32">
        <f t="shared" si="70"/>
        <v>0.10326658817743012</v>
      </c>
      <c r="BS32">
        <f t="shared" si="71"/>
        <v>-5.5589411048814981</v>
      </c>
      <c r="BT32">
        <f t="shared" si="50"/>
        <v>0.18</v>
      </c>
      <c r="BU32">
        <f t="shared" si="51"/>
        <v>0.35</v>
      </c>
      <c r="BV32">
        <f t="shared" si="52"/>
        <v>0.16999999999999998</v>
      </c>
      <c r="BW32">
        <f t="shared" si="21"/>
        <v>0.22</v>
      </c>
      <c r="BX32">
        <f t="shared" si="22"/>
        <v>0.34</v>
      </c>
      <c r="BY32">
        <f t="shared" si="53"/>
        <v>0.12</v>
      </c>
      <c r="BZ32">
        <f t="shared" si="23"/>
        <v>0.17732089440026252</v>
      </c>
      <c r="CA32">
        <f t="shared" si="24"/>
        <v>0.3660687532061408</v>
      </c>
      <c r="CB32">
        <f t="shared" si="54"/>
        <v>0.18874785880587827</v>
      </c>
      <c r="CC32">
        <f t="shared" si="25"/>
        <v>0.19</v>
      </c>
      <c r="CD32">
        <f t="shared" si="26"/>
        <v>0.31</v>
      </c>
      <c r="CE32">
        <f t="shared" si="55"/>
        <v>0.12</v>
      </c>
      <c r="CF32">
        <f t="shared" si="27"/>
        <v>0.15082411519410024</v>
      </c>
      <c r="CG32">
        <f t="shared" si="28"/>
        <v>0.33742667060171899</v>
      </c>
      <c r="CH32">
        <f t="shared" si="56"/>
        <v>0.18660255540761875</v>
      </c>
      <c r="CI32">
        <v>5</v>
      </c>
      <c r="CJ32">
        <f t="shared" si="57"/>
        <v>152.4</v>
      </c>
      <c r="CK32">
        <v>5</v>
      </c>
      <c r="CL32">
        <f t="shared" si="58"/>
        <v>152.4</v>
      </c>
      <c r="CM32">
        <f t="shared" si="59"/>
        <v>23.382427368945692</v>
      </c>
      <c r="CN32">
        <f t="shared" si="29"/>
        <v>28.743658036383028</v>
      </c>
      <c r="CO32">
        <f t="shared" si="30"/>
        <v>23.382427368945692</v>
      </c>
      <c r="CP32">
        <f t="shared" si="31"/>
        <v>28.743658036383028</v>
      </c>
      <c r="CQ32">
        <v>0.14168800634107354</v>
      </c>
      <c r="CR32">
        <v>9.3557167210593248E-2</v>
      </c>
      <c r="CS32">
        <v>0.14253101912771296</v>
      </c>
      <c r="CT32">
        <v>7.9999999999999988E-2</v>
      </c>
      <c r="CU32">
        <v>150</v>
      </c>
      <c r="CV32">
        <f t="shared" si="32"/>
        <v>29.051168611099683</v>
      </c>
      <c r="CX32" s="4"/>
      <c r="DC32">
        <f t="shared" si="60"/>
        <v>0</v>
      </c>
      <c r="EF32" s="4">
        <v>21.640799999999999</v>
      </c>
      <c r="EG32" s="4">
        <v>-6.0239999999999998E-3</v>
      </c>
    </row>
    <row r="33" spans="3:137">
      <c r="C33">
        <f t="shared" si="33"/>
        <v>35.647696924643668</v>
      </c>
      <c r="E33" t="s">
        <v>7</v>
      </c>
      <c r="F33">
        <v>6</v>
      </c>
      <c r="G33">
        <v>4</v>
      </c>
      <c r="H33" s="27">
        <v>9.5376228628066801</v>
      </c>
      <c r="I33" s="27">
        <v>58.379449905014098</v>
      </c>
      <c r="J33" s="27">
        <v>32.082927232179301</v>
      </c>
      <c r="K33" s="8">
        <v>1.5874750599259757</v>
      </c>
      <c r="L33" s="34">
        <v>1.4563197927061851</v>
      </c>
      <c r="N33">
        <f t="shared" si="0"/>
        <v>8.6178782453996502E-2</v>
      </c>
      <c r="P33" s="7">
        <f t="shared" si="35"/>
        <v>1.5218974263160803</v>
      </c>
      <c r="Q33" s="7">
        <f t="shared" si="68"/>
        <v>1.5218974263160803</v>
      </c>
      <c r="S33" s="38">
        <v>0.34666999999999998</v>
      </c>
      <c r="T33" s="38">
        <v>4.2349999999999999E-2</v>
      </c>
      <c r="U33" s="27">
        <v>0.46289000000000002</v>
      </c>
      <c r="V33" s="27">
        <v>6.6489999999999994E-2</v>
      </c>
      <c r="W33" s="27">
        <f t="shared" si="36"/>
        <v>0.11622000000000005</v>
      </c>
      <c r="X33" s="27">
        <f t="shared" si="36"/>
        <v>2.4139999999999995E-2</v>
      </c>
      <c r="Y33" s="8">
        <v>0.1489041854577102</v>
      </c>
      <c r="AA33" s="4">
        <v>0.128</v>
      </c>
      <c r="AB33" s="4"/>
      <c r="AC33" s="4">
        <v>9.8600000000000007E-3</v>
      </c>
      <c r="AD33" s="4"/>
      <c r="AE33" s="8">
        <f t="shared" si="37"/>
        <v>2.7307129107625538</v>
      </c>
      <c r="AF33" s="8" t="str">
        <f t="shared" si="38"/>
        <v/>
      </c>
      <c r="AG33" s="8" t="str">
        <f t="shared" si="39"/>
        <v/>
      </c>
      <c r="AH33" s="8" t="str">
        <f t="shared" si="2"/>
        <v/>
      </c>
      <c r="AI33" s="8">
        <f t="shared" si="3"/>
        <v>0.22661689661578147</v>
      </c>
      <c r="AJ33" s="8" t="str">
        <f t="shared" si="4"/>
        <v/>
      </c>
      <c r="AK33" s="8" t="str">
        <f t="shared" si="40"/>
        <v/>
      </c>
      <c r="AL33" s="27">
        <v>0.19606038291605313</v>
      </c>
      <c r="AM33" s="27">
        <v>0.14166342790516889</v>
      </c>
      <c r="AN33" s="27">
        <v>0.24271431610295671</v>
      </c>
      <c r="AO33" s="27">
        <v>2.5316611438389791</v>
      </c>
      <c r="AP33" s="27">
        <v>0.75635202098717436</v>
      </c>
      <c r="AQ33" s="27">
        <v>1.5948167056654614</v>
      </c>
      <c r="AR33" s="27">
        <v>2.7195422956553759</v>
      </c>
      <c r="AS33" s="27">
        <v>0.94948341754113208</v>
      </c>
      <c r="AT33" s="27">
        <v>1.8599290931007588</v>
      </c>
      <c r="AU33">
        <f t="shared" si="41"/>
        <v>4.6653933186903584E-2</v>
      </c>
      <c r="AV33">
        <f t="shared" si="42"/>
        <v>0.10105088819778782</v>
      </c>
      <c r="AW33">
        <f t="shared" si="43"/>
        <v>-0.9368444381735177</v>
      </c>
      <c r="AX33">
        <f t="shared" si="44"/>
        <v>0.83846468467828705</v>
      </c>
      <c r="AY33">
        <f t="shared" si="45"/>
        <v>-0.85961320255461704</v>
      </c>
      <c r="AZ33">
        <f t="shared" si="46"/>
        <v>0.91044567555962674</v>
      </c>
      <c r="BA33">
        <f t="shared" si="5"/>
        <v>0.42569908440902626</v>
      </c>
      <c r="BB33" t="str">
        <f t="shared" si="6"/>
        <v/>
      </c>
      <c r="BC33">
        <f t="shared" si="7"/>
        <v>0.34883376946324951</v>
      </c>
      <c r="BD33" t="str">
        <f t="shared" si="8"/>
        <v/>
      </c>
      <c r="BE33">
        <f t="shared" si="9"/>
        <v>0.20041254813096809</v>
      </c>
      <c r="BF33" t="str">
        <f t="shared" si="10"/>
        <v/>
      </c>
      <c r="BG33">
        <f t="shared" si="47"/>
        <v>0.14842122133228142</v>
      </c>
      <c r="BH33" t="str">
        <f t="shared" si="48"/>
        <v/>
      </c>
      <c r="BI33" s="10">
        <f t="shared" si="69"/>
        <v>1.6938175385651524E-2</v>
      </c>
      <c r="BJ33">
        <f t="shared" si="49"/>
        <v>4.7050487182365347E-2</v>
      </c>
      <c r="BK33">
        <f t="shared" si="12"/>
        <v>7.6865314945776753E-2</v>
      </c>
      <c r="BL33">
        <f t="shared" si="13"/>
        <v>103.36144593954231</v>
      </c>
      <c r="BM33" t="str">
        <f t="shared" si="14"/>
        <v/>
      </c>
      <c r="BN33" s="10">
        <f t="shared" si="15"/>
        <v>0.22497840818174372</v>
      </c>
      <c r="BO33" s="10" t="str">
        <f t="shared" si="16"/>
        <v/>
      </c>
      <c r="BP33" s="10">
        <f t="shared" si="17"/>
        <v>9.1282394741503917E-2</v>
      </c>
      <c r="BQ33" s="10" t="str">
        <f t="shared" si="18"/>
        <v/>
      </c>
      <c r="BR33">
        <f t="shared" si="70"/>
        <v>0.10495676188023463</v>
      </c>
      <c r="BS33">
        <f t="shared" si="71"/>
        <v>-5.5267568388855901</v>
      </c>
      <c r="BT33">
        <f t="shared" si="50"/>
        <v>0.18</v>
      </c>
      <c r="BU33">
        <f t="shared" si="51"/>
        <v>0.35</v>
      </c>
      <c r="BV33">
        <f t="shared" si="52"/>
        <v>0.16999999999999998</v>
      </c>
      <c r="BW33">
        <f t="shared" si="21"/>
        <v>0.23</v>
      </c>
      <c r="BX33">
        <f t="shared" si="22"/>
        <v>0.34</v>
      </c>
      <c r="BY33">
        <f t="shared" si="53"/>
        <v>0.11</v>
      </c>
      <c r="BZ33">
        <f t="shared" si="23"/>
        <v>0.18428458239059384</v>
      </c>
      <c r="CA33">
        <f t="shared" si="24"/>
        <v>0.37359625400533614</v>
      </c>
      <c r="CB33">
        <f t="shared" si="54"/>
        <v>0.1893116716147423</v>
      </c>
      <c r="CC33" t="str">
        <f t="shared" si="25"/>
        <v/>
      </c>
      <c r="CD33" t="str">
        <f t="shared" si="26"/>
        <v/>
      </c>
      <c r="CE33" t="str">
        <f t="shared" si="55"/>
        <v/>
      </c>
      <c r="CF33" t="str">
        <f t="shared" si="27"/>
        <v/>
      </c>
      <c r="CG33" t="str">
        <f t="shared" si="28"/>
        <v/>
      </c>
      <c r="CH33" t="str">
        <f t="shared" si="56"/>
        <v/>
      </c>
      <c r="CI33">
        <v>5</v>
      </c>
      <c r="CJ33">
        <f t="shared" si="57"/>
        <v>152.4</v>
      </c>
      <c r="CK33">
        <v>5</v>
      </c>
      <c r="CL33">
        <f t="shared" si="58"/>
        <v>152.4</v>
      </c>
      <c r="CM33">
        <f t="shared" si="59"/>
        <v>23.382427368945692</v>
      </c>
      <c r="CN33">
        <f t="shared" si="29"/>
        <v>28.743658036383028</v>
      </c>
      <c r="CO33">
        <f t="shared" si="30"/>
        <v>23.382427368945692</v>
      </c>
      <c r="CP33">
        <f t="shared" si="31"/>
        <v>28.743658036383028</v>
      </c>
      <c r="CQ33">
        <v>0.13059791674203486</v>
      </c>
      <c r="CR33">
        <v>9.4050416593780287E-2</v>
      </c>
      <c r="CS33">
        <v>0.14815167774124055</v>
      </c>
      <c r="CT33">
        <v>7.0000000000000007E-2</v>
      </c>
      <c r="CU33">
        <v>150</v>
      </c>
      <c r="CV33">
        <f t="shared" si="32"/>
        <v>29.051168611099683</v>
      </c>
      <c r="CX33" s="4"/>
      <c r="DC33">
        <f t="shared" si="60"/>
        <v>0</v>
      </c>
      <c r="EF33" s="4">
        <v>15.5448</v>
      </c>
      <c r="EG33" s="4">
        <v>2.4691000000000001E-2</v>
      </c>
    </row>
    <row r="34" spans="3:137">
      <c r="C34">
        <f t="shared" si="33"/>
        <v>34.114004157262777</v>
      </c>
      <c r="E34" t="s">
        <v>7</v>
      </c>
      <c r="F34">
        <v>6</v>
      </c>
      <c r="G34">
        <v>5</v>
      </c>
      <c r="H34" s="27">
        <v>10.7388228140502</v>
      </c>
      <c r="I34" s="27">
        <v>58.558573444413199</v>
      </c>
      <c r="J34" s="27">
        <v>30.7026037415365</v>
      </c>
      <c r="L34" s="34">
        <v>1.479209176698532</v>
      </c>
      <c r="N34" t="str">
        <f t="shared" si="0"/>
        <v/>
      </c>
      <c r="P34" s="7">
        <f t="shared" si="35"/>
        <v>1.479209176698532</v>
      </c>
      <c r="Q34" s="7">
        <f t="shared" si="68"/>
        <v>1.479209176698532</v>
      </c>
      <c r="S34" s="38">
        <v>0.34697</v>
      </c>
      <c r="T34" s="38">
        <v>6.6390000000000005E-2</v>
      </c>
      <c r="U34" s="27"/>
      <c r="V34" s="27"/>
      <c r="W34" s="27" t="str">
        <f t="shared" si="36"/>
        <v/>
      </c>
      <c r="X34" s="27" t="str">
        <f t="shared" si="36"/>
        <v/>
      </c>
      <c r="Y34" s="8">
        <v>0.16586110404477236</v>
      </c>
      <c r="AA34" s="4">
        <v>0.20499999999999999</v>
      </c>
      <c r="AB34" s="4"/>
      <c r="AC34" s="4">
        <v>0.05</v>
      </c>
      <c r="AD34" s="4"/>
      <c r="AE34" s="8">
        <f t="shared" si="37"/>
        <v>4.9817870757778744</v>
      </c>
      <c r="AF34" s="8" t="str">
        <f t="shared" si="38"/>
        <v/>
      </c>
      <c r="AG34" s="8" t="str">
        <f t="shared" si="39"/>
        <v/>
      </c>
      <c r="AH34" s="8" t="str">
        <f t="shared" si="2"/>
        <v/>
      </c>
      <c r="AI34" s="8">
        <f t="shared" si="3"/>
        <v>0.2453432671603773</v>
      </c>
      <c r="AJ34" s="8" t="str">
        <f t="shared" si="4"/>
        <v/>
      </c>
      <c r="AK34" s="8" t="str">
        <f t="shared" si="40"/>
        <v/>
      </c>
      <c r="AL34" s="27">
        <v>0.25203898945693259</v>
      </c>
      <c r="AM34" s="27">
        <v>0.16977611940298534</v>
      </c>
      <c r="AN34" s="27">
        <v>0.23710122095313099</v>
      </c>
      <c r="AO34" s="27">
        <v>2.8796896757509454</v>
      </c>
      <c r="AP34" s="27">
        <v>1.2770055970149259</v>
      </c>
      <c r="AQ34" s="27">
        <v>1.3968934619929103</v>
      </c>
      <c r="AR34" s="27">
        <v>2.9010265068629404</v>
      </c>
      <c r="AS34" s="27">
        <v>1.3998320895522394</v>
      </c>
      <c r="AT34" s="27">
        <v>1.6948286727057893</v>
      </c>
      <c r="AU34">
        <f t="shared" si="41"/>
        <v>-1.4937768503801602E-2</v>
      </c>
      <c r="AV34">
        <f t="shared" si="42"/>
        <v>6.732510155014565E-2</v>
      </c>
      <c r="AW34">
        <f t="shared" si="43"/>
        <v>-1.4827962137580351</v>
      </c>
      <c r="AX34">
        <f t="shared" si="44"/>
        <v>0.11988786497798443</v>
      </c>
      <c r="AY34">
        <f t="shared" si="45"/>
        <v>-1.2061978341571511</v>
      </c>
      <c r="AZ34">
        <f t="shared" si="46"/>
        <v>0.29499658315354993</v>
      </c>
      <c r="BA34">
        <f t="shared" si="5"/>
        <v>0.44180785784961052</v>
      </c>
      <c r="BB34" t="str">
        <f t="shared" si="6"/>
        <v/>
      </c>
      <c r="BC34">
        <f t="shared" si="7"/>
        <v>0.34511649191373317</v>
      </c>
      <c r="BD34" t="str">
        <f t="shared" si="8"/>
        <v/>
      </c>
      <c r="BE34">
        <f t="shared" si="9"/>
        <v>0.19209570728277392</v>
      </c>
      <c r="BF34" t="str">
        <f t="shared" si="10"/>
        <v/>
      </c>
      <c r="BG34">
        <f t="shared" si="47"/>
        <v>0.15302078463095925</v>
      </c>
      <c r="BH34" t="str">
        <f t="shared" si="48"/>
        <v/>
      </c>
      <c r="BI34" s="10">
        <f t="shared" si="69"/>
        <v>3.009521440963683E-2</v>
      </c>
      <c r="BJ34">
        <f t="shared" si="49"/>
        <v>8.359781780454674E-2</v>
      </c>
      <c r="BK34">
        <f t="shared" si="12"/>
        <v>9.6691365935877349E-2</v>
      </c>
      <c r="BL34">
        <f t="shared" si="13"/>
        <v>87.074936139792896</v>
      </c>
      <c r="BM34" t="str">
        <f t="shared" si="14"/>
        <v/>
      </c>
      <c r="BN34" s="10">
        <f t="shared" si="15"/>
        <v>0.24258249355600517</v>
      </c>
      <c r="BO34" s="10" t="str">
        <f t="shared" si="16"/>
        <v/>
      </c>
      <c r="BP34" s="10">
        <f t="shared" si="17"/>
        <v>9.1692154600133052E-2</v>
      </c>
      <c r="BQ34" s="10" t="str">
        <f t="shared" si="18"/>
        <v/>
      </c>
      <c r="BR34">
        <f t="shared" si="70"/>
        <v>0.11146305733305677</v>
      </c>
      <c r="BS34">
        <f t="shared" si="71"/>
        <v>-5.3560405519590741</v>
      </c>
      <c r="BT34">
        <f t="shared" si="50"/>
        <v>0.17</v>
      </c>
      <c r="BU34">
        <f t="shared" si="51"/>
        <v>0.35</v>
      </c>
      <c r="BV34">
        <f t="shared" si="52"/>
        <v>0.17999999999999997</v>
      </c>
      <c r="BW34">
        <f t="shared" si="21"/>
        <v>0.22</v>
      </c>
      <c r="BX34">
        <f t="shared" si="22"/>
        <v>0.33</v>
      </c>
      <c r="BY34">
        <f t="shared" si="53"/>
        <v>0.11</v>
      </c>
      <c r="BZ34">
        <f t="shared" si="23"/>
        <v>0.17437237082939913</v>
      </c>
      <c r="CA34">
        <f t="shared" si="24"/>
        <v>0.36288150335133151</v>
      </c>
      <c r="CB34">
        <f t="shared" si="54"/>
        <v>0.18850913252193238</v>
      </c>
      <c r="CC34" t="str">
        <f t="shared" si="25"/>
        <v/>
      </c>
      <c r="CD34" t="str">
        <f t="shared" si="26"/>
        <v/>
      </c>
      <c r="CE34" t="str">
        <f t="shared" si="55"/>
        <v/>
      </c>
      <c r="CF34" t="str">
        <f t="shared" si="27"/>
        <v/>
      </c>
      <c r="CG34" t="str">
        <f t="shared" si="28"/>
        <v/>
      </c>
      <c r="CH34" t="str">
        <f t="shared" si="56"/>
        <v/>
      </c>
      <c r="CI34">
        <v>5</v>
      </c>
      <c r="CJ34">
        <f t="shared" si="57"/>
        <v>152.4</v>
      </c>
      <c r="CK34">
        <v>5</v>
      </c>
      <c r="CL34">
        <f t="shared" si="58"/>
        <v>152.4</v>
      </c>
      <c r="CM34">
        <f t="shared" si="59"/>
        <v>23.382427368945692</v>
      </c>
      <c r="CN34">
        <f t="shared" si="29"/>
        <v>28.743658036383028</v>
      </c>
      <c r="CO34">
        <f t="shared" si="30"/>
        <v>23.382427368945692</v>
      </c>
      <c r="CP34">
        <f t="shared" si="31"/>
        <v>28.743658036383028</v>
      </c>
      <c r="CQ34">
        <v>0.10528745881772476</v>
      </c>
      <c r="CR34">
        <v>7.8858194569781784E-2</v>
      </c>
      <c r="CS34">
        <v>9.0277514517833141E-2</v>
      </c>
      <c r="CT34">
        <v>8.0000000000000016E-2</v>
      </c>
      <c r="CU34">
        <v>150</v>
      </c>
      <c r="CV34">
        <f t="shared" si="32"/>
        <v>29.051168611099683</v>
      </c>
      <c r="CX34" s="4"/>
      <c r="DC34">
        <f t="shared" si="60"/>
        <v>0</v>
      </c>
      <c r="EF34" s="4">
        <v>10.972799999999999</v>
      </c>
      <c r="EG34" s="4">
        <v>0.11504399999999999</v>
      </c>
    </row>
    <row r="35" spans="3:137">
      <c r="C35">
        <f t="shared" si="33"/>
        <v>32.03434727639474</v>
      </c>
      <c r="E35" t="s">
        <v>7</v>
      </c>
      <c r="F35">
        <v>7</v>
      </c>
      <c r="G35">
        <v>1</v>
      </c>
      <c r="H35" s="27">
        <v>9.7414978894509776</v>
      </c>
      <c r="I35" s="27">
        <v>61.427589561793802</v>
      </c>
      <c r="J35" s="27">
        <v>28.830912548755265</v>
      </c>
      <c r="K35" s="8">
        <v>1.3959975020170949</v>
      </c>
      <c r="L35" s="34">
        <v>1.3616854107635854</v>
      </c>
      <c r="M35" s="8">
        <v>1.229467664233679</v>
      </c>
      <c r="N35">
        <f t="shared" si="0"/>
        <v>2.4884725574856829E-2</v>
      </c>
      <c r="O35">
        <f>AVERAGE(K35:M35)</f>
        <v>1.3290501923381199</v>
      </c>
      <c r="P35" s="7">
        <f t="shared" si="35"/>
        <v>1.3788414563903402</v>
      </c>
      <c r="Q35" s="7">
        <f t="shared" si="68"/>
        <v>1.3788414563903402</v>
      </c>
      <c r="R35" s="8">
        <v>1.2559056556785109</v>
      </c>
      <c r="S35" s="38">
        <v>1.8186</v>
      </c>
      <c r="T35" s="38">
        <v>0.14893000000000001</v>
      </c>
      <c r="U35" s="27">
        <v>1.9963</v>
      </c>
      <c r="V35" s="27">
        <v>0.15909000000000001</v>
      </c>
      <c r="W35" s="27">
        <f t="shared" si="36"/>
        <v>0.17769999999999997</v>
      </c>
      <c r="X35" s="27">
        <f t="shared" si="36"/>
        <v>1.0160000000000002E-2</v>
      </c>
      <c r="Y35" s="8">
        <v>0.121618308132407</v>
      </c>
      <c r="Z35" s="8">
        <v>0.24588576960309769</v>
      </c>
      <c r="AA35" s="4">
        <v>0.374</v>
      </c>
      <c r="AB35" s="4">
        <v>0.96899999999999997</v>
      </c>
      <c r="AC35" s="4">
        <v>1.41E-2</v>
      </c>
      <c r="AD35" s="4">
        <v>0.127</v>
      </c>
      <c r="AE35" s="8">
        <f t="shared" si="37"/>
        <v>6.7994164278419955</v>
      </c>
      <c r="AF35" s="8">
        <f t="shared" si="38"/>
        <v>21.329058595582872</v>
      </c>
      <c r="AG35" s="8">
        <f t="shared" si="39"/>
        <v>14.529642167740876</v>
      </c>
      <c r="AH35" s="8">
        <f t="shared" si="2"/>
        <v>0.12426746147069069</v>
      </c>
      <c r="AI35" s="8">
        <f t="shared" si="3"/>
        <v>0.16769236510901722</v>
      </c>
      <c r="AJ35" s="8">
        <f t="shared" si="4"/>
        <v>0.33903749266519484</v>
      </c>
      <c r="AK35" s="8">
        <f t="shared" si="40"/>
        <v>0.17134512755617762</v>
      </c>
      <c r="AL35" s="27">
        <v>0.12434006917895501</v>
      </c>
      <c r="AM35" s="27">
        <v>0.13915924622074963</v>
      </c>
      <c r="AN35" s="27">
        <v>0.26874746655857323</v>
      </c>
      <c r="AO35" s="27">
        <v>24.665210267613329</v>
      </c>
      <c r="AP35" s="27">
        <v>10.632152964726997</v>
      </c>
      <c r="AQ35" s="27">
        <v>7.9296716659910826</v>
      </c>
      <c r="AR35" s="27">
        <v>27.722009830693615</v>
      </c>
      <c r="AS35" s="27">
        <v>11.01756850969835</v>
      </c>
      <c r="AT35" s="27">
        <v>8.5957640859343343</v>
      </c>
      <c r="AU35">
        <f t="shared" si="41"/>
        <v>0.14440739737961822</v>
      </c>
      <c r="AV35">
        <f t="shared" si="42"/>
        <v>0.12958822033782361</v>
      </c>
      <c r="AW35">
        <f t="shared" si="43"/>
        <v>-16.735538601622245</v>
      </c>
      <c r="AX35">
        <f t="shared" si="44"/>
        <v>-2.7024812987359139</v>
      </c>
      <c r="AY35">
        <f t="shared" si="45"/>
        <v>-19.126245744759281</v>
      </c>
      <c r="AZ35">
        <f t="shared" si="46"/>
        <v>-2.4218044237640157</v>
      </c>
      <c r="BA35">
        <f t="shared" si="5"/>
        <v>0.47968246928666403</v>
      </c>
      <c r="BB35">
        <f t="shared" si="6"/>
        <v>0.52607333747980722</v>
      </c>
      <c r="BC35">
        <f t="shared" si="7"/>
        <v>0.34472364271573097</v>
      </c>
      <c r="BD35">
        <f t="shared" si="8"/>
        <v>0.34917937040051844</v>
      </c>
      <c r="BE35">
        <f t="shared" si="9"/>
        <v>0.18235192085062127</v>
      </c>
      <c r="BF35">
        <f t="shared" si="10"/>
        <v>0.18066148470967167</v>
      </c>
      <c r="BG35">
        <f t="shared" si="47"/>
        <v>0.1623717218651097</v>
      </c>
      <c r="BH35">
        <f t="shared" si="48"/>
        <v>0.16851788569084677</v>
      </c>
      <c r="BI35" s="10">
        <f t="shared" si="69"/>
        <v>7.3994526375398356E-2</v>
      </c>
      <c r="BJ35">
        <f t="shared" si="49"/>
        <v>0.20554035104277321</v>
      </c>
      <c r="BK35">
        <f t="shared" si="12"/>
        <v>0.13495882657093305</v>
      </c>
      <c r="BL35">
        <f t="shared" si="13"/>
        <v>67.16054614011027</v>
      </c>
      <c r="BM35">
        <f t="shared" si="14"/>
        <v>51.212876106614978</v>
      </c>
      <c r="BN35" s="10">
        <f t="shared" si="15"/>
        <v>0.26814545316268462</v>
      </c>
      <c r="BO35" s="10">
        <f t="shared" si="16"/>
        <v>0.28244002798306145</v>
      </c>
      <c r="BP35" s="10">
        <f t="shared" si="17"/>
        <v>9.1271789032160128E-2</v>
      </c>
      <c r="BQ35" s="10">
        <f t="shared" si="18"/>
        <v>9.3741664079294462E-2</v>
      </c>
      <c r="BR35">
        <f t="shared" si="70"/>
        <v>0.13321570657065604</v>
      </c>
      <c r="BS35">
        <f t="shared" si="71"/>
        <v>-5.0806326450342434</v>
      </c>
      <c r="BT35">
        <f t="shared" si="50"/>
        <v>0.16</v>
      </c>
      <c r="BU35">
        <f t="shared" si="51"/>
        <v>0.34</v>
      </c>
      <c r="BV35">
        <f t="shared" si="52"/>
        <v>0.18000000000000002</v>
      </c>
      <c r="BW35">
        <f t="shared" si="21"/>
        <v>0.19</v>
      </c>
      <c r="BX35">
        <f t="shared" si="22"/>
        <v>0.31</v>
      </c>
      <c r="BY35">
        <f t="shared" si="53"/>
        <v>0.12</v>
      </c>
      <c r="BZ35">
        <f t="shared" si="23"/>
        <v>0.15106698617383699</v>
      </c>
      <c r="CA35">
        <f t="shared" si="24"/>
        <v>0.33768920555397536</v>
      </c>
      <c r="CB35">
        <f t="shared" si="54"/>
        <v>0.18662221938013837</v>
      </c>
      <c r="CC35">
        <f t="shared" si="25"/>
        <v>0.16</v>
      </c>
      <c r="CD35">
        <f t="shared" si="26"/>
        <v>0.28000000000000003</v>
      </c>
      <c r="CE35">
        <f t="shared" si="55"/>
        <v>0.12000000000000002</v>
      </c>
      <c r="CF35">
        <f t="shared" si="27"/>
        <v>0.12252129324855018</v>
      </c>
      <c r="CG35">
        <f t="shared" si="28"/>
        <v>0.30683231957530621</v>
      </c>
      <c r="CH35">
        <f t="shared" si="56"/>
        <v>0.18431102632675603</v>
      </c>
      <c r="CI35">
        <v>5</v>
      </c>
      <c r="CJ35">
        <f t="shared" si="57"/>
        <v>152.4</v>
      </c>
      <c r="CK35">
        <v>5</v>
      </c>
      <c r="CL35">
        <f t="shared" si="58"/>
        <v>152.4</v>
      </c>
      <c r="CM35">
        <f t="shared" si="59"/>
        <v>26.208305135889084</v>
      </c>
      <c r="CN35">
        <f t="shared" si="29"/>
        <v>27.598879816357105</v>
      </c>
      <c r="CO35">
        <f t="shared" si="30"/>
        <v>26.208305135889084</v>
      </c>
      <c r="CP35">
        <f t="shared" si="31"/>
        <v>27.598879816357105</v>
      </c>
      <c r="CQ35">
        <v>0.18535474603066623</v>
      </c>
      <c r="CR35">
        <v>0.17698408176133193</v>
      </c>
      <c r="CS35">
        <v>0.19372541030000054</v>
      </c>
      <c r="CT35">
        <v>0.12</v>
      </c>
      <c r="CU35">
        <v>150</v>
      </c>
      <c r="CV35">
        <f t="shared" si="32"/>
        <v>25.733455084563563</v>
      </c>
      <c r="DC35">
        <f t="shared" si="60"/>
        <v>0</v>
      </c>
      <c r="EF35" s="4">
        <v>18.5928</v>
      </c>
      <c r="EG35" s="4">
        <v>1.9480999999999998E-2</v>
      </c>
    </row>
    <row r="36" spans="3:137">
      <c r="C36">
        <f t="shared" si="33"/>
        <v>34.580928426285773</v>
      </c>
      <c r="E36" t="s">
        <v>7</v>
      </c>
      <c r="F36">
        <v>7</v>
      </c>
      <c r="G36">
        <v>2</v>
      </c>
      <c r="H36" s="27">
        <v>10.971427765853701</v>
      </c>
      <c r="I36" s="27">
        <v>57.905736650489203</v>
      </c>
      <c r="J36" s="27">
        <v>31.122835583657199</v>
      </c>
      <c r="K36" s="8">
        <v>1.2673895550369643</v>
      </c>
      <c r="L36" s="34">
        <v>0.96606873837788443</v>
      </c>
      <c r="M36" s="8">
        <v>1.0281439169492768</v>
      </c>
      <c r="N36">
        <f t="shared" si="0"/>
        <v>0.26982444001528683</v>
      </c>
      <c r="O36">
        <f>AVERAGE(K36:M36)</f>
        <v>1.0872007367880416</v>
      </c>
      <c r="P36" s="7">
        <f t="shared" si="35"/>
        <v>1.1167291467074243</v>
      </c>
      <c r="Q36" s="7">
        <f t="shared" si="68"/>
        <v>1.1167291467074243</v>
      </c>
      <c r="R36" s="8">
        <v>1.2247193919453423</v>
      </c>
      <c r="S36" s="38">
        <v>1.7085999999999999</v>
      </c>
      <c r="T36" s="38">
        <v>0.13685</v>
      </c>
      <c r="U36" s="27">
        <v>1.8775999999999999</v>
      </c>
      <c r="V36" s="27">
        <v>0.14651</v>
      </c>
      <c r="W36" s="27">
        <f t="shared" si="36"/>
        <v>0.16900000000000004</v>
      </c>
      <c r="X36" s="27">
        <f t="shared" si="36"/>
        <v>9.6600000000000019E-3</v>
      </c>
      <c r="Y36" s="8">
        <v>0.14356624665903017</v>
      </c>
      <c r="Z36" s="8">
        <v>0.28756157635467988</v>
      </c>
      <c r="AA36" s="4">
        <v>0.28100000000000003</v>
      </c>
      <c r="AB36" s="4">
        <v>1.45</v>
      </c>
      <c r="AC36" s="4">
        <v>7.1199999999999996E-3</v>
      </c>
      <c r="AD36" s="4">
        <v>6.1499999999999999E-2</v>
      </c>
      <c r="AE36" s="8">
        <f t="shared" si="37"/>
        <v>4.1682250679529176</v>
      </c>
      <c r="AF36" s="8">
        <f t="shared" si="38"/>
        <v>24.620257234289564</v>
      </c>
      <c r="AG36" s="8">
        <f t="shared" si="39"/>
        <v>20.452032166336647</v>
      </c>
      <c r="AH36" s="8">
        <f t="shared" si="2"/>
        <v>0.14399532969564971</v>
      </c>
      <c r="AI36" s="8">
        <f t="shared" si="3"/>
        <v>0.16032461212752636</v>
      </c>
      <c r="AJ36" s="8">
        <f t="shared" si="4"/>
        <v>0.32112839378840352</v>
      </c>
      <c r="AK36" s="8">
        <f t="shared" si="40"/>
        <v>0.16080378166087717</v>
      </c>
      <c r="AL36" s="27">
        <v>0.13434414668547259</v>
      </c>
      <c r="AM36" s="27">
        <v>0.15841584158415864</v>
      </c>
      <c r="AN36" s="27">
        <v>0.30377598642341946</v>
      </c>
      <c r="AO36" s="27">
        <v>2.4435663493182891</v>
      </c>
      <c r="AP36" s="27">
        <v>2.7946782178217826</v>
      </c>
      <c r="AQ36" s="27">
        <v>13.363703860840051</v>
      </c>
      <c r="AR36" s="27">
        <v>2.6675993182886701</v>
      </c>
      <c r="AS36" s="27">
        <v>3.0707673267326738</v>
      </c>
      <c r="AT36" s="27">
        <v>13.687474897468533</v>
      </c>
      <c r="AU36">
        <f t="shared" si="41"/>
        <v>0.16943183973794687</v>
      </c>
      <c r="AV36">
        <f t="shared" si="42"/>
        <v>0.14536014483926082</v>
      </c>
      <c r="AW36">
        <f t="shared" si="43"/>
        <v>10.920137511521762</v>
      </c>
      <c r="AX36">
        <f t="shared" si="44"/>
        <v>10.569025643018268</v>
      </c>
      <c r="AY36">
        <f t="shared" si="45"/>
        <v>11.019875579179864</v>
      </c>
      <c r="AZ36">
        <f t="shared" si="46"/>
        <v>10.616707570735858</v>
      </c>
      <c r="BA36">
        <f t="shared" si="5"/>
        <v>0.57859277482738702</v>
      </c>
      <c r="BB36">
        <f t="shared" si="6"/>
        <v>0.53784173888855014</v>
      </c>
      <c r="BC36">
        <f t="shared" si="7"/>
        <v>0.35976135256214303</v>
      </c>
      <c r="BD36">
        <f t="shared" si="8"/>
        <v>0.35637580893576498</v>
      </c>
      <c r="BE36">
        <f t="shared" si="9"/>
        <v>0.18788932482043016</v>
      </c>
      <c r="BF36">
        <f t="shared" si="10"/>
        <v>0.18876523267140993</v>
      </c>
      <c r="BG36">
        <f t="shared" si="47"/>
        <v>0.17187202774171287</v>
      </c>
      <c r="BH36">
        <f t="shared" si="48"/>
        <v>0.16761057626435505</v>
      </c>
      <c r="BI36" s="10">
        <f t="shared" si="69"/>
        <v>0.38318259692316248</v>
      </c>
      <c r="BJ36">
        <f t="shared" si="49"/>
        <v>1.0643961025643403</v>
      </c>
      <c r="BK36">
        <f t="shared" si="12"/>
        <v>0.21883142226524399</v>
      </c>
      <c r="BL36">
        <f t="shared" si="13"/>
        <v>38.532085243080992</v>
      </c>
      <c r="BM36">
        <f t="shared" si="14"/>
        <v>47.757721727768498</v>
      </c>
      <c r="BN36" s="10">
        <f t="shared" si="15"/>
        <v>0.28497737383058119</v>
      </c>
      <c r="BO36" s="10">
        <f t="shared" si="16"/>
        <v>0.27611306731012925</v>
      </c>
      <c r="BP36" s="10">
        <f t="shared" si="17"/>
        <v>0.10052811113884727</v>
      </c>
      <c r="BQ36" s="10">
        <f t="shared" si="18"/>
        <v>9.9069533207421734E-2</v>
      </c>
      <c r="BR36">
        <f t="shared" si="70"/>
        <v>0.10695102784854681</v>
      </c>
      <c r="BS36">
        <f t="shared" si="71"/>
        <v>-5.4208825506603731</v>
      </c>
      <c r="BT36">
        <f t="shared" si="50"/>
        <v>0.17</v>
      </c>
      <c r="BU36">
        <f t="shared" si="51"/>
        <v>0.35</v>
      </c>
      <c r="BV36">
        <f t="shared" si="52"/>
        <v>0.17999999999999997</v>
      </c>
      <c r="BW36">
        <f t="shared" si="21"/>
        <v>0.12</v>
      </c>
      <c r="BX36">
        <f t="shared" si="22"/>
        <v>0.25</v>
      </c>
      <c r="BY36">
        <f t="shared" si="53"/>
        <v>0.13</v>
      </c>
      <c r="BZ36">
        <f t="shared" si="23"/>
        <v>9.0204507865463884E-2</v>
      </c>
      <c r="CA36">
        <f t="shared" si="24"/>
        <v>0.27189901582356346</v>
      </c>
      <c r="CB36">
        <f t="shared" si="54"/>
        <v>0.18169450795809958</v>
      </c>
      <c r="CC36">
        <f t="shared" si="25"/>
        <v>0.15</v>
      </c>
      <c r="CD36">
        <f t="shared" si="26"/>
        <v>0.28000000000000003</v>
      </c>
      <c r="CE36">
        <f t="shared" si="55"/>
        <v>0.13000000000000003</v>
      </c>
      <c r="CF36">
        <f t="shared" si="27"/>
        <v>0.11527984280970846</v>
      </c>
      <c r="CG36">
        <f t="shared" si="28"/>
        <v>0.29900456737828091</v>
      </c>
      <c r="CH36">
        <f t="shared" si="56"/>
        <v>0.18372472456857245</v>
      </c>
      <c r="CI36">
        <v>5</v>
      </c>
      <c r="CJ36">
        <f t="shared" si="57"/>
        <v>152.4</v>
      </c>
      <c r="CK36">
        <v>5</v>
      </c>
      <c r="CL36">
        <f t="shared" si="58"/>
        <v>152.4</v>
      </c>
      <c r="CM36">
        <f t="shared" si="59"/>
        <v>26.208305135889084</v>
      </c>
      <c r="CN36">
        <f t="shared" si="29"/>
        <v>27.598879816357105</v>
      </c>
      <c r="CO36">
        <f t="shared" si="30"/>
        <v>26.208305135889084</v>
      </c>
      <c r="CP36">
        <f t="shared" si="31"/>
        <v>27.598879816357105</v>
      </c>
      <c r="CQ36">
        <v>0.18514889280106978</v>
      </c>
      <c r="CR36">
        <v>0.14146101054348423</v>
      </c>
      <c r="CS36">
        <v>0.17645914046315056</v>
      </c>
      <c r="CT36">
        <v>9.9999999999999978E-2</v>
      </c>
      <c r="CU36">
        <v>150</v>
      </c>
      <c r="CV36">
        <f t="shared" si="32"/>
        <v>25.733455084563563</v>
      </c>
      <c r="CX36" s="4"/>
      <c r="DC36">
        <f t="shared" si="60"/>
        <v>0</v>
      </c>
      <c r="EF36" s="4">
        <v>23.4696</v>
      </c>
      <c r="EG36" s="4">
        <v>9.2309999999999996E-3</v>
      </c>
    </row>
    <row r="37" spans="3:137">
      <c r="C37">
        <f t="shared" si="33"/>
        <v>29.097576310911336</v>
      </c>
      <c r="E37" t="s">
        <v>7</v>
      </c>
      <c r="F37">
        <v>7</v>
      </c>
      <c r="G37">
        <v>3</v>
      </c>
      <c r="H37" s="27">
        <v>12.724869693394099</v>
      </c>
      <c r="I37" s="27">
        <v>61.087311626785798</v>
      </c>
      <c r="J37" s="27">
        <v>26.187818679820204</v>
      </c>
      <c r="L37" s="34">
        <v>0.94790375482545208</v>
      </c>
      <c r="M37" s="8">
        <v>0.91453240261553992</v>
      </c>
      <c r="N37" t="str">
        <f t="shared" ref="N37:N64" si="73">IF(OR(K37="",L37=""),"",(K37-L37)/AVERAGE(K37:L37))</f>
        <v/>
      </c>
      <c r="O37" s="33">
        <f>L37</f>
        <v>0.94790375482545208</v>
      </c>
      <c r="P37" s="7">
        <f t="shared" si="35"/>
        <v>0.94790375482545208</v>
      </c>
      <c r="Q37" s="7">
        <f t="shared" si="68"/>
        <v>0.94790375482545208</v>
      </c>
      <c r="R37" s="8">
        <v>0.94465090181002065</v>
      </c>
      <c r="S37" s="38">
        <v>1.5887</v>
      </c>
      <c r="T37" s="38">
        <v>0.13108</v>
      </c>
      <c r="U37" s="27">
        <v>1.7177</v>
      </c>
      <c r="V37" s="27">
        <v>0.13900000000000001</v>
      </c>
      <c r="W37" s="27">
        <f t="shared" si="36"/>
        <v>0.129</v>
      </c>
      <c r="X37" s="27">
        <f t="shared" si="36"/>
        <v>7.9200000000000104E-3</v>
      </c>
      <c r="Y37" s="8">
        <v>0.14956011730205293</v>
      </c>
      <c r="Z37" s="8">
        <v>0.29556650246305416</v>
      </c>
      <c r="AA37" s="4">
        <v>0.219</v>
      </c>
      <c r="AB37" s="4">
        <v>2.0099999999999998</v>
      </c>
      <c r="AC37" s="4">
        <v>5.9800000000000001E-3</v>
      </c>
      <c r="AD37" s="4">
        <v>4.6199999999999998E-2</v>
      </c>
      <c r="AE37" s="8">
        <f t="shared" si="37"/>
        <v>2.7772080753543009</v>
      </c>
      <c r="AF37" s="8">
        <f t="shared" si="38"/>
        <v>28.606049401614076</v>
      </c>
      <c r="AG37" s="8">
        <f t="shared" si="39"/>
        <v>25.828841326259774</v>
      </c>
      <c r="AH37" s="8">
        <f t="shared" ref="AH37:AH64" si="74">IF(OR(Y37="",Z37=""),"",Z37-Y37)</f>
        <v>0.14600638516100123</v>
      </c>
      <c r="AI37" s="8">
        <f t="shared" ref="AI37:AI64" si="75">IF(OR(Y37="",Q37=""),"",Q37*Y37)</f>
        <v>0.14176859676275103</v>
      </c>
      <c r="AJ37" s="8">
        <f t="shared" ref="AJ37:AJ64" si="76">IF(OR(Q37="",Z37=""),"",Q37*Z37)</f>
        <v>0.28016859748535528</v>
      </c>
      <c r="AK37" s="8">
        <f t="shared" si="40"/>
        <v>0.13840000072260425</v>
      </c>
      <c r="AL37" s="27">
        <v>0.15411868910540283</v>
      </c>
      <c r="AM37" s="27">
        <v>0.14018009247992225</v>
      </c>
      <c r="AN37" s="27">
        <v>0.29900181488203281</v>
      </c>
      <c r="AO37" s="27">
        <v>1.9956635665780926</v>
      </c>
      <c r="AP37" s="27">
        <v>2.6366664638598212</v>
      </c>
      <c r="AQ37" s="27">
        <v>10.987390350877194</v>
      </c>
      <c r="AR37" s="27">
        <v>2.2942917773841156</v>
      </c>
      <c r="AS37" s="27">
        <v>2.8053181025391432</v>
      </c>
      <c r="AT37" s="27">
        <v>11.8858666061706</v>
      </c>
      <c r="AU37">
        <f t="shared" si="41"/>
        <v>0.14488312577662998</v>
      </c>
      <c r="AV37">
        <f t="shared" si="42"/>
        <v>0.15882172240211057</v>
      </c>
      <c r="AW37">
        <f t="shared" si="43"/>
        <v>8.9917267842991002</v>
      </c>
      <c r="AX37">
        <f t="shared" si="44"/>
        <v>8.3507238870173719</v>
      </c>
      <c r="AY37">
        <f t="shared" si="45"/>
        <v>9.5915748287864844</v>
      </c>
      <c r="AZ37">
        <f t="shared" si="46"/>
        <v>9.0805485036314568</v>
      </c>
      <c r="BA37">
        <f t="shared" ref="BA37:BA64" si="77">IF(Q37="","",1-Q37/2.65)</f>
        <v>0.64230046987718792</v>
      </c>
      <c r="BB37">
        <f t="shared" ref="BB37:BB64" si="78">IF(R37="","",1-R37/2.65)</f>
        <v>0.64352796158112424</v>
      </c>
      <c r="BC37">
        <f t="shared" ref="BC37:BC64" si="79">IFERROR($BP37+(porosity-$BP37)*($BL37/330)^$BN37,"")</f>
        <v>0.34953394225168677</v>
      </c>
      <c r="BD37">
        <f t="shared" ref="BD37:BD64" si="80">IFERROR($BQ37+(BB37-$BQ37)*($BM37/330)^$BO37,"")</f>
        <v>0.3497799831651528</v>
      </c>
      <c r="BE37">
        <f t="shared" ref="BE37:BE64" si="81">IFERROR($BP37+(porosity-$BP37)*($BL37/15000)^$BN37,"")</f>
        <v>0.17151703317702971</v>
      </c>
      <c r="BF37">
        <f t="shared" ref="BF37:BF64" si="82">IFERROR($BQ37+(BB37-$BQ37)*($BM37/15000)^$BO37,"")</f>
        <v>0.17159462218029578</v>
      </c>
      <c r="BG37">
        <f t="shared" si="47"/>
        <v>0.17801690907465706</v>
      </c>
      <c r="BH37">
        <f t="shared" si="48"/>
        <v>0.17818536098485702</v>
      </c>
      <c r="BI37" s="10"/>
      <c r="BK37">
        <f t="shared" ref="BK37:BK64" si="83">IF(OR(BA37="",BC37=""),"",BA37-BC37)</f>
        <v>0.29276652762550115</v>
      </c>
      <c r="BL37">
        <f t="shared" ref="BL37:BL64" si="84">IF(BA37="","",EXP(5.3396738+0.1845038*clay-2.48394546*porosity-0.00213853*clay^2-0.04356349*sand*porosity-0.61745089*clay*porosity+0.00143598*sand^2*porosity^2-0.00855375*clay^2*porosity^2-0.00001282*sand^2*clay+0.00895359*clay^2*porosity-0.00072472*sand^2*porosity+0.0000054*clay^2*sand+0.5002806*porosity^2*clay))</f>
        <v>27.375429821306167</v>
      </c>
      <c r="BM37">
        <f t="shared" ref="BM37:BM64" si="85">IF(BB37="","",EXP(5.3396738+0.1845038*clay-2.48394546*BB37-0.00213853*clay^2-0.04356349*sand*BB37-0.61745089*clay*BB37+0.00143598*sand^2*BB37^2-0.00855375*clay^2*BB37^2-0.00001282*sand^2*clay+0.00895359*clay^2*BB37-0.00072472*sand^2*BB37+0.0000054*clay^2*sand+0.5002806*BB37^2*clay))</f>
        <v>27.255297992047712</v>
      </c>
      <c r="BN37" s="10">
        <f t="shared" ref="BN37:BN64" si="86">IF(porosity="","",EXP(-0.7842831+0.0177544*sand-1.062498*porosity-0.00005304*sand^2-0.00273493*clay^2+1.11134946*porosity^2-0.03088295*sand*porosity+0.00026587*sand^2*porosity^2-0.00610522*clay^2*porosity^2-0.00000235*sand^2*clay+0.00798746*clay^2*porosity-0.00674491*porosity^2*clay))</f>
        <v>0.3033270477596503</v>
      </c>
      <c r="BO37" s="10">
        <f t="shared" ref="BO37:BO64" si="87">IF(BB37="","",EXP(-0.7842831+0.0177544*sand-1.062498*BB37-0.00005304*sand^2-0.00273493*clay^2+1.11134946*BB37^2-0.03088295*sand*BB37+0.00026587*sand^2*BB37^2-0.00610522*clay^2*BB37^2-0.00000235*sand^2*clay+0.00798746*clay^2*BB37-0.00674491*BB37^2*clay))</f>
        <v>0.30328827085201815</v>
      </c>
      <c r="BP37" s="10">
        <f t="shared" ref="BP37:BP64" si="88">IF(OR(porosity="",clay=""),"",-0.0182482+0.00087269*sand+0.00513488*clay+0.02939286*porosity-0.00015395*clay^2-0.0010827*sand*porosity-0.00018233*clay^2*porosity^2+0.00030703*clay^2*porosity-0.0023584*porosity^2*clay)</f>
        <v>8.9956812741068509E-2</v>
      </c>
      <c r="BQ37" s="10">
        <f t="shared" ref="BQ37:BQ64" si="89">IF(OR(BB37="",clay=""),"",-0.0182482+0.00087269*sand+0.00513488*clay+0.02939286*BB37-0.00015395*clay^2-0.0010827*sand*BB37-0.00018233*clay^2*BB37^2+0.00030703*clay^2*BB37-0.0023584*BB37^2*clay)</f>
        <v>8.9939603309462809E-2</v>
      </c>
      <c r="BV37" t="str">
        <f t="shared" si="52"/>
        <v/>
      </c>
      <c r="BW37">
        <f t="shared" ref="BW37:BW64" si="90">IF(Q37="","",ROUND(0.2815*Q37-0.1974,2))</f>
        <v>7.0000000000000007E-2</v>
      </c>
      <c r="BX37">
        <f t="shared" ref="BX37:BX64" si="91">IF(Q37="","",ROUND(MIN((1-Q37/2.65)-0.03,0.229*Q37-0.0046),2))</f>
        <v>0.21</v>
      </c>
      <c r="BY37">
        <f t="shared" si="53"/>
        <v>0.14000000000000001</v>
      </c>
      <c r="BZ37">
        <f t="shared" ref="BZ37:BZ64" si="92">IF(Q37="","",0.2322*Q37-0.1691)</f>
        <v>5.1003251870469973E-2</v>
      </c>
      <c r="CA37">
        <f t="shared" ref="CA37:CA64" si="93">IF(Q37="","",MIN((1-Q37/2.65)-0.03,0.251*Q37-0.0084))</f>
        <v>0.22952384246118848</v>
      </c>
      <c r="CB37">
        <f t="shared" si="54"/>
        <v>0.17852059059071851</v>
      </c>
      <c r="CC37">
        <f t="shared" ref="CC37:CC64" si="94">IF(O37="","",ROUND(0.2815*R37-0.1974,2))</f>
        <v>7.0000000000000007E-2</v>
      </c>
      <c r="CD37">
        <f t="shared" ref="CD37:CD64" si="95">IF(R37="","",ROUND(MIN((1-R37/2.65)-0.03,0.229*R37-0.0046),2))</f>
        <v>0.21</v>
      </c>
      <c r="CE37">
        <f t="shared" si="55"/>
        <v>0.13999999999999999</v>
      </c>
      <c r="CF37">
        <f t="shared" ref="CF37:CF64" si="96">IF(R37="","",0.2322*R37-0.1691)</f>
        <v>5.0247939400286795E-2</v>
      </c>
      <c r="CG37">
        <f t="shared" ref="CG37:CG64" si="97">IF(R37="","",MIN((1-R37/2.65)-0.03,0.251*R37-0.0084))</f>
        <v>0.22870737635431521</v>
      </c>
      <c r="CH37">
        <f t="shared" si="56"/>
        <v>0.17845943695402841</v>
      </c>
      <c r="CI37">
        <v>5</v>
      </c>
      <c r="CJ37">
        <f t="shared" si="57"/>
        <v>152.4</v>
      </c>
      <c r="CK37">
        <v>5</v>
      </c>
      <c r="CL37">
        <f t="shared" si="58"/>
        <v>152.4</v>
      </c>
      <c r="CM37">
        <f t="shared" si="59"/>
        <v>26.208305135889084</v>
      </c>
      <c r="CN37">
        <f t="shared" ref="CN37:CN64" si="98">IF($G37=1,$CJ37*IF($CI37=2,AVERAGE($CB37:$CB38),IF($CI37=3,AVERAGE($CB37:$CB39),IF($CI37=4,AVERAGE($CB37:$CB40),AVERAGE($CB37:$CB41)))),CN36)</f>
        <v>27.598879816357105</v>
      </c>
      <c r="CO37">
        <f t="shared" ref="CO37:CO64" si="99">IF($G37=1,$CL37*IF($CK37=2,AVERAGE($BG37:$BG38),IF($CK37=3,AVERAGE($BG37:$BG39),IF($CK37=4,AVERAGE($BG37:$BG40),AVERAGE($BG37:$BG41)))),CO36)</f>
        <v>26.208305135889084</v>
      </c>
      <c r="CP37">
        <f t="shared" ref="CP37:CP64" si="100">IF($G37=1,$CL37*IF($CK37=2,AVERAGE($CB37:$CB38),IF($CK37=3,AVERAGE($CB37:$CB39),IF($CK37=4,AVERAGE($CB37:$CB40),AVERAGE($CB37:$CB41)))),CP36)</f>
        <v>27.598879816357105</v>
      </c>
      <c r="CQ37">
        <v>0.16221497006254204</v>
      </c>
      <c r="CR37">
        <v>0.10880577393791535</v>
      </c>
      <c r="CS37">
        <v>0.137707735438302</v>
      </c>
      <c r="CU37">
        <v>150</v>
      </c>
      <c r="CV37">
        <f t="shared" ref="CV37:CV64" si="101">IF(G37=1,CU37*IF(CU37&lt;60,AVERAGE(BE37:BE38),IF(CU37&lt;91,AVERAGE(BE37:BE39),IF(CU37&lt;122,AVERAGE(BE37:BE40),AVERAGE(BE37:BE41)))),CV36)</f>
        <v>25.733455084563563</v>
      </c>
      <c r="CX37" s="4"/>
      <c r="DC37">
        <f t="shared" si="60"/>
        <v>0</v>
      </c>
    </row>
    <row r="38" spans="3:137">
      <c r="C38">
        <f t="shared" si="33"/>
        <v>28.170744981547777</v>
      </c>
      <c r="E38" t="s">
        <v>7</v>
      </c>
      <c r="F38">
        <v>7</v>
      </c>
      <c r="G38">
        <v>4</v>
      </c>
      <c r="H38" s="27">
        <v>15.7626957959823</v>
      </c>
      <c r="I38" s="27">
        <v>58.883633720624701</v>
      </c>
      <c r="J38" s="27">
        <v>25.353670483393</v>
      </c>
      <c r="L38" s="34">
        <v>0.95961048091980483</v>
      </c>
      <c r="M38" s="8">
        <v>0.79274822615647877</v>
      </c>
      <c r="N38" t="str">
        <f t="shared" si="73"/>
        <v/>
      </c>
      <c r="P38" s="7">
        <f t="shared" si="35"/>
        <v>0.95961048091980483</v>
      </c>
      <c r="Q38" s="7">
        <f t="shared" si="68"/>
        <v>0.95961048091980483</v>
      </c>
      <c r="S38" s="38">
        <v>1.2758</v>
      </c>
      <c r="T38" s="38">
        <v>0.10463</v>
      </c>
      <c r="U38" s="27">
        <v>1.3724000000000001</v>
      </c>
      <c r="V38" s="27">
        <v>0.13225999999999999</v>
      </c>
      <c r="W38" s="27">
        <f t="shared" si="36"/>
        <v>9.6600000000000019E-2</v>
      </c>
      <c r="X38" s="27">
        <f t="shared" si="36"/>
        <v>2.7629999999999988E-2</v>
      </c>
      <c r="Y38" s="8">
        <v>0.17746523388116342</v>
      </c>
      <c r="Z38" s="8">
        <v>0.29583512237011594</v>
      </c>
      <c r="AA38" s="4">
        <v>0.21299999999999999</v>
      </c>
      <c r="AB38" s="4">
        <v>1.24</v>
      </c>
      <c r="AC38" s="4">
        <v>2.06E-2</v>
      </c>
      <c r="AD38" s="4">
        <v>5.2999999999999999E-2</v>
      </c>
      <c r="AE38" s="8">
        <f t="shared" si="37"/>
        <v>2.9900915756463196</v>
      </c>
      <c r="AF38" s="8">
        <f t="shared" si="38"/>
        <v>18.214272506235517</v>
      </c>
      <c r="AG38" s="8">
        <f t="shared" si="39"/>
        <v>15.224180930589197</v>
      </c>
      <c r="AH38" s="8">
        <f t="shared" si="74"/>
        <v>0.11836988848895252</v>
      </c>
      <c r="AI38" s="8">
        <f t="shared" si="75"/>
        <v>0.17029749843124886</v>
      </c>
      <c r="AJ38" s="8">
        <f t="shared" si="76"/>
        <v>0.28388648405055628</v>
      </c>
      <c r="AK38" s="8">
        <f t="shared" si="40"/>
        <v>0.11358898561930741</v>
      </c>
      <c r="AL38" s="27">
        <v>0.16984924623115574</v>
      </c>
      <c r="AM38" s="27">
        <v>0.13087774294670859</v>
      </c>
      <c r="AN38" s="27">
        <v>0.30137795275590556</v>
      </c>
      <c r="AO38" s="27">
        <v>2.2519597989949749</v>
      </c>
      <c r="AP38" s="27">
        <v>2.379555250783699</v>
      </c>
      <c r="AQ38" s="27">
        <v>7.9709399606299209</v>
      </c>
      <c r="AR38" s="27">
        <v>2.5054271356783921</v>
      </c>
      <c r="AS38" s="27">
        <v>2.4384551332288402</v>
      </c>
      <c r="AT38" s="27">
        <v>8.1905474901574795</v>
      </c>
      <c r="AU38">
        <f t="shared" si="41"/>
        <v>0.13152870652474982</v>
      </c>
      <c r="AV38">
        <f t="shared" si="42"/>
        <v>0.17050020980919697</v>
      </c>
      <c r="AW38">
        <f t="shared" si="43"/>
        <v>5.7189801616349456</v>
      </c>
      <c r="AX38">
        <f t="shared" si="44"/>
        <v>5.5913847098462224</v>
      </c>
      <c r="AY38">
        <f t="shared" si="45"/>
        <v>5.6851203544790874</v>
      </c>
      <c r="AZ38">
        <f t="shared" si="46"/>
        <v>5.7520923569286388</v>
      </c>
      <c r="BA38">
        <f t="shared" si="77"/>
        <v>0.63788283738875284</v>
      </c>
      <c r="BB38" t="str">
        <f t="shared" si="78"/>
        <v/>
      </c>
      <c r="BC38">
        <f t="shared" si="79"/>
        <v>0.3404055381003635</v>
      </c>
      <c r="BD38" t="str">
        <f t="shared" si="80"/>
        <v/>
      </c>
      <c r="BE38">
        <f t="shared" si="81"/>
        <v>0.16744532625714403</v>
      </c>
      <c r="BF38" t="str">
        <f t="shared" si="82"/>
        <v/>
      </c>
      <c r="BG38">
        <f t="shared" ref="BG38:BG64" si="102">IF(OR(BC38="",BE38=""),"",BC38-BE38)</f>
        <v>0.17296021184321947</v>
      </c>
      <c r="BH38" t="str">
        <f t="shared" si="48"/>
        <v/>
      </c>
      <c r="BI38" s="10">
        <f t="shared" ref="BI38:BI58" si="103">EXP(19.52348*porosity-8.96847-0.028212*clay+0.00018107*sand^2-0.0094125*clay^2-8.395215*porosity^2+0.077718*sand*porosity-0.00298*sand^2*porosity^2-0.019492*clay^2*porosity^2+0.0000173*sand^2*clay+0.02733*clay^2*porosity+0.001434*sand^2*porosity-0.0000035*clay^2*sand)</f>
        <v>1.2681380922222687</v>
      </c>
      <c r="BJ38">
        <f t="shared" si="49"/>
        <v>3.5226058117285239</v>
      </c>
      <c r="BK38">
        <f t="shared" si="83"/>
        <v>0.29747729928838934</v>
      </c>
      <c r="BL38">
        <f t="shared" si="84"/>
        <v>25.377439811532323</v>
      </c>
      <c r="BM38" t="str">
        <f t="shared" si="85"/>
        <v/>
      </c>
      <c r="BN38" s="10">
        <f t="shared" si="86"/>
        <v>0.30394227649944783</v>
      </c>
      <c r="BO38" s="10" t="str">
        <f t="shared" si="87"/>
        <v/>
      </c>
      <c r="BP38" s="10">
        <f t="shared" si="88"/>
        <v>8.8472600819724703E-2</v>
      </c>
      <c r="BQ38" s="10" t="str">
        <f t="shared" si="89"/>
        <v/>
      </c>
      <c r="BR38">
        <f t="shared" ref="BR38:BR58" si="104">100*EXP(-4.396-0.0715*clay-4.88*10^-4*sand^2-4.285*10^-5*sand^2*clay)</f>
        <v>0.1360411418660516</v>
      </c>
      <c r="BS38">
        <f t="shared" ref="BS38:BS58" si="105">-3.14-0.00222*clay^2-3.484*10^-5*sand^2*clay</f>
        <v>-4.7865075395845524</v>
      </c>
      <c r="BT38">
        <f t="shared" si="50"/>
        <v>0.14000000000000001</v>
      </c>
      <c r="BU38">
        <f t="shared" si="51"/>
        <v>0.32</v>
      </c>
      <c r="BV38">
        <f t="shared" si="52"/>
        <v>0.18</v>
      </c>
      <c r="BW38">
        <f t="shared" si="90"/>
        <v>7.0000000000000007E-2</v>
      </c>
      <c r="BX38">
        <f t="shared" si="91"/>
        <v>0.22</v>
      </c>
      <c r="BY38">
        <f t="shared" si="53"/>
        <v>0.15</v>
      </c>
      <c r="BZ38">
        <f t="shared" si="92"/>
        <v>5.3721553669578676E-2</v>
      </c>
      <c r="CA38">
        <f t="shared" si="93"/>
        <v>0.23246223071087102</v>
      </c>
      <c r="CB38">
        <f t="shared" si="54"/>
        <v>0.17874067704129235</v>
      </c>
      <c r="CC38" t="str">
        <f t="shared" si="94"/>
        <v/>
      </c>
      <c r="CD38" t="str">
        <f t="shared" si="95"/>
        <v/>
      </c>
      <c r="CE38" t="str">
        <f t="shared" si="55"/>
        <v/>
      </c>
      <c r="CF38" t="str">
        <f t="shared" si="96"/>
        <v/>
      </c>
      <c r="CG38" t="str">
        <f t="shared" si="97"/>
        <v/>
      </c>
      <c r="CH38" t="str">
        <f t="shared" si="56"/>
        <v/>
      </c>
      <c r="CI38">
        <v>5</v>
      </c>
      <c r="CJ38">
        <f t="shared" si="57"/>
        <v>152.4</v>
      </c>
      <c r="CK38">
        <v>5</v>
      </c>
      <c r="CL38">
        <f t="shared" si="58"/>
        <v>152.4</v>
      </c>
      <c r="CM38">
        <f t="shared" ref="CM38:CM64" si="106">IF($G38=1,CJ38*IF($CI38=2,AVERAGE($BG38:$BG39),IF($CI38=3,AVERAGE($BG38:$BG40),IF($CI38=4,AVERAGE($BG38:$BG41),AVERAGE($BG38:$BG42)))),CM37)</f>
        <v>26.208305135889084</v>
      </c>
      <c r="CN38">
        <f t="shared" si="98"/>
        <v>27.598879816357105</v>
      </c>
      <c r="CO38">
        <f t="shared" si="99"/>
        <v>26.208305135889084</v>
      </c>
      <c r="CP38">
        <f t="shared" si="100"/>
        <v>27.598879816357105</v>
      </c>
      <c r="CQ38">
        <v>0.13927790978236451</v>
      </c>
      <c r="CR38">
        <v>8.5781456872556117E-2</v>
      </c>
      <c r="CS38">
        <v>0.13404033047593089</v>
      </c>
      <c r="CT38">
        <v>0.12</v>
      </c>
      <c r="CU38">
        <v>150</v>
      </c>
      <c r="CV38">
        <f t="shared" si="101"/>
        <v>25.733455084563563</v>
      </c>
      <c r="CX38" s="4"/>
      <c r="DC38">
        <f t="shared" si="60"/>
        <v>0</v>
      </c>
    </row>
    <row r="39" spans="3:137">
      <c r="C39">
        <f t="shared" si="33"/>
        <v>22.69671971299411</v>
      </c>
      <c r="E39" t="s">
        <v>7</v>
      </c>
      <c r="F39">
        <v>7</v>
      </c>
      <c r="G39">
        <v>5</v>
      </c>
      <c r="H39" s="27">
        <v>14.2141539185853</v>
      </c>
      <c r="I39" s="27">
        <v>65.358798339720096</v>
      </c>
      <c r="J39" s="27">
        <v>20.4270477416947</v>
      </c>
      <c r="L39" s="34">
        <v>1.021120458591469</v>
      </c>
      <c r="M39" s="8">
        <v>0.86814391196052887</v>
      </c>
      <c r="N39" t="str">
        <f t="shared" si="73"/>
        <v/>
      </c>
      <c r="P39" s="7">
        <f t="shared" si="35"/>
        <v>1.021120458591469</v>
      </c>
      <c r="Q39" s="7">
        <f t="shared" si="68"/>
        <v>1.021120458591469</v>
      </c>
      <c r="S39" s="38">
        <v>0.97018000000000004</v>
      </c>
      <c r="T39" s="38">
        <v>9.6290000000000001E-2</v>
      </c>
      <c r="U39" s="27">
        <v>1.0658000000000001</v>
      </c>
      <c r="V39" s="27">
        <v>0.11201999999999999</v>
      </c>
      <c r="W39" s="27">
        <f t="shared" si="36"/>
        <v>9.5620000000000038E-2</v>
      </c>
      <c r="X39" s="27">
        <f t="shared" si="36"/>
        <v>1.5729999999999994E-2</v>
      </c>
      <c r="Y39" s="8">
        <v>0.21817718940936881</v>
      </c>
      <c r="Z39" s="8">
        <v>0.31287267625394571</v>
      </c>
      <c r="AA39" s="4">
        <v>0.23100000000000001</v>
      </c>
      <c r="AB39" s="4">
        <v>0.79800000000000004</v>
      </c>
      <c r="AC39" s="4">
        <v>3.2199999999999999E-2</v>
      </c>
      <c r="AD39" s="4">
        <v>0</v>
      </c>
      <c r="AE39" s="8">
        <f t="shared" si="37"/>
        <v>3.7088724743497328</v>
      </c>
      <c r="AF39" s="8">
        <f t="shared" si="38"/>
        <v>12.119119115200325</v>
      </c>
      <c r="AG39" s="8">
        <f t="shared" si="39"/>
        <v>8.4102466408505929</v>
      </c>
      <c r="AH39" s="8">
        <f t="shared" si="74"/>
        <v>9.4695486844576904E-2</v>
      </c>
      <c r="AI39" s="8">
        <f t="shared" si="75"/>
        <v>0.22278519170389249</v>
      </c>
      <c r="AJ39" s="8">
        <f t="shared" si="76"/>
        <v>0.31948069065716928</v>
      </c>
      <c r="AK39" s="8">
        <f t="shared" si="40"/>
        <v>9.6695498953276782E-2</v>
      </c>
      <c r="AL39" s="27">
        <v>0.22771767130345172</v>
      </c>
      <c r="AM39" s="27">
        <v>0.11887456037514636</v>
      </c>
      <c r="AN39" s="27">
        <v>0.31805929919137482</v>
      </c>
      <c r="AO39" s="27">
        <v>2.1638523956723335</v>
      </c>
      <c r="AP39" s="27">
        <v>2.6899609222352474</v>
      </c>
      <c r="AQ39" s="27">
        <v>5.3820754716981138</v>
      </c>
      <c r="AR39" s="27">
        <v>2.3567063798729171</v>
      </c>
      <c r="AS39" s="27">
        <v>2.7701469323954662</v>
      </c>
      <c r="AT39" s="27">
        <v>6.0301212938005397</v>
      </c>
      <c r="AU39">
        <f t="shared" si="41"/>
        <v>9.0341627887923104E-2</v>
      </c>
      <c r="AV39">
        <f t="shared" si="42"/>
        <v>0.19918473881622845</v>
      </c>
      <c r="AW39">
        <f t="shared" si="43"/>
        <v>3.2182230760257804</v>
      </c>
      <c r="AX39">
        <f t="shared" si="44"/>
        <v>2.6921145494628664</v>
      </c>
      <c r="AY39">
        <f t="shared" si="45"/>
        <v>3.6734149139276226</v>
      </c>
      <c r="AZ39">
        <f t="shared" si="46"/>
        <v>3.2599743614050736</v>
      </c>
      <c r="BA39">
        <f t="shared" si="77"/>
        <v>0.61467152505982292</v>
      </c>
      <c r="BB39" t="str">
        <f t="shared" si="78"/>
        <v/>
      </c>
      <c r="BC39">
        <f t="shared" si="79"/>
        <v>0.32320989122721694</v>
      </c>
      <c r="BD39" t="str">
        <f t="shared" si="80"/>
        <v/>
      </c>
      <c r="BE39">
        <f t="shared" si="81"/>
        <v>0.14857823104689361</v>
      </c>
      <c r="BF39" t="str">
        <f t="shared" si="82"/>
        <v/>
      </c>
      <c r="BG39">
        <f t="shared" si="102"/>
        <v>0.17463166018032333</v>
      </c>
      <c r="BH39" t="str">
        <f t="shared" si="48"/>
        <v/>
      </c>
      <c r="BI39" s="10">
        <f t="shared" si="103"/>
        <v>1.00995907330654</v>
      </c>
      <c r="BJ39">
        <f t="shared" si="49"/>
        <v>2.8054418702959447</v>
      </c>
      <c r="BK39">
        <f t="shared" si="83"/>
        <v>0.29146163383260598</v>
      </c>
      <c r="BL39">
        <f t="shared" si="84"/>
        <v>28.899096735889891</v>
      </c>
      <c r="BM39" t="str">
        <f t="shared" si="85"/>
        <v/>
      </c>
      <c r="BN39" s="10">
        <f t="shared" si="86"/>
        <v>0.3191249043328947</v>
      </c>
      <c r="BO39" s="10" t="str">
        <f t="shared" si="87"/>
        <v/>
      </c>
      <c r="BP39" s="10">
        <f t="shared" si="88"/>
        <v>7.5217379494318171E-2</v>
      </c>
      <c r="BQ39" s="10" t="str">
        <f t="shared" si="89"/>
        <v/>
      </c>
      <c r="BR39">
        <f t="shared" si="104"/>
        <v>0.21722803661973605</v>
      </c>
      <c r="BS39">
        <f t="shared" si="105"/>
        <v>-4.2101157383403791</v>
      </c>
      <c r="BT39">
        <f t="shared" si="50"/>
        <v>0.12</v>
      </c>
      <c r="BU39">
        <f t="shared" si="51"/>
        <v>0.3</v>
      </c>
      <c r="BV39">
        <f t="shared" si="52"/>
        <v>0.18</v>
      </c>
      <c r="BW39">
        <f t="shared" si="90"/>
        <v>0.09</v>
      </c>
      <c r="BX39">
        <f t="shared" si="91"/>
        <v>0.23</v>
      </c>
      <c r="BY39">
        <f t="shared" si="53"/>
        <v>0.14000000000000001</v>
      </c>
      <c r="BZ39">
        <f t="shared" si="92"/>
        <v>6.8004170484939092E-2</v>
      </c>
      <c r="CA39">
        <f t="shared" si="93"/>
        <v>0.24790123510645876</v>
      </c>
      <c r="CB39">
        <f t="shared" si="54"/>
        <v>0.17989706462151966</v>
      </c>
      <c r="CC39" t="str">
        <f t="shared" si="94"/>
        <v/>
      </c>
      <c r="CD39" t="str">
        <f t="shared" si="95"/>
        <v/>
      </c>
      <c r="CE39" t="str">
        <f t="shared" si="55"/>
        <v/>
      </c>
      <c r="CF39" t="str">
        <f t="shared" si="96"/>
        <v/>
      </c>
      <c r="CG39" t="str">
        <f t="shared" si="97"/>
        <v/>
      </c>
      <c r="CH39" t="str">
        <f t="shared" si="56"/>
        <v/>
      </c>
      <c r="CI39">
        <v>5</v>
      </c>
      <c r="CJ39">
        <f t="shared" si="57"/>
        <v>152.4</v>
      </c>
      <c r="CK39">
        <v>5</v>
      </c>
      <c r="CL39">
        <f t="shared" si="58"/>
        <v>152.4</v>
      </c>
      <c r="CM39">
        <f t="shared" si="106"/>
        <v>26.208305135889084</v>
      </c>
      <c r="CN39">
        <f t="shared" si="98"/>
        <v>27.598879816357105</v>
      </c>
      <c r="CO39">
        <f t="shared" si="99"/>
        <v>26.208305135889084</v>
      </c>
      <c r="CP39">
        <f t="shared" si="100"/>
        <v>27.598879816357105</v>
      </c>
      <c r="CQ39">
        <v>0.16349630831588843</v>
      </c>
      <c r="CR39">
        <v>0.10220133713032914</v>
      </c>
      <c r="CS39">
        <v>0.12411844832742902</v>
      </c>
      <c r="CT39">
        <v>5.0000000000000017E-2</v>
      </c>
      <c r="CU39">
        <v>150</v>
      </c>
      <c r="CV39">
        <f t="shared" si="101"/>
        <v>25.733455084563563</v>
      </c>
      <c r="CX39" s="4"/>
      <c r="DC39">
        <f t="shared" si="60"/>
        <v>0</v>
      </c>
    </row>
    <row r="40" spans="3:137">
      <c r="C40">
        <f t="shared" si="33"/>
        <v>38.689642729035548</v>
      </c>
      <c r="E40" t="s">
        <v>7</v>
      </c>
      <c r="F40">
        <v>8</v>
      </c>
      <c r="G40">
        <v>1</v>
      </c>
      <c r="H40" s="27">
        <v>9.1463446595658677</v>
      </c>
      <c r="I40" s="27">
        <v>56.032976884302137</v>
      </c>
      <c r="J40" s="27">
        <v>34.820678456131994</v>
      </c>
      <c r="K40" s="8">
        <v>1.3790714158394604</v>
      </c>
      <c r="L40" s="34">
        <v>1.3138479777503751</v>
      </c>
      <c r="M40" s="8">
        <v>1.2795396082409491</v>
      </c>
      <c r="N40">
        <f t="shared" si="73"/>
        <v>4.8440690979716414E-2</v>
      </c>
      <c r="O40">
        <f>AVERAGE(K40:M40)</f>
        <v>1.3241530006102613</v>
      </c>
      <c r="P40" s="7">
        <f t="shared" si="35"/>
        <v>1.3464596967949176</v>
      </c>
      <c r="Q40" s="7">
        <f t="shared" si="68"/>
        <v>1.3464596967949176</v>
      </c>
      <c r="R40" s="8">
        <v>1.149139214687698</v>
      </c>
      <c r="S40" s="38">
        <v>1.7397333333333336</v>
      </c>
      <c r="T40" s="38">
        <v>0.13911333333333334</v>
      </c>
      <c r="U40" s="27">
        <v>2.0005000000000002</v>
      </c>
      <c r="V40" s="27">
        <v>0.15748000000000001</v>
      </c>
      <c r="W40" s="27">
        <f t="shared" si="36"/>
        <v>0.26076666666666659</v>
      </c>
      <c r="X40" s="27">
        <f t="shared" si="36"/>
        <v>1.836666666666667E-2</v>
      </c>
      <c r="Y40" s="8">
        <v>0.13206517502143914</v>
      </c>
      <c r="Z40" s="8">
        <v>0.27208804646896967</v>
      </c>
      <c r="AA40" s="4">
        <v>0.35499999999999998</v>
      </c>
      <c r="AB40" s="4">
        <v>0.62</v>
      </c>
      <c r="AC40" s="4">
        <v>0.157</v>
      </c>
      <c r="AD40" s="4">
        <v>0.2</v>
      </c>
      <c r="AE40" s="8">
        <f t="shared" si="37"/>
        <v>8.8410393860490526</v>
      </c>
      <c r="AF40" s="8">
        <f t="shared" si="38"/>
        <v>15.910834476372331</v>
      </c>
      <c r="AG40" s="8">
        <f t="shared" si="39"/>
        <v>7.0697950903232787</v>
      </c>
      <c r="AH40" s="8">
        <f t="shared" si="74"/>
        <v>0.14002287144753053</v>
      </c>
      <c r="AI40" s="8">
        <f t="shared" si="75"/>
        <v>0.17782043551653468</v>
      </c>
      <c r="AJ40" s="8">
        <f t="shared" si="76"/>
        <v>0.36635558855013034</v>
      </c>
      <c r="AK40" s="8">
        <f t="shared" si="40"/>
        <v>0.18853515303359566</v>
      </c>
      <c r="AL40" s="27">
        <v>0.14486528699726672</v>
      </c>
      <c r="AM40" s="27">
        <v>0.14912833438353273</v>
      </c>
      <c r="AN40" s="27">
        <v>0.26466351101049596</v>
      </c>
      <c r="AO40" s="27">
        <v>7.4416243654822329</v>
      </c>
      <c r="AP40" s="27">
        <v>9.6718301477280662</v>
      </c>
      <c r="AQ40" s="27">
        <v>4.7582964601769913</v>
      </c>
      <c r="AR40" s="27">
        <v>7.8103663933359355</v>
      </c>
      <c r="AS40" s="27">
        <v>9.8667031611006077</v>
      </c>
      <c r="AT40" s="27">
        <v>6.0124211085957331</v>
      </c>
      <c r="AU40">
        <f t="shared" si="41"/>
        <v>0.11979822401322923</v>
      </c>
      <c r="AV40">
        <f t="shared" si="42"/>
        <v>0.11553517662696322</v>
      </c>
      <c r="AW40">
        <f t="shared" si="43"/>
        <v>-2.6833279053052417</v>
      </c>
      <c r="AX40">
        <f t="shared" si="44"/>
        <v>-4.9135336875510749</v>
      </c>
      <c r="AY40">
        <f t="shared" si="45"/>
        <v>-1.7979452847402024</v>
      </c>
      <c r="AZ40">
        <f t="shared" si="46"/>
        <v>-3.8542820525048747</v>
      </c>
      <c r="BA40">
        <f t="shared" si="77"/>
        <v>0.49190200120946503</v>
      </c>
      <c r="BB40">
        <f t="shared" si="78"/>
        <v>0.56636256049520828</v>
      </c>
      <c r="BC40">
        <f t="shared" si="79"/>
        <v>0.36961984789759217</v>
      </c>
      <c r="BD40">
        <f t="shared" si="80"/>
        <v>0.37482334561204711</v>
      </c>
      <c r="BE40">
        <f t="shared" si="81"/>
        <v>0.20796803076237641</v>
      </c>
      <c r="BF40">
        <f t="shared" si="82"/>
        <v>0.20251686925960674</v>
      </c>
      <c r="BG40">
        <f t="shared" si="102"/>
        <v>0.16165181713521576</v>
      </c>
      <c r="BH40">
        <f t="shared" si="48"/>
        <v>0.17230647635244037</v>
      </c>
      <c r="BI40" s="10">
        <f t="shared" si="103"/>
        <v>5.8757490410227708E-2</v>
      </c>
      <c r="BJ40">
        <f t="shared" si="49"/>
        <v>0.1632152511395214</v>
      </c>
      <c r="BK40">
        <f t="shared" si="83"/>
        <v>0.12228215331187287</v>
      </c>
      <c r="BL40">
        <f t="shared" si="84"/>
        <v>69.75664385481393</v>
      </c>
      <c r="BM40">
        <f t="shared" si="85"/>
        <v>44.621851084950116</v>
      </c>
      <c r="BN40" s="10">
        <f t="shared" si="86"/>
        <v>0.24156517362247582</v>
      </c>
      <c r="BO40" s="10">
        <f t="shared" si="87"/>
        <v>0.26924688537239683</v>
      </c>
      <c r="BP40" s="10">
        <f t="shared" si="88"/>
        <v>0.10121614719254864</v>
      </c>
      <c r="BQ40" s="10">
        <f t="shared" si="89"/>
        <v>0.10649539030454205</v>
      </c>
      <c r="BR40">
        <f t="shared" si="104"/>
        <v>8.6626285673102307E-2</v>
      </c>
      <c r="BS40">
        <f t="shared" si="105"/>
        <v>-5.9331918389550147</v>
      </c>
      <c r="BT40">
        <f t="shared" si="50"/>
        <v>0.19</v>
      </c>
      <c r="BU40">
        <f t="shared" si="51"/>
        <v>0.37</v>
      </c>
      <c r="BV40">
        <f t="shared" si="52"/>
        <v>0.18</v>
      </c>
      <c r="BW40">
        <f t="shared" si="90"/>
        <v>0.18</v>
      </c>
      <c r="BX40">
        <f t="shared" si="91"/>
        <v>0.3</v>
      </c>
      <c r="BY40">
        <f t="shared" si="53"/>
        <v>0.12</v>
      </c>
      <c r="BZ40">
        <f t="shared" si="92"/>
        <v>0.14354794159577985</v>
      </c>
      <c r="CA40">
        <f t="shared" si="93"/>
        <v>0.32956138389552431</v>
      </c>
      <c r="CB40">
        <f t="shared" si="54"/>
        <v>0.18601344229974445</v>
      </c>
      <c r="CC40">
        <f t="shared" si="94"/>
        <v>0.13</v>
      </c>
      <c r="CD40">
        <f t="shared" si="95"/>
        <v>0.26</v>
      </c>
      <c r="CE40">
        <f t="shared" si="55"/>
        <v>0.13</v>
      </c>
      <c r="CF40">
        <f t="shared" si="96"/>
        <v>9.7730125650483474E-2</v>
      </c>
      <c r="CG40">
        <f t="shared" si="97"/>
        <v>0.28003394288661215</v>
      </c>
      <c r="CH40">
        <f t="shared" si="56"/>
        <v>0.18230381723612868</v>
      </c>
      <c r="CI40">
        <v>5</v>
      </c>
      <c r="CJ40">
        <f t="shared" si="57"/>
        <v>152.4</v>
      </c>
      <c r="CK40">
        <v>5</v>
      </c>
      <c r="CL40">
        <f t="shared" si="58"/>
        <v>152.4</v>
      </c>
      <c r="CM40">
        <f t="shared" si="106"/>
        <v>21.547922910211955</v>
      </c>
      <c r="CN40">
        <f t="shared" si="98"/>
        <v>25.107171404313537</v>
      </c>
      <c r="CO40">
        <f t="shared" si="99"/>
        <v>21.547922910211955</v>
      </c>
      <c r="CP40">
        <f t="shared" si="100"/>
        <v>25.107171404313537</v>
      </c>
      <c r="CQ40">
        <v>0.16275689185824824</v>
      </c>
      <c r="CR40">
        <v>0.14010207833518404</v>
      </c>
      <c r="CS40">
        <v>0.18541170538131244</v>
      </c>
      <c r="CT40">
        <v>0.12999999999999998</v>
      </c>
      <c r="CU40">
        <v>37</v>
      </c>
      <c r="CV40">
        <f t="shared" si="101"/>
        <v>7.6262403525976312</v>
      </c>
      <c r="CX40" s="4"/>
      <c r="DC40">
        <f t="shared" si="60"/>
        <v>0</v>
      </c>
    </row>
    <row r="41" spans="3:137">
      <c r="C41">
        <f t="shared" si="33"/>
        <v>37.225684343425442</v>
      </c>
      <c r="E41" t="s">
        <v>7</v>
      </c>
      <c r="F41">
        <v>8</v>
      </c>
      <c r="G41">
        <v>2</v>
      </c>
      <c r="H41" s="27">
        <v>9.3063641118376896</v>
      </c>
      <c r="I41" s="27">
        <v>57.190519979079397</v>
      </c>
      <c r="J41" s="27">
        <v>33.503115909082901</v>
      </c>
      <c r="K41" s="8">
        <v>1.5995360570503898</v>
      </c>
      <c r="L41" s="34">
        <v>1.2257236550588062</v>
      </c>
      <c r="M41" s="8">
        <v>1.5561439334121439</v>
      </c>
      <c r="N41">
        <f t="shared" si="73"/>
        <v>0.26462162072350803</v>
      </c>
      <c r="O41">
        <f t="shared" ref="O41:O42" si="107">AVERAGE(K41:M41)</f>
        <v>1.4604678818404466</v>
      </c>
      <c r="P41" s="7">
        <f t="shared" si="35"/>
        <v>1.412629856054598</v>
      </c>
      <c r="Q41" s="7">
        <f t="shared" si="68"/>
        <v>1.412629856054598</v>
      </c>
      <c r="R41" s="8">
        <v>1.2539530603118743</v>
      </c>
      <c r="S41" s="38">
        <v>0.69150999999999996</v>
      </c>
      <c r="T41" s="38">
        <v>7.0940000000000003E-2</v>
      </c>
      <c r="U41" s="27">
        <v>0.87314000000000003</v>
      </c>
      <c r="V41" s="27">
        <v>9.1929999999999998E-2</v>
      </c>
      <c r="W41" s="27">
        <f t="shared" si="36"/>
        <v>0.18163000000000007</v>
      </c>
      <c r="X41" s="27">
        <f t="shared" si="36"/>
        <v>2.0989999999999995E-2</v>
      </c>
      <c r="Y41" s="35">
        <v>0.33734148104343259</v>
      </c>
      <c r="Z41" s="8">
        <v>0.22704225352112703</v>
      </c>
      <c r="AA41" s="4">
        <v>7.3300000000000004E-2</v>
      </c>
      <c r="AB41" s="4">
        <v>0.45200000000000001</v>
      </c>
      <c r="AC41" s="4">
        <v>0</v>
      </c>
      <c r="AD41" s="4">
        <v>8.1799999999999998E-2</v>
      </c>
      <c r="AE41" s="8">
        <f t="shared" si="37"/>
        <v>1.568712099921904</v>
      </c>
      <c r="AF41" s="8">
        <f t="shared" si="38"/>
        <v>10.481780085302759</v>
      </c>
      <c r="AG41" s="8">
        <f t="shared" si="39"/>
        <v>8.9130679853808559</v>
      </c>
      <c r="AH41" s="8">
        <f t="shared" si="74"/>
        <v>-0.11029922752230556</v>
      </c>
      <c r="AI41" s="8">
        <f t="shared" si="75"/>
        <v>0.47653864780762906</v>
      </c>
      <c r="AJ41" s="8">
        <f t="shared" si="76"/>
        <v>0.32072666590986121</v>
      </c>
      <c r="AK41" s="8">
        <f t="shared" si="40"/>
        <v>-0.15581198189776785</v>
      </c>
      <c r="AL41" s="27">
        <v>0.17262321887409485</v>
      </c>
      <c r="AM41" s="27">
        <v>0.14192258767944763</v>
      </c>
      <c r="AN41" s="27">
        <v>0.21011029411764723</v>
      </c>
      <c r="AO41" s="27">
        <v>1.4608930935139766</v>
      </c>
      <c r="AP41" s="27">
        <v>1.6319976982252109</v>
      </c>
      <c r="AQ41" s="27">
        <v>1.0538043811274509</v>
      </c>
      <c r="AR41" s="27">
        <v>1.6362979833372266</v>
      </c>
      <c r="AS41" s="27">
        <v>1.917002544066873</v>
      </c>
      <c r="AT41" s="27">
        <v>1.3704499080882353</v>
      </c>
      <c r="AU41">
        <f t="shared" si="41"/>
        <v>3.7487075243552381E-2</v>
      </c>
      <c r="AV41">
        <f t="shared" si="42"/>
        <v>6.8187706438199602E-2</v>
      </c>
      <c r="AW41">
        <f t="shared" si="43"/>
        <v>-0.40708871238652566</v>
      </c>
      <c r="AX41">
        <f t="shared" si="44"/>
        <v>-0.57819331709776001</v>
      </c>
      <c r="AY41">
        <f t="shared" si="45"/>
        <v>-0.26584807524899134</v>
      </c>
      <c r="AZ41">
        <f t="shared" si="46"/>
        <v>-0.54655263597863768</v>
      </c>
      <c r="BA41">
        <f t="shared" si="77"/>
        <v>0.46693212979071774</v>
      </c>
      <c r="BB41">
        <f t="shared" si="78"/>
        <v>0.52681016592004748</v>
      </c>
      <c r="BC41">
        <f t="shared" si="79"/>
        <v>0.36158256136046407</v>
      </c>
      <c r="BD41">
        <f t="shared" si="80"/>
        <v>0.36721434913663442</v>
      </c>
      <c r="BE41">
        <f t="shared" si="81"/>
        <v>0.20426117748614422</v>
      </c>
      <c r="BF41">
        <f t="shared" si="82"/>
        <v>0.19950473282669484</v>
      </c>
      <c r="BG41">
        <f t="shared" si="102"/>
        <v>0.15732138387431985</v>
      </c>
      <c r="BH41">
        <f t="shared" si="48"/>
        <v>0.16770961630993958</v>
      </c>
      <c r="BI41" s="10">
        <f t="shared" si="103"/>
        <v>3.7988637999496561E-2</v>
      </c>
      <c r="BJ41">
        <f t="shared" si="49"/>
        <v>0.105523994443046</v>
      </c>
      <c r="BK41">
        <f t="shared" si="83"/>
        <v>0.10534956843025367</v>
      </c>
      <c r="BL41">
        <f t="shared" si="84"/>
        <v>80.084162138601343</v>
      </c>
      <c r="BM41">
        <f t="shared" si="85"/>
        <v>54.753758380248378</v>
      </c>
      <c r="BN41" s="10">
        <f t="shared" si="86"/>
        <v>0.23684551141629009</v>
      </c>
      <c r="BO41" s="10">
        <f t="shared" si="87"/>
        <v>0.26235682706894747</v>
      </c>
      <c r="BP41" s="10">
        <f t="shared" si="88"/>
        <v>9.7195425262092461E-2</v>
      </c>
      <c r="BQ41" s="10">
        <f t="shared" si="89"/>
        <v>0.10210834948718014</v>
      </c>
      <c r="BR41">
        <f t="shared" si="104"/>
        <v>9.5092680157868342E-2</v>
      </c>
      <c r="BS41">
        <f t="shared" si="105"/>
        <v>-5.7329520270583476</v>
      </c>
      <c r="BT41">
        <f t="shared" si="50"/>
        <v>0.19</v>
      </c>
      <c r="BU41">
        <f t="shared" si="51"/>
        <v>0.36</v>
      </c>
      <c r="BV41">
        <f t="shared" si="52"/>
        <v>0.16999999999999998</v>
      </c>
      <c r="BW41">
        <f t="shared" si="90"/>
        <v>0.2</v>
      </c>
      <c r="BX41">
        <f t="shared" si="91"/>
        <v>0.32</v>
      </c>
      <c r="BY41">
        <f t="shared" si="53"/>
        <v>0.12</v>
      </c>
      <c r="BZ41">
        <f t="shared" si="92"/>
        <v>0.15891265257587764</v>
      </c>
      <c r="CA41">
        <f t="shared" si="93"/>
        <v>0.3461700938697041</v>
      </c>
      <c r="CB41">
        <f t="shared" si="54"/>
        <v>0.18725744129382646</v>
      </c>
      <c r="CC41">
        <f t="shared" si="94"/>
        <v>0.16</v>
      </c>
      <c r="CD41">
        <f t="shared" si="95"/>
        <v>0.28000000000000003</v>
      </c>
      <c r="CE41">
        <f t="shared" si="55"/>
        <v>0.12000000000000002</v>
      </c>
      <c r="CF41">
        <f t="shared" si="96"/>
        <v>0.12206790060441716</v>
      </c>
      <c r="CG41">
        <f t="shared" si="97"/>
        <v>0.30634221813828044</v>
      </c>
      <c r="CH41">
        <f t="shared" si="56"/>
        <v>0.18427431753386328</v>
      </c>
      <c r="CI41">
        <v>5</v>
      </c>
      <c r="CJ41">
        <f t="shared" si="57"/>
        <v>152.4</v>
      </c>
      <c r="CK41">
        <v>5</v>
      </c>
      <c r="CL41">
        <f t="shared" si="58"/>
        <v>152.4</v>
      </c>
      <c r="CM41">
        <f t="shared" si="106"/>
        <v>21.547922910211955</v>
      </c>
      <c r="CN41">
        <f t="shared" si="98"/>
        <v>25.107171404313537</v>
      </c>
      <c r="CO41">
        <f t="shared" si="99"/>
        <v>21.547922910211955</v>
      </c>
      <c r="CP41">
        <f t="shared" si="100"/>
        <v>25.107171404313537</v>
      </c>
      <c r="CQ41" t="e">
        <v>#N/A</v>
      </c>
      <c r="CR41" t="e">
        <v>#N/A</v>
      </c>
      <c r="CS41" t="e">
        <v>#N/A</v>
      </c>
      <c r="CU41">
        <v>37</v>
      </c>
      <c r="CV41">
        <f t="shared" si="101"/>
        <v>7.6262403525976312</v>
      </c>
      <c r="CX41" s="4"/>
      <c r="DC41">
        <f t="shared" si="60"/>
        <v>0</v>
      </c>
    </row>
    <row r="42" spans="3:137">
      <c r="C42">
        <f t="shared" si="33"/>
        <v>40.795827515532551</v>
      </c>
      <c r="E42" t="s">
        <v>7</v>
      </c>
      <c r="F42">
        <v>8</v>
      </c>
      <c r="G42">
        <v>3</v>
      </c>
      <c r="H42" s="27">
        <v>8.74015825882333</v>
      </c>
      <c r="I42" s="27">
        <v>54.543596977197303</v>
      </c>
      <c r="J42" s="27">
        <v>36.716244763979297</v>
      </c>
      <c r="K42" s="8">
        <v>1.6399105164242849</v>
      </c>
      <c r="L42" s="34">
        <v>1.5773406615524519</v>
      </c>
      <c r="N42">
        <f t="shared" si="73"/>
        <v>3.8896468699830815E-2</v>
      </c>
      <c r="O42">
        <f t="shared" si="107"/>
        <v>1.6086255889883683</v>
      </c>
      <c r="P42" s="7">
        <f t="shared" si="35"/>
        <v>1.6086255889883683</v>
      </c>
      <c r="Q42" s="7">
        <f t="shared" si="68"/>
        <v>1.6086255889883683</v>
      </c>
      <c r="R42" s="8">
        <v>1.4116343465232888</v>
      </c>
      <c r="S42" s="38">
        <v>0.42049999999999998</v>
      </c>
      <c r="T42" s="38">
        <v>4.4119999999999999E-2</v>
      </c>
      <c r="U42" s="27">
        <v>0.46843000000000001</v>
      </c>
      <c r="V42" s="27">
        <v>6.5710000000000005E-2</v>
      </c>
      <c r="W42" s="27">
        <f t="shared" si="36"/>
        <v>4.7930000000000028E-2</v>
      </c>
      <c r="X42" s="27">
        <f t="shared" si="36"/>
        <v>2.1590000000000005E-2</v>
      </c>
      <c r="Y42" s="8">
        <v>0.1387149469098829</v>
      </c>
      <c r="AA42" s="4">
        <v>7.2300000000000003E-2</v>
      </c>
      <c r="AB42" s="4"/>
      <c r="AC42" s="4">
        <v>0</v>
      </c>
      <c r="AD42" s="4"/>
      <c r="AE42" s="8">
        <f t="shared" si="37"/>
        <v>1.5002957078745214</v>
      </c>
      <c r="AF42" s="8" t="str">
        <f t="shared" si="38"/>
        <v/>
      </c>
      <c r="AG42" s="8" t="str">
        <f t="shared" si="39"/>
        <v/>
      </c>
      <c r="AH42" s="8" t="str">
        <f t="shared" si="74"/>
        <v/>
      </c>
      <c r="AI42" s="8">
        <f t="shared" si="75"/>
        <v>0.22314041317440061</v>
      </c>
      <c r="AJ42" s="8" t="str">
        <f t="shared" si="76"/>
        <v/>
      </c>
      <c r="AK42" s="8" t="str">
        <f t="shared" si="40"/>
        <v/>
      </c>
      <c r="AL42" s="27">
        <v>0.17764471057884246</v>
      </c>
      <c r="AM42" s="27">
        <v>0.13781575037147079</v>
      </c>
      <c r="AN42" s="27">
        <v>0.21221115115539518</v>
      </c>
      <c r="AO42" s="27">
        <v>1.0255322687957418</v>
      </c>
      <c r="AP42" s="27">
        <v>0.6589849554234769</v>
      </c>
      <c r="AQ42" s="27">
        <v>1.2526181895272419</v>
      </c>
      <c r="AR42" s="27">
        <v>1.0255322687957418</v>
      </c>
      <c r="AS42" s="27">
        <v>0.6589849554234769</v>
      </c>
      <c r="AT42" s="27">
        <v>1.2526181895272419</v>
      </c>
      <c r="AU42">
        <f t="shared" si="41"/>
        <v>3.4566440576552726E-2</v>
      </c>
      <c r="AV42">
        <f t="shared" si="42"/>
        <v>7.4395400783924398E-2</v>
      </c>
      <c r="AW42">
        <f t="shared" si="43"/>
        <v>0.22708592073150013</v>
      </c>
      <c r="AX42">
        <f t="shared" si="44"/>
        <v>0.59363323410376501</v>
      </c>
      <c r="AY42">
        <f t="shared" si="45"/>
        <v>0.22708592073150013</v>
      </c>
      <c r="AZ42">
        <f t="shared" si="46"/>
        <v>0.59363323410376501</v>
      </c>
      <c r="BA42">
        <f t="shared" si="77"/>
        <v>0.39297147585344594</v>
      </c>
      <c r="BB42">
        <f t="shared" si="78"/>
        <v>0.4673077937647967</v>
      </c>
      <c r="BC42">
        <f t="shared" si="79"/>
        <v>0.35459416063269605</v>
      </c>
      <c r="BD42">
        <f t="shared" si="80"/>
        <v>0.37418091352020716</v>
      </c>
      <c r="BE42">
        <f t="shared" si="81"/>
        <v>0.22638442332835557</v>
      </c>
      <c r="BF42">
        <f t="shared" si="82"/>
        <v>0.2194551196076529</v>
      </c>
      <c r="BG42">
        <f t="shared" si="102"/>
        <v>0.12820973730434049</v>
      </c>
      <c r="BH42">
        <f t="shared" si="48"/>
        <v>0.15472579391255425</v>
      </c>
      <c r="BI42" s="10">
        <f t="shared" si="103"/>
        <v>3.6940873782468496E-3</v>
      </c>
      <c r="BJ42">
        <f t="shared" si="49"/>
        <v>1.0261353828463471E-2</v>
      </c>
      <c r="BK42">
        <f t="shared" si="83"/>
        <v>3.8377315220749886E-2</v>
      </c>
      <c r="BL42">
        <f t="shared" si="84"/>
        <v>151.16826361568553</v>
      </c>
      <c r="BM42">
        <f t="shared" si="85"/>
        <v>86.280003700761497</v>
      </c>
      <c r="BN42" s="10">
        <f t="shared" si="86"/>
        <v>0.17319936504021385</v>
      </c>
      <c r="BO42" s="10">
        <f t="shared" si="87"/>
        <v>0.21833569515310502</v>
      </c>
      <c r="BP42" s="10">
        <f t="shared" si="88"/>
        <v>8.9529457633322776E-2</v>
      </c>
      <c r="BQ42" s="10">
        <f t="shared" si="89"/>
        <v>0.10052273060384231</v>
      </c>
      <c r="BR42">
        <f t="shared" si="104"/>
        <v>7.6267826847873935E-2</v>
      </c>
      <c r="BS42">
        <f t="shared" si="105"/>
        <v>-6.2304615335080946</v>
      </c>
      <c r="BT42">
        <f t="shared" si="50"/>
        <v>0.2</v>
      </c>
      <c r="BU42">
        <f t="shared" si="51"/>
        <v>0.38</v>
      </c>
      <c r="BV42">
        <f t="shared" si="52"/>
        <v>0.18</v>
      </c>
      <c r="BW42">
        <f t="shared" si="90"/>
        <v>0.26</v>
      </c>
      <c r="BX42">
        <f t="shared" si="91"/>
        <v>0.36</v>
      </c>
      <c r="BY42">
        <f t="shared" si="53"/>
        <v>0.1</v>
      </c>
      <c r="BZ42">
        <f t="shared" si="92"/>
        <v>0.20442286176309912</v>
      </c>
      <c r="CA42">
        <f t="shared" si="93"/>
        <v>0.36297147585344591</v>
      </c>
      <c r="CB42">
        <f t="shared" si="54"/>
        <v>0.15854861409034679</v>
      </c>
      <c r="CC42">
        <f t="shared" si="94"/>
        <v>0.2</v>
      </c>
      <c r="CD42">
        <f t="shared" si="95"/>
        <v>0.32</v>
      </c>
      <c r="CE42">
        <f t="shared" si="55"/>
        <v>0.12</v>
      </c>
      <c r="CF42">
        <f t="shared" si="96"/>
        <v>0.15868149526270767</v>
      </c>
      <c r="CG42">
        <f t="shared" si="97"/>
        <v>0.34592022097734548</v>
      </c>
      <c r="CH42">
        <f t="shared" si="56"/>
        <v>0.18723872571463782</v>
      </c>
      <c r="CI42">
        <v>5</v>
      </c>
      <c r="CJ42">
        <f t="shared" si="57"/>
        <v>152.4</v>
      </c>
      <c r="CK42">
        <v>5</v>
      </c>
      <c r="CL42">
        <f t="shared" si="58"/>
        <v>152.4</v>
      </c>
      <c r="CM42">
        <f t="shared" si="106"/>
        <v>21.547922910211955</v>
      </c>
      <c r="CN42">
        <f t="shared" si="98"/>
        <v>25.107171404313537</v>
      </c>
      <c r="CO42">
        <f t="shared" si="99"/>
        <v>21.547922910211955</v>
      </c>
      <c r="CP42">
        <f t="shared" si="100"/>
        <v>25.107171404313537</v>
      </c>
      <c r="CQ42">
        <v>0.14254326423180536</v>
      </c>
      <c r="CR42">
        <v>9.4039682206445693E-2</v>
      </c>
      <c r="CS42">
        <v>0.1413117938515259</v>
      </c>
      <c r="CT42">
        <v>0.06</v>
      </c>
      <c r="CU42">
        <v>37</v>
      </c>
      <c r="CV42">
        <f t="shared" si="101"/>
        <v>7.6262403525976312</v>
      </c>
      <c r="CX42" s="4"/>
      <c r="DC42">
        <f t="shared" si="60"/>
        <v>0</v>
      </c>
    </row>
    <row r="43" spans="3:137">
      <c r="C43">
        <f t="shared" si="33"/>
        <v>39.344145470520218</v>
      </c>
      <c r="E43" t="s">
        <v>7</v>
      </c>
      <c r="F43">
        <v>8</v>
      </c>
      <c r="G43">
        <v>4</v>
      </c>
      <c r="H43" s="27">
        <v>9.6112457393734498</v>
      </c>
      <c r="I43" s="27">
        <v>54.979023337158402</v>
      </c>
      <c r="J43" s="27">
        <v>35.409730923468196</v>
      </c>
      <c r="K43" s="8">
        <v>1.6947660568686582</v>
      </c>
      <c r="L43" s="34">
        <v>1.5779421901302495</v>
      </c>
      <c r="N43">
        <f t="shared" si="73"/>
        <v>7.139277804279491E-2</v>
      </c>
      <c r="P43" s="7">
        <f t="shared" si="35"/>
        <v>1.6363541234994539</v>
      </c>
      <c r="Q43" s="7">
        <f t="shared" si="68"/>
        <v>1.6363541234994539</v>
      </c>
      <c r="S43" s="38">
        <v>0.32839000000000002</v>
      </c>
      <c r="T43" s="38">
        <v>4.2360000000000002E-2</v>
      </c>
      <c r="U43" s="27">
        <v>0.39365</v>
      </c>
      <c r="V43" s="27">
        <v>4.9090000000000002E-2</v>
      </c>
      <c r="W43" s="27">
        <f t="shared" si="36"/>
        <v>6.5259999999999985E-2</v>
      </c>
      <c r="X43" s="27">
        <f t="shared" si="36"/>
        <v>6.7299999999999999E-3</v>
      </c>
      <c r="Y43" s="8">
        <v>0.16377342831454442</v>
      </c>
      <c r="AA43" s="4">
        <v>0.125</v>
      </c>
      <c r="AB43" s="4"/>
      <c r="AC43" s="4">
        <v>9.3399999999999993E-3</v>
      </c>
      <c r="AD43" s="4"/>
      <c r="AE43" s="8">
        <f t="shared" si="37"/>
        <v>2.8981419383370524</v>
      </c>
      <c r="AF43" s="8" t="str">
        <f t="shared" si="38"/>
        <v/>
      </c>
      <c r="AG43" s="8" t="str">
        <f t="shared" si="39"/>
        <v/>
      </c>
      <c r="AH43" s="8" t="str">
        <f t="shared" si="74"/>
        <v/>
      </c>
      <c r="AI43" s="8">
        <f t="shared" si="75"/>
        <v>0.26799132474214699</v>
      </c>
      <c r="AJ43" s="8" t="str">
        <f t="shared" si="76"/>
        <v/>
      </c>
      <c r="AK43" s="8" t="str">
        <f t="shared" si="40"/>
        <v/>
      </c>
      <c r="AL43" s="27">
        <v>0.15746572804742498</v>
      </c>
      <c r="AM43" s="27">
        <v>0.14827856025039118</v>
      </c>
      <c r="AN43" s="27">
        <v>0.21085409252669057</v>
      </c>
      <c r="AO43" s="27">
        <v>0.62696060269235521</v>
      </c>
      <c r="AP43" s="27">
        <v>0.66743691314553988</v>
      </c>
      <c r="AQ43" s="27">
        <v>1.8919595195729542</v>
      </c>
      <c r="AR43" s="27">
        <v>0.62696060269235521</v>
      </c>
      <c r="AS43" s="27">
        <v>0.66743691314553988</v>
      </c>
      <c r="AT43" s="27">
        <v>1.9984137752075923</v>
      </c>
      <c r="AU43">
        <f t="shared" si="41"/>
        <v>5.3388364479265593E-2</v>
      </c>
      <c r="AV43">
        <f t="shared" si="42"/>
        <v>6.2575532276299389E-2</v>
      </c>
      <c r="AW43">
        <f t="shared" si="43"/>
        <v>1.2649989168805988</v>
      </c>
      <c r="AX43">
        <f t="shared" si="44"/>
        <v>1.2245226064274144</v>
      </c>
      <c r="AY43">
        <f t="shared" si="45"/>
        <v>1.371453172515237</v>
      </c>
      <c r="AZ43">
        <f t="shared" si="46"/>
        <v>1.3309768620620526</v>
      </c>
      <c r="BA43">
        <f t="shared" si="77"/>
        <v>0.3825078779247344</v>
      </c>
      <c r="BB43" t="str">
        <f t="shared" si="78"/>
        <v/>
      </c>
      <c r="BC43">
        <f t="shared" si="79"/>
        <v>0.34605875018150511</v>
      </c>
      <c r="BD43" t="str">
        <f t="shared" si="80"/>
        <v/>
      </c>
      <c r="BE43">
        <f t="shared" si="81"/>
        <v>0.21936237901414504</v>
      </c>
      <c r="BF43" t="str">
        <f t="shared" si="82"/>
        <v/>
      </c>
      <c r="BG43">
        <f t="shared" si="102"/>
        <v>0.12669637116736007</v>
      </c>
      <c r="BH43" t="str">
        <f t="shared" si="48"/>
        <v/>
      </c>
      <c r="BI43" s="10">
        <f t="shared" si="103"/>
        <v>3.4454373120508209E-3</v>
      </c>
      <c r="BJ43">
        <f t="shared" si="49"/>
        <v>9.5706592001411697E-3</v>
      </c>
      <c r="BK43">
        <f t="shared" si="83"/>
        <v>3.6449127743229282E-2</v>
      </c>
      <c r="BL43">
        <f t="shared" si="84"/>
        <v>156.33268238605811</v>
      </c>
      <c r="BM43" t="str">
        <f t="shared" si="85"/>
        <v/>
      </c>
      <c r="BN43" s="10">
        <f t="shared" si="86"/>
        <v>0.17670094435730557</v>
      </c>
      <c r="BO43" s="10" t="str">
        <f t="shared" si="87"/>
        <v/>
      </c>
      <c r="BP43" s="10">
        <f t="shared" si="88"/>
        <v>8.7782801376766612E-2</v>
      </c>
      <c r="BQ43" s="10" t="str">
        <f t="shared" si="89"/>
        <v/>
      </c>
      <c r="BR43">
        <f t="shared" si="104"/>
        <v>8.144169599837256E-2</v>
      </c>
      <c r="BS43">
        <f t="shared" si="105"/>
        <v>-6.0375068970838512</v>
      </c>
      <c r="BT43">
        <f t="shared" si="50"/>
        <v>0.2</v>
      </c>
      <c r="BU43">
        <f t="shared" si="51"/>
        <v>0.37</v>
      </c>
      <c r="BV43">
        <f t="shared" si="52"/>
        <v>0.16999999999999998</v>
      </c>
      <c r="BW43">
        <f t="shared" si="90"/>
        <v>0.26</v>
      </c>
      <c r="BX43">
        <f t="shared" si="91"/>
        <v>0.35</v>
      </c>
      <c r="BY43">
        <f t="shared" si="53"/>
        <v>0.09</v>
      </c>
      <c r="BZ43">
        <f t="shared" si="92"/>
        <v>0.21086142747657319</v>
      </c>
      <c r="CA43">
        <f t="shared" si="93"/>
        <v>0.35250787792473437</v>
      </c>
      <c r="CB43">
        <f t="shared" si="54"/>
        <v>0.14164645044816118</v>
      </c>
      <c r="CC43" t="str">
        <f t="shared" si="94"/>
        <v/>
      </c>
      <c r="CD43" t="str">
        <f t="shared" si="95"/>
        <v/>
      </c>
      <c r="CE43" t="str">
        <f t="shared" si="55"/>
        <v/>
      </c>
      <c r="CF43" t="str">
        <f t="shared" si="96"/>
        <v/>
      </c>
      <c r="CG43" t="str">
        <f t="shared" si="97"/>
        <v/>
      </c>
      <c r="CH43" t="str">
        <f t="shared" si="56"/>
        <v/>
      </c>
      <c r="CI43">
        <v>5</v>
      </c>
      <c r="CJ43">
        <f t="shared" si="57"/>
        <v>152.4</v>
      </c>
      <c r="CK43">
        <v>5</v>
      </c>
      <c r="CL43">
        <f t="shared" si="58"/>
        <v>152.4</v>
      </c>
      <c r="CM43">
        <f t="shared" si="106"/>
        <v>21.547922910211955</v>
      </c>
      <c r="CN43">
        <f t="shared" si="98"/>
        <v>25.107171404313537</v>
      </c>
      <c r="CO43">
        <f t="shared" si="99"/>
        <v>21.547922910211955</v>
      </c>
      <c r="CP43">
        <f t="shared" si="100"/>
        <v>25.107171404313537</v>
      </c>
      <c r="CQ43">
        <v>0.11232871513365351</v>
      </c>
      <c r="CR43">
        <v>7.7685283234724636E-2</v>
      </c>
      <c r="CS43">
        <v>0.11579136581726812</v>
      </c>
      <c r="CT43">
        <v>7.0000000000000007E-2</v>
      </c>
      <c r="CU43">
        <v>37</v>
      </c>
      <c r="CV43">
        <f t="shared" si="101"/>
        <v>7.6262403525976312</v>
      </c>
      <c r="CX43" s="4"/>
      <c r="DC43">
        <f t="shared" si="60"/>
        <v>0</v>
      </c>
    </row>
    <row r="44" spans="3:137">
      <c r="C44">
        <f t="shared" si="33"/>
        <v>37.690083348798886</v>
      </c>
      <c r="E44" t="s">
        <v>7</v>
      </c>
      <c r="F44">
        <v>8</v>
      </c>
      <c r="G44">
        <v>5</v>
      </c>
      <c r="H44" s="27">
        <v>8.1131579217034702</v>
      </c>
      <c r="I44" s="27">
        <v>57.965767064377502</v>
      </c>
      <c r="J44" s="27">
        <v>33.921075013919001</v>
      </c>
      <c r="K44" s="8">
        <v>1.6582345125204623</v>
      </c>
      <c r="L44" s="34">
        <v>1.5862116480827444</v>
      </c>
      <c r="N44">
        <f t="shared" si="73"/>
        <v>4.4397632675974137E-2</v>
      </c>
      <c r="P44" s="7">
        <f t="shared" si="35"/>
        <v>1.6222230803016033</v>
      </c>
      <c r="Q44" s="7">
        <f t="shared" si="68"/>
        <v>1.6222230803016033</v>
      </c>
      <c r="S44" s="38">
        <v>0.31402000000000002</v>
      </c>
      <c r="T44" s="38">
        <v>3.9780000000000003E-2</v>
      </c>
      <c r="U44" s="27"/>
      <c r="V44" s="27"/>
      <c r="W44" s="27" t="str">
        <f t="shared" si="36"/>
        <v/>
      </c>
      <c r="X44" s="27" t="str">
        <f t="shared" si="36"/>
        <v/>
      </c>
      <c r="Y44" s="8">
        <v>0.16423284656931403</v>
      </c>
      <c r="AA44" s="4">
        <v>0.19</v>
      </c>
      <c r="AB44" s="4"/>
      <c r="AC44" s="4">
        <v>1.7999999999999999E-2</v>
      </c>
      <c r="AD44" s="4"/>
      <c r="AE44" s="8">
        <f t="shared" si="37"/>
        <v>4.45022874142495</v>
      </c>
      <c r="AF44" s="8" t="str">
        <f t="shared" si="38"/>
        <v/>
      </c>
      <c r="AG44" s="8" t="str">
        <f t="shared" si="39"/>
        <v/>
      </c>
      <c r="AH44" s="8" t="str">
        <f t="shared" si="74"/>
        <v/>
      </c>
      <c r="AI44" s="8">
        <f t="shared" si="75"/>
        <v>0.2664223142483732</v>
      </c>
      <c r="AJ44" s="8" t="str">
        <f t="shared" si="76"/>
        <v/>
      </c>
      <c r="AK44" s="8" t="str">
        <f t="shared" si="40"/>
        <v/>
      </c>
      <c r="AL44" s="27">
        <v>0.15888514113261146</v>
      </c>
      <c r="AM44" s="27">
        <v>0.16427340608845487</v>
      </c>
      <c r="AN44" s="27">
        <v>0.22958893729873095</v>
      </c>
      <c r="AO44" s="27">
        <v>4.5920823717379733</v>
      </c>
      <c r="AP44" s="27">
        <v>0.98963239517518675</v>
      </c>
      <c r="AQ44" s="27">
        <v>1.5574793205783926</v>
      </c>
      <c r="AR44" s="27">
        <v>4.9962435647079717</v>
      </c>
      <c r="AS44" s="27">
        <v>1.0827742676622631</v>
      </c>
      <c r="AT44" s="27">
        <v>1.7198875260466</v>
      </c>
      <c r="AU44">
        <f t="shared" si="41"/>
        <v>7.0703796166119492E-2</v>
      </c>
      <c r="AV44">
        <f t="shared" si="42"/>
        <v>6.5315531210276084E-2</v>
      </c>
      <c r="AW44">
        <f t="shared" si="43"/>
        <v>-3.0346030511595807</v>
      </c>
      <c r="AX44">
        <f t="shared" si="44"/>
        <v>0.5678469254032058</v>
      </c>
      <c r="AY44">
        <f t="shared" si="45"/>
        <v>-3.2763560386613717</v>
      </c>
      <c r="AZ44">
        <f t="shared" si="46"/>
        <v>0.63711325838433686</v>
      </c>
      <c r="BA44">
        <f t="shared" si="77"/>
        <v>0.38784034705599868</v>
      </c>
      <c r="BB44" t="str">
        <f t="shared" si="78"/>
        <v/>
      </c>
      <c r="BC44">
        <f t="shared" si="79"/>
        <v>0.34551579839533592</v>
      </c>
      <c r="BD44" t="str">
        <f t="shared" si="80"/>
        <v/>
      </c>
      <c r="BE44">
        <f t="shared" si="81"/>
        <v>0.21244225649166551</v>
      </c>
      <c r="BF44" t="str">
        <f t="shared" si="82"/>
        <v/>
      </c>
      <c r="BG44">
        <f t="shared" si="102"/>
        <v>0.13307354190367041</v>
      </c>
      <c r="BH44" t="str">
        <f t="shared" si="48"/>
        <v/>
      </c>
      <c r="BI44" s="10">
        <f t="shared" si="103"/>
        <v>4.7273346285101117E-3</v>
      </c>
      <c r="BJ44">
        <f t="shared" si="49"/>
        <v>1.3131485079194755E-2</v>
      </c>
      <c r="BK44">
        <f t="shared" si="83"/>
        <v>4.2324548660662764E-2</v>
      </c>
      <c r="BL44">
        <f t="shared" si="84"/>
        <v>148.30697227499829</v>
      </c>
      <c r="BM44" t="str">
        <f t="shared" si="85"/>
        <v/>
      </c>
      <c r="BN44" s="10">
        <f t="shared" si="86"/>
        <v>0.18977168045883791</v>
      </c>
      <c r="BO44" s="10" t="str">
        <f t="shared" si="87"/>
        <v/>
      </c>
      <c r="BP44" s="10">
        <f t="shared" si="88"/>
        <v>8.7290161501298702E-2</v>
      </c>
      <c r="BQ44" s="10" t="str">
        <f t="shared" si="89"/>
        <v/>
      </c>
      <c r="BR44">
        <f t="shared" si="104"/>
        <v>9.594464536523567E-2</v>
      </c>
      <c r="BS44">
        <f t="shared" si="105"/>
        <v>-5.7722100008627422</v>
      </c>
      <c r="BT44">
        <f t="shared" si="50"/>
        <v>0.19</v>
      </c>
      <c r="BU44">
        <f t="shared" si="51"/>
        <v>0.36</v>
      </c>
      <c r="BV44">
        <f t="shared" si="52"/>
        <v>0.16999999999999998</v>
      </c>
      <c r="BW44">
        <f t="shared" si="90"/>
        <v>0.26</v>
      </c>
      <c r="BX44">
        <f t="shared" si="91"/>
        <v>0.36</v>
      </c>
      <c r="BY44">
        <f t="shared" si="53"/>
        <v>0.1</v>
      </c>
      <c r="BZ44">
        <f t="shared" si="92"/>
        <v>0.2075801992460323</v>
      </c>
      <c r="CA44">
        <f t="shared" si="93"/>
        <v>0.35784034705599865</v>
      </c>
      <c r="CB44">
        <f t="shared" si="54"/>
        <v>0.15026014780996635</v>
      </c>
      <c r="CC44" t="str">
        <f t="shared" si="94"/>
        <v/>
      </c>
      <c r="CD44" t="str">
        <f t="shared" si="95"/>
        <v/>
      </c>
      <c r="CE44" t="str">
        <f t="shared" si="55"/>
        <v/>
      </c>
      <c r="CF44" t="str">
        <f t="shared" si="96"/>
        <v/>
      </c>
      <c r="CG44" t="str">
        <f t="shared" si="97"/>
        <v/>
      </c>
      <c r="CH44" t="str">
        <f t="shared" si="56"/>
        <v/>
      </c>
      <c r="CI44">
        <v>5</v>
      </c>
      <c r="CJ44">
        <f t="shared" si="57"/>
        <v>152.4</v>
      </c>
      <c r="CK44">
        <v>5</v>
      </c>
      <c r="CL44">
        <f t="shared" si="58"/>
        <v>152.4</v>
      </c>
      <c r="CM44">
        <f t="shared" si="106"/>
        <v>21.547922910211955</v>
      </c>
      <c r="CN44">
        <f t="shared" si="98"/>
        <v>25.107171404313537</v>
      </c>
      <c r="CO44">
        <f t="shared" si="99"/>
        <v>21.547922910211955</v>
      </c>
      <c r="CP44">
        <f t="shared" si="100"/>
        <v>25.107171404313537</v>
      </c>
      <c r="CQ44">
        <v>8.9569308053458335E-2</v>
      </c>
      <c r="CR44">
        <v>7.0207696164085232E-2</v>
      </c>
      <c r="CS44">
        <v>8.6277154914648546E-2</v>
      </c>
      <c r="CT44">
        <v>7.0000000000000007E-2</v>
      </c>
      <c r="CU44">
        <v>37</v>
      </c>
      <c r="CV44">
        <f t="shared" si="101"/>
        <v>7.6262403525976312</v>
      </c>
      <c r="CX44" s="4"/>
      <c r="DC44">
        <f t="shared" si="60"/>
        <v>0</v>
      </c>
    </row>
    <row r="45" spans="3:137">
      <c r="C45">
        <f t="shared" si="33"/>
        <v>43.390904507588921</v>
      </c>
      <c r="E45" t="s">
        <v>7</v>
      </c>
      <c r="F45">
        <v>9</v>
      </c>
      <c r="G45">
        <v>1</v>
      </c>
      <c r="H45" s="27">
        <v>8.4400228829865167</v>
      </c>
      <c r="I45" s="27">
        <v>52.508163060183428</v>
      </c>
      <c r="J45" s="27">
        <v>39.051814056830032</v>
      </c>
      <c r="K45" s="8">
        <v>1.4795579927411822</v>
      </c>
      <c r="L45" s="34">
        <v>1.4694284099366739</v>
      </c>
      <c r="M45" s="8">
        <v>1.3535539990379022</v>
      </c>
      <c r="N45">
        <f t="shared" si="73"/>
        <v>6.8698742017324977E-3</v>
      </c>
      <c r="O45">
        <f t="shared" ref="O45:O47" si="108">AVERAGE(K45:M45)</f>
        <v>1.4341801339052527</v>
      </c>
      <c r="P45" s="7">
        <f t="shared" si="35"/>
        <v>1.474493201338928</v>
      </c>
      <c r="Q45" s="7">
        <f t="shared" si="68"/>
        <v>1.474493201338928</v>
      </c>
      <c r="R45" s="8">
        <v>1.1625679130110766</v>
      </c>
      <c r="S45" s="38">
        <v>1.3190266666666668</v>
      </c>
      <c r="T45" s="38">
        <v>0.12946333333333335</v>
      </c>
      <c r="U45" s="27">
        <v>1.7426999999999999</v>
      </c>
      <c r="V45" s="27">
        <v>0.13868</v>
      </c>
      <c r="W45" s="27">
        <f t="shared" si="36"/>
        <v>0.42367333333333312</v>
      </c>
      <c r="X45" s="27">
        <f t="shared" si="36"/>
        <v>9.2166666666666508E-3</v>
      </c>
      <c r="Y45" s="8">
        <v>0.14361001317523059</v>
      </c>
      <c r="AA45" s="4">
        <v>0.23499999999999999</v>
      </c>
      <c r="AB45" s="4"/>
      <c r="AC45" s="4">
        <v>4.48E-2</v>
      </c>
      <c r="AD45" s="4"/>
      <c r="AE45" s="8">
        <f t="shared" si="37"/>
        <v>5.3448683090386844</v>
      </c>
      <c r="AF45" s="8" t="str">
        <f t="shared" si="38"/>
        <v/>
      </c>
      <c r="AG45" s="8" t="str">
        <f t="shared" si="39"/>
        <v/>
      </c>
      <c r="AH45" s="8" t="str">
        <f t="shared" si="74"/>
        <v/>
      </c>
      <c r="AI45" s="8">
        <f t="shared" si="75"/>
        <v>0.21175198807107137</v>
      </c>
      <c r="AJ45" s="8" t="str">
        <f t="shared" si="76"/>
        <v/>
      </c>
      <c r="AK45" s="8" t="str">
        <f t="shared" si="40"/>
        <v/>
      </c>
      <c r="AL45" s="27">
        <v>0.13365664403491759</v>
      </c>
      <c r="AM45" s="27">
        <v>0.13438170121515361</v>
      </c>
      <c r="AN45" s="27">
        <v>0.23472397808680992</v>
      </c>
      <c r="AO45" s="27">
        <v>2.7585645004849662</v>
      </c>
      <c r="AP45" s="27">
        <v>6.144567548248749</v>
      </c>
      <c r="AQ45" s="27">
        <v>2.3768436578171093</v>
      </c>
      <c r="AR45" s="27">
        <v>2.7585645004849662</v>
      </c>
      <c r="AS45" s="27">
        <v>6.6739456754824875</v>
      </c>
      <c r="AT45" s="27">
        <v>2.6634025143980899</v>
      </c>
      <c r="AU45">
        <f t="shared" si="41"/>
        <v>0.10106733405189233</v>
      </c>
      <c r="AV45">
        <f t="shared" si="42"/>
        <v>0.10034227687165631</v>
      </c>
      <c r="AW45">
        <f t="shared" si="43"/>
        <v>-0.38172084266785689</v>
      </c>
      <c r="AX45">
        <f t="shared" si="44"/>
        <v>-3.7677238904316397</v>
      </c>
      <c r="AY45">
        <f t="shared" si="45"/>
        <v>-9.5161986086876205E-2</v>
      </c>
      <c r="AZ45">
        <f t="shared" si="46"/>
        <v>-4.0105431610843976</v>
      </c>
      <c r="BA45">
        <f t="shared" si="77"/>
        <v>0.44358747119285735</v>
      </c>
      <c r="BB45">
        <f t="shared" si="78"/>
        <v>0.56129512716563146</v>
      </c>
      <c r="BC45">
        <f t="shared" si="79"/>
        <v>0.37795113547153208</v>
      </c>
      <c r="BD45">
        <f t="shared" si="80"/>
        <v>0.39064785557833481</v>
      </c>
      <c r="BE45">
        <f t="shared" si="81"/>
        <v>0.23392152525687165</v>
      </c>
      <c r="BF45">
        <f t="shared" si="82"/>
        <v>0.21906924702282998</v>
      </c>
      <c r="BG45">
        <f t="shared" si="102"/>
        <v>0.14402961021466043</v>
      </c>
      <c r="BH45">
        <f t="shared" si="48"/>
        <v>0.17157860855550483</v>
      </c>
      <c r="BI45" s="10">
        <f t="shared" si="103"/>
        <v>1.1487735431167618E-2</v>
      </c>
      <c r="BJ45">
        <f t="shared" si="49"/>
        <v>3.1910376197687829E-2</v>
      </c>
      <c r="BK45">
        <f t="shared" si="83"/>
        <v>6.5636335721325267E-2</v>
      </c>
      <c r="BL45">
        <f t="shared" si="84"/>
        <v>108.64332871618207</v>
      </c>
      <c r="BM45">
        <f t="shared" si="85"/>
        <v>49.173005982770604</v>
      </c>
      <c r="BN45" s="10">
        <f t="shared" si="86"/>
        <v>0.19001995912659125</v>
      </c>
      <c r="BO45" s="10">
        <f t="shared" si="87"/>
        <v>0.25125046643023397</v>
      </c>
      <c r="BP45" s="10">
        <f t="shared" si="88"/>
        <v>9.8714280120500167E-2</v>
      </c>
      <c r="BQ45" s="10">
        <f t="shared" si="89"/>
        <v>0.11242965980712828</v>
      </c>
      <c r="BR45">
        <f t="shared" si="104"/>
        <v>6.4764508337085941E-2</v>
      </c>
      <c r="BS45">
        <f t="shared" si="105"/>
        <v>-6.6225165650007245</v>
      </c>
      <c r="BT45">
        <f t="shared" si="50"/>
        <v>0.22</v>
      </c>
      <c r="BU45">
        <f t="shared" si="51"/>
        <v>0.39</v>
      </c>
      <c r="BV45">
        <f t="shared" si="52"/>
        <v>0.17</v>
      </c>
      <c r="BW45">
        <f t="shared" si="90"/>
        <v>0.22</v>
      </c>
      <c r="BX45">
        <f t="shared" si="91"/>
        <v>0.33</v>
      </c>
      <c r="BY45">
        <f t="shared" si="53"/>
        <v>0.11</v>
      </c>
      <c r="BZ45">
        <f t="shared" si="92"/>
        <v>0.1732773213508991</v>
      </c>
      <c r="CA45">
        <f t="shared" si="93"/>
        <v>0.3616977935360709</v>
      </c>
      <c r="CB45">
        <f t="shared" si="54"/>
        <v>0.1884204721851718</v>
      </c>
      <c r="CC45">
        <f t="shared" si="94"/>
        <v>0.13</v>
      </c>
      <c r="CD45">
        <f t="shared" si="95"/>
        <v>0.26</v>
      </c>
      <c r="CE45">
        <f t="shared" si="55"/>
        <v>0.13</v>
      </c>
      <c r="CF45">
        <f t="shared" si="96"/>
        <v>0.100848269401172</v>
      </c>
      <c r="CG45">
        <f t="shared" si="97"/>
        <v>0.2834045461657802</v>
      </c>
      <c r="CH45">
        <f t="shared" si="56"/>
        <v>0.1825562767646082</v>
      </c>
      <c r="CI45">
        <v>4</v>
      </c>
      <c r="CJ45">
        <f t="shared" si="57"/>
        <v>121.92</v>
      </c>
      <c r="CK45">
        <v>4</v>
      </c>
      <c r="CL45">
        <f t="shared" si="58"/>
        <v>121.92</v>
      </c>
      <c r="CM45">
        <f t="shared" si="106"/>
        <v>14.890128679606349</v>
      </c>
      <c r="CN45">
        <f t="shared" si="98"/>
        <v>19.588043186978275</v>
      </c>
      <c r="CO45">
        <f t="shared" si="99"/>
        <v>14.890128679606349</v>
      </c>
      <c r="CP45">
        <f t="shared" si="100"/>
        <v>19.588043186978275</v>
      </c>
      <c r="CQ45">
        <v>0.17682655758766724</v>
      </c>
      <c r="CR45">
        <v>0.1933600637435971</v>
      </c>
      <c r="CS45">
        <v>0.16029305143173736</v>
      </c>
      <c r="CT45">
        <v>0.18999999999999997</v>
      </c>
      <c r="CU45">
        <v>55</v>
      </c>
      <c r="CV45">
        <f t="shared" si="101"/>
        <v>13.038477542694924</v>
      </c>
      <c r="CX45" s="4"/>
      <c r="DC45">
        <f t="shared" si="60"/>
        <v>0</v>
      </c>
    </row>
    <row r="46" spans="3:137">
      <c r="C46">
        <f t="shared" si="33"/>
        <v>44.953566177825678</v>
      </c>
      <c r="E46" t="s">
        <v>7</v>
      </c>
      <c r="F46">
        <v>9</v>
      </c>
      <c r="G46">
        <v>2</v>
      </c>
      <c r="H46" s="27">
        <v>7.26397117184713</v>
      </c>
      <c r="I46" s="27">
        <v>52.277819268109802</v>
      </c>
      <c r="J46" s="27">
        <v>40.458209560043109</v>
      </c>
      <c r="K46" s="8">
        <v>1.4378602272627914</v>
      </c>
      <c r="L46" s="34">
        <v>1.459803381901198</v>
      </c>
      <c r="M46" s="8">
        <v>1.3778417695793594</v>
      </c>
      <c r="N46">
        <f t="shared" si="73"/>
        <v>-1.5145412027131358E-2</v>
      </c>
      <c r="O46">
        <f t="shared" si="108"/>
        <v>1.4251684595811163</v>
      </c>
      <c r="P46" s="7">
        <f t="shared" si="35"/>
        <v>1.4488318045819946</v>
      </c>
      <c r="Q46" s="7">
        <f t="shared" si="68"/>
        <v>1.4488318045819946</v>
      </c>
      <c r="R46" s="8">
        <v>1.2405243619884956</v>
      </c>
      <c r="S46" s="38">
        <v>0.68010000000000004</v>
      </c>
      <c r="T46" s="38">
        <v>8.054E-2</v>
      </c>
      <c r="U46" s="27">
        <v>0.91469999999999996</v>
      </c>
      <c r="V46" s="27">
        <v>8.5400000000000004E-2</v>
      </c>
      <c r="W46" s="27">
        <f t="shared" si="36"/>
        <v>0.23459999999999992</v>
      </c>
      <c r="X46" s="27">
        <f t="shared" si="36"/>
        <v>4.8600000000000032E-3</v>
      </c>
      <c r="Y46" s="8">
        <v>0.163872169676125</v>
      </c>
      <c r="Z46" s="8">
        <v>0.23428193249503634</v>
      </c>
      <c r="AA46" s="4">
        <v>0.20599999999999999</v>
      </c>
      <c r="AB46" s="4">
        <v>0.83799999999999997</v>
      </c>
      <c r="AC46" s="4">
        <v>0.03</v>
      </c>
      <c r="AD46" s="4">
        <v>4.6399999999999997E-2</v>
      </c>
      <c r="AE46" s="8">
        <f t="shared" si="37"/>
        <v>4.5082068320063087</v>
      </c>
      <c r="AF46" s="8">
        <f t="shared" si="38"/>
        <v>17.916354708631552</v>
      </c>
      <c r="AG46" s="8">
        <f t="shared" si="39"/>
        <v>13.408147876625243</v>
      </c>
      <c r="AH46" s="8">
        <f t="shared" si="74"/>
        <v>7.0409762818911342E-2</v>
      </c>
      <c r="AI46" s="8">
        <f t="shared" si="75"/>
        <v>0.237423211312627</v>
      </c>
      <c r="AJ46" s="8">
        <f t="shared" si="76"/>
        <v>0.33943511503774054</v>
      </c>
      <c r="AK46" s="8">
        <f t="shared" si="40"/>
        <v>0.10201190372511354</v>
      </c>
      <c r="AL46" s="27">
        <v>0.15020576131687238</v>
      </c>
      <c r="AM46" s="27">
        <v>0.15850562205295629</v>
      </c>
      <c r="AN46" s="27">
        <v>0.23804591748662163</v>
      </c>
      <c r="AO46" s="27">
        <v>0.905787037037037</v>
      </c>
      <c r="AP46" s="27">
        <v>1.1922953693628342</v>
      </c>
      <c r="AQ46" s="27">
        <v>1.3515334599228954</v>
      </c>
      <c r="AR46" s="27">
        <v>1.1262431412894376</v>
      </c>
      <c r="AS46" s="27">
        <v>1.2844931084512152</v>
      </c>
      <c r="AT46" s="27">
        <v>1.4129199033316071</v>
      </c>
      <c r="AU46">
        <f t="shared" si="41"/>
        <v>8.7840156169749245E-2</v>
      </c>
      <c r="AV46">
        <f t="shared" si="42"/>
        <v>7.9540295433665337E-2</v>
      </c>
      <c r="AW46">
        <f t="shared" si="43"/>
        <v>0.44574642288585842</v>
      </c>
      <c r="AX46">
        <f t="shared" si="44"/>
        <v>0.15923809056006122</v>
      </c>
      <c r="AY46">
        <f t="shared" si="45"/>
        <v>0.28667676204216952</v>
      </c>
      <c r="AZ46">
        <f t="shared" si="46"/>
        <v>0.12842679488039188</v>
      </c>
      <c r="BA46">
        <f t="shared" si="77"/>
        <v>0.45327101713886997</v>
      </c>
      <c r="BB46">
        <f t="shared" si="78"/>
        <v>0.5318775992496243</v>
      </c>
      <c r="BC46">
        <f t="shared" si="79"/>
        <v>0.38609141931800489</v>
      </c>
      <c r="BD46">
        <f t="shared" si="80"/>
        <v>0.39598408218268938</v>
      </c>
      <c r="BE46">
        <f t="shared" si="81"/>
        <v>0.2402049308411256</v>
      </c>
      <c r="BF46">
        <f t="shared" si="82"/>
        <v>0.22816410971569578</v>
      </c>
      <c r="BG46">
        <f t="shared" si="102"/>
        <v>0.14588648847687929</v>
      </c>
      <c r="BH46">
        <f t="shared" si="48"/>
        <v>0.16781997246699359</v>
      </c>
      <c r="BI46" s="10">
        <f t="shared" si="103"/>
        <v>1.2186821607370104E-2</v>
      </c>
      <c r="BJ46">
        <f t="shared" si="49"/>
        <v>3.3852282242694737E-2</v>
      </c>
      <c r="BK46">
        <f t="shared" si="83"/>
        <v>6.7179597820865078E-2</v>
      </c>
      <c r="BL46">
        <f t="shared" si="84"/>
        <v>106.8462059369641</v>
      </c>
      <c r="BM46">
        <f t="shared" si="85"/>
        <v>61.908143530534623</v>
      </c>
      <c r="BN46" s="10">
        <f t="shared" si="86"/>
        <v>0.18732157225034748</v>
      </c>
      <c r="BO46" s="10">
        <f t="shared" si="87"/>
        <v>0.23311714582243212</v>
      </c>
      <c r="BP46" s="10">
        <f t="shared" si="88"/>
        <v>0.10047894525731728</v>
      </c>
      <c r="BQ46" s="10">
        <f t="shared" si="89"/>
        <v>0.11117559219949408</v>
      </c>
      <c r="BR46">
        <f t="shared" si="104"/>
        <v>6.0760404367002474E-2</v>
      </c>
      <c r="BS46">
        <f t="shared" si="105"/>
        <v>-6.84822015646815</v>
      </c>
      <c r="BT46">
        <f t="shared" si="50"/>
        <v>0.23</v>
      </c>
      <c r="BU46">
        <f t="shared" si="51"/>
        <v>0.4</v>
      </c>
      <c r="BV46">
        <f t="shared" si="52"/>
        <v>0.17</v>
      </c>
      <c r="BW46">
        <f t="shared" si="90"/>
        <v>0.21</v>
      </c>
      <c r="BX46">
        <f t="shared" si="91"/>
        <v>0.33</v>
      </c>
      <c r="BY46">
        <f t="shared" si="53"/>
        <v>0.12</v>
      </c>
      <c r="BZ46">
        <f t="shared" si="92"/>
        <v>0.16731874502393915</v>
      </c>
      <c r="CA46">
        <f t="shared" si="93"/>
        <v>0.35525678295008062</v>
      </c>
      <c r="CB46">
        <f t="shared" si="54"/>
        <v>0.18793803792614147</v>
      </c>
      <c r="CC46">
        <f t="shared" si="94"/>
        <v>0.15</v>
      </c>
      <c r="CD46">
        <f t="shared" si="95"/>
        <v>0.28000000000000003</v>
      </c>
      <c r="CE46">
        <f t="shared" si="55"/>
        <v>0.13000000000000003</v>
      </c>
      <c r="CF46">
        <f t="shared" si="96"/>
        <v>0.11894975685372869</v>
      </c>
      <c r="CG46">
        <f t="shared" si="97"/>
        <v>0.30297161485911239</v>
      </c>
      <c r="CH46">
        <f t="shared" si="56"/>
        <v>0.1840218580053837</v>
      </c>
      <c r="CI46">
        <v>4</v>
      </c>
      <c r="CJ46">
        <f t="shared" si="57"/>
        <v>121.92</v>
      </c>
      <c r="CK46">
        <v>4</v>
      </c>
      <c r="CL46">
        <f t="shared" si="58"/>
        <v>121.92</v>
      </c>
      <c r="CM46">
        <f t="shared" si="106"/>
        <v>14.890128679606349</v>
      </c>
      <c r="CN46">
        <f t="shared" si="98"/>
        <v>19.588043186978275</v>
      </c>
      <c r="CO46">
        <f t="shared" si="99"/>
        <v>14.890128679606349</v>
      </c>
      <c r="CP46">
        <f t="shared" si="100"/>
        <v>19.588043186978275</v>
      </c>
      <c r="CQ46">
        <v>0.14583096622634531</v>
      </c>
      <c r="CR46">
        <v>0.11149213692463167</v>
      </c>
      <c r="CS46">
        <v>0.1659483346188628</v>
      </c>
      <c r="CT46">
        <v>0.16000000000000003</v>
      </c>
      <c r="CU46">
        <v>55</v>
      </c>
      <c r="CV46">
        <f t="shared" si="101"/>
        <v>13.038477542694924</v>
      </c>
      <c r="CX46" s="4"/>
      <c r="DC46">
        <f t="shared" si="60"/>
        <v>0</v>
      </c>
    </row>
    <row r="47" spans="3:137">
      <c r="C47">
        <f t="shared" si="33"/>
        <v>48.627702775008224</v>
      </c>
      <c r="E47" t="s">
        <v>7</v>
      </c>
      <c r="F47">
        <v>9</v>
      </c>
      <c r="G47">
        <v>3</v>
      </c>
      <c r="H47" s="27">
        <v>7.1331294459558601</v>
      </c>
      <c r="I47" s="27">
        <v>49.101938056536802</v>
      </c>
      <c r="J47" s="27">
        <v>43.764932497507402</v>
      </c>
      <c r="K47" s="8">
        <v>1.6377707959321197</v>
      </c>
      <c r="L47" s="34">
        <v>1.608372866839997</v>
      </c>
      <c r="N47">
        <f t="shared" si="73"/>
        <v>1.8112524981114157E-2</v>
      </c>
      <c r="O47">
        <f t="shared" si="108"/>
        <v>1.6230718313860584</v>
      </c>
      <c r="P47" s="7">
        <f t="shared" si="35"/>
        <v>1.6230718313860584</v>
      </c>
      <c r="Q47" s="7">
        <f t="shared" si="68"/>
        <v>1.6230718313860584</v>
      </c>
      <c r="R47" s="8">
        <v>1.224479922702264</v>
      </c>
      <c r="S47" s="38">
        <v>0.40444999999999998</v>
      </c>
      <c r="T47" s="38">
        <v>5.5169999999999997E-2</v>
      </c>
      <c r="U47" s="27">
        <v>0.48343999999999998</v>
      </c>
      <c r="V47" s="27">
        <v>6.0139999999999999E-2</v>
      </c>
      <c r="W47" s="27">
        <f t="shared" si="36"/>
        <v>7.8990000000000005E-2</v>
      </c>
      <c r="X47" s="27">
        <f t="shared" si="36"/>
        <v>4.9700000000000022E-3</v>
      </c>
      <c r="Y47" s="8">
        <v>0.17144689285297904</v>
      </c>
      <c r="Z47" s="8">
        <v>0.22583826429980267</v>
      </c>
      <c r="AA47" s="4">
        <v>0.247</v>
      </c>
      <c r="AB47" s="4">
        <v>0.79900000000000004</v>
      </c>
      <c r="AC47" s="4">
        <v>0</v>
      </c>
      <c r="AD47" s="4">
        <v>0</v>
      </c>
      <c r="AE47" s="8">
        <f t="shared" si="37"/>
        <v>5.3201744597184817</v>
      </c>
      <c r="AF47" s="8">
        <f t="shared" si="38"/>
        <v>18.008861947554092</v>
      </c>
      <c r="AG47" s="8">
        <f t="shared" si="39"/>
        <v>12.68868748783561</v>
      </c>
      <c r="AH47" s="8">
        <f t="shared" si="74"/>
        <v>5.4391371446823628E-2</v>
      </c>
      <c r="AI47" s="8">
        <f t="shared" si="75"/>
        <v>0.278270622368334</v>
      </c>
      <c r="AJ47" s="8">
        <f t="shared" si="76"/>
        <v>0.36655172523412938</v>
      </c>
      <c r="AK47" s="8">
        <f t="shared" si="40"/>
        <v>8.828110286579538E-2</v>
      </c>
      <c r="AL47" s="27">
        <v>0.14133178023684723</v>
      </c>
      <c r="AM47" s="27">
        <v>0.16390423572743995</v>
      </c>
      <c r="AN47" s="27">
        <v>0.24344497607655499</v>
      </c>
      <c r="AO47" s="27">
        <v>0.6990657153950689</v>
      </c>
      <c r="AP47" s="27">
        <v>1.2851442602823815</v>
      </c>
      <c r="AQ47" s="27">
        <v>2.3159162679425838</v>
      </c>
      <c r="AR47" s="27">
        <v>1.0975807286611015</v>
      </c>
      <c r="AS47" s="27">
        <v>1.2851442602823815</v>
      </c>
      <c r="AT47" s="27">
        <v>2.6625265550239234</v>
      </c>
      <c r="AU47">
        <f t="shared" si="41"/>
        <v>0.10211319583970777</v>
      </c>
      <c r="AV47">
        <f t="shared" si="42"/>
        <v>7.9540740349115041E-2</v>
      </c>
      <c r="AW47">
        <f t="shared" si="43"/>
        <v>1.6168505525475148</v>
      </c>
      <c r="AX47">
        <f t="shared" si="44"/>
        <v>1.0307720076602023</v>
      </c>
      <c r="AY47">
        <f t="shared" si="45"/>
        <v>1.564945826362822</v>
      </c>
      <c r="AZ47">
        <f t="shared" si="46"/>
        <v>1.3773822947415419</v>
      </c>
      <c r="BA47">
        <f t="shared" si="77"/>
        <v>0.38752006362790248</v>
      </c>
      <c r="BB47">
        <f t="shared" si="78"/>
        <v>0.53793210464065511</v>
      </c>
      <c r="BC47">
        <f t="shared" si="79"/>
        <v>0.36899116878706617</v>
      </c>
      <c r="BD47">
        <f t="shared" si="80"/>
        <v>0.40824811156977792</v>
      </c>
      <c r="BE47">
        <f t="shared" si="81"/>
        <v>0.26372379637370374</v>
      </c>
      <c r="BF47">
        <f t="shared" si="82"/>
        <v>0.24093446151035935</v>
      </c>
      <c r="BG47">
        <f t="shared" si="102"/>
        <v>0.10526737241336243</v>
      </c>
      <c r="BH47">
        <f t="shared" si="48"/>
        <v>0.16731365005941856</v>
      </c>
      <c r="BI47" s="10">
        <f t="shared" si="103"/>
        <v>8.8727828414882776E-4</v>
      </c>
      <c r="BJ47">
        <f t="shared" si="49"/>
        <v>2.4646619004134104E-3</v>
      </c>
      <c r="BK47">
        <f t="shared" si="83"/>
        <v>1.8528894840836307E-2</v>
      </c>
      <c r="BL47">
        <f t="shared" si="84"/>
        <v>196.14255204775554</v>
      </c>
      <c r="BM47">
        <f t="shared" si="85"/>
        <v>63.130325336800773</v>
      </c>
      <c r="BN47" s="10">
        <f t="shared" si="86"/>
        <v>0.12197857415918588</v>
      </c>
      <c r="BO47" s="10">
        <f t="shared" si="87"/>
        <v>0.2213563814197391</v>
      </c>
      <c r="BP47" s="10">
        <f t="shared" si="88"/>
        <v>8.6177653297355522E-2</v>
      </c>
      <c r="BQ47" s="10">
        <f t="shared" si="89"/>
        <v>0.11491085263009469</v>
      </c>
      <c r="BR47">
        <f t="shared" si="104"/>
        <v>4.7821869993334078E-2</v>
      </c>
      <c r="BS47">
        <f t="shared" si="105"/>
        <v>-7.4697025344629839</v>
      </c>
      <c r="BT47">
        <f t="shared" si="50"/>
        <v>0.25</v>
      </c>
      <c r="BU47">
        <f t="shared" si="51"/>
        <v>0.42</v>
      </c>
      <c r="BV47">
        <f t="shared" si="52"/>
        <v>0.16999999999999998</v>
      </c>
      <c r="BW47">
        <f t="shared" si="90"/>
        <v>0.26</v>
      </c>
      <c r="BX47">
        <f t="shared" si="91"/>
        <v>0.36</v>
      </c>
      <c r="BY47">
        <f t="shared" si="53"/>
        <v>0.1</v>
      </c>
      <c r="BZ47">
        <f t="shared" si="92"/>
        <v>0.20777727924784276</v>
      </c>
      <c r="CA47">
        <f t="shared" si="93"/>
        <v>0.35752006362790245</v>
      </c>
      <c r="CB47">
        <f t="shared" si="54"/>
        <v>0.1497427843800597</v>
      </c>
      <c r="CC47">
        <f t="shared" si="94"/>
        <v>0.15</v>
      </c>
      <c r="CD47">
        <f t="shared" si="95"/>
        <v>0.28000000000000003</v>
      </c>
      <c r="CE47">
        <f t="shared" si="55"/>
        <v>0.13000000000000003</v>
      </c>
      <c r="CF47">
        <f t="shared" si="96"/>
        <v>0.11522423805146567</v>
      </c>
      <c r="CG47">
        <f t="shared" si="97"/>
        <v>0.29894446059826824</v>
      </c>
      <c r="CH47">
        <f t="shared" si="56"/>
        <v>0.18372022254680256</v>
      </c>
      <c r="CI47">
        <v>4</v>
      </c>
      <c r="CJ47">
        <f t="shared" si="57"/>
        <v>121.92</v>
      </c>
      <c r="CK47">
        <v>4</v>
      </c>
      <c r="CL47">
        <f t="shared" si="58"/>
        <v>121.92</v>
      </c>
      <c r="CM47">
        <f t="shared" si="106"/>
        <v>14.890128679606349</v>
      </c>
      <c r="CN47">
        <f t="shared" si="98"/>
        <v>19.588043186978275</v>
      </c>
      <c r="CO47">
        <f t="shared" si="99"/>
        <v>14.890128679606349</v>
      </c>
      <c r="CP47">
        <f t="shared" si="100"/>
        <v>19.588043186978275</v>
      </c>
      <c r="CQ47">
        <v>8.32637630480354E-2</v>
      </c>
      <c r="CR47">
        <v>6.6237378229324961E-2</v>
      </c>
      <c r="CS47">
        <v>0.11278695487821883</v>
      </c>
      <c r="CT47">
        <v>0.1</v>
      </c>
      <c r="CU47">
        <v>55</v>
      </c>
      <c r="CV47">
        <f t="shared" si="101"/>
        <v>13.038477542694924</v>
      </c>
      <c r="CX47" s="4"/>
      <c r="DC47">
        <f t="shared" si="60"/>
        <v>0</v>
      </c>
    </row>
    <row r="48" spans="3:137">
      <c r="C48">
        <f t="shared" si="33"/>
        <v>48.626727202240552</v>
      </c>
      <c r="E48" t="s">
        <v>7</v>
      </c>
      <c r="F48">
        <v>9</v>
      </c>
      <c r="G48">
        <v>4</v>
      </c>
      <c r="H48" s="27">
        <v>7.3809202069236699</v>
      </c>
      <c r="I48" s="27">
        <v>48.855025311059897</v>
      </c>
      <c r="J48" s="27">
        <v>43.764054482016498</v>
      </c>
      <c r="K48" s="8">
        <v>1.7303925208590492</v>
      </c>
      <c r="L48" s="34">
        <v>1.6246553532540582</v>
      </c>
      <c r="N48">
        <f t="shared" si="73"/>
        <v>6.3031689306634497E-2</v>
      </c>
      <c r="P48" s="7">
        <f t="shared" si="35"/>
        <v>1.6775239370565536</v>
      </c>
      <c r="Q48" s="7">
        <f t="shared" si="68"/>
        <v>1.6775239370565536</v>
      </c>
      <c r="S48" s="38">
        <v>0.35358000000000001</v>
      </c>
      <c r="T48" s="38">
        <v>3.1570000000000001E-2</v>
      </c>
      <c r="U48" s="27">
        <v>0.36073</v>
      </c>
      <c r="V48" s="27">
        <v>3.4389999999999997E-2</v>
      </c>
      <c r="W48" s="27">
        <f t="shared" si="36"/>
        <v>7.1499999999999897E-3</v>
      </c>
      <c r="X48" s="27">
        <f t="shared" si="36"/>
        <v>2.8199999999999961E-3</v>
      </c>
      <c r="Y48" s="8">
        <v>0.20673915961874062</v>
      </c>
      <c r="AA48" s="4">
        <v>0.53849999999999998</v>
      </c>
      <c r="AB48" s="4"/>
      <c r="AC48" s="4">
        <v>1.03E-2</v>
      </c>
      <c r="AD48" s="4"/>
      <c r="AE48" s="8">
        <f t="shared" si="37"/>
        <v>12.585335867247986</v>
      </c>
      <c r="AF48" s="8" t="str">
        <f t="shared" si="38"/>
        <v/>
      </c>
      <c r="AG48" s="8" t="str">
        <f t="shared" si="39"/>
        <v/>
      </c>
      <c r="AH48" s="8" t="str">
        <f t="shared" si="74"/>
        <v/>
      </c>
      <c r="AI48" s="8">
        <f t="shared" si="75"/>
        <v>0.34680988898739301</v>
      </c>
      <c r="AJ48" s="8" t="str">
        <f t="shared" si="76"/>
        <v/>
      </c>
      <c r="AK48" s="8" t="str">
        <f t="shared" si="40"/>
        <v/>
      </c>
      <c r="AL48" s="27">
        <v>0.13740740740740745</v>
      </c>
      <c r="AM48" s="27">
        <v>0.17131877022653721</v>
      </c>
      <c r="AN48" s="27">
        <v>0.23941210597563323</v>
      </c>
      <c r="AO48" s="27">
        <v>0.50235493827160493</v>
      </c>
      <c r="AP48" s="27">
        <v>1.2347652036138081</v>
      </c>
      <c r="AQ48" s="27">
        <v>3.2586209952942697</v>
      </c>
      <c r="AR48" s="27">
        <v>0.93030447530864202</v>
      </c>
      <c r="AS48" s="27">
        <v>1.2347652036138081</v>
      </c>
      <c r="AT48" s="27">
        <v>3.574154660607233</v>
      </c>
      <c r="AU48">
        <f t="shared" si="41"/>
        <v>0.10200469856822578</v>
      </c>
      <c r="AV48">
        <f t="shared" si="42"/>
        <v>6.8093335749096012E-2</v>
      </c>
      <c r="AW48">
        <f t="shared" si="43"/>
        <v>2.7562660570226649</v>
      </c>
      <c r="AX48">
        <f t="shared" si="44"/>
        <v>2.0238557916804618</v>
      </c>
      <c r="AY48">
        <f t="shared" si="45"/>
        <v>2.6438501852985912</v>
      </c>
      <c r="AZ48">
        <f t="shared" si="46"/>
        <v>2.339389456993425</v>
      </c>
      <c r="BA48">
        <f t="shared" si="77"/>
        <v>0.36697209922394203</v>
      </c>
      <c r="BB48" t="str">
        <f t="shared" si="78"/>
        <v/>
      </c>
      <c r="BC48">
        <f t="shared" si="79"/>
        <v>0.35633696677983151</v>
      </c>
      <c r="BD48" t="str">
        <f t="shared" si="80"/>
        <v/>
      </c>
      <c r="BE48">
        <f t="shared" si="81"/>
        <v>0.26299915574541777</v>
      </c>
      <c r="BF48" t="str">
        <f t="shared" si="82"/>
        <v/>
      </c>
      <c r="BG48">
        <f t="shared" si="102"/>
        <v>9.3337811034413742E-2</v>
      </c>
      <c r="BH48" t="str">
        <f t="shared" si="48"/>
        <v/>
      </c>
      <c r="BI48" s="10">
        <f t="shared" si="103"/>
        <v>4.1124709027262678E-4</v>
      </c>
      <c r="BJ48">
        <f t="shared" si="49"/>
        <v>1.1423530285350745E-3</v>
      </c>
      <c r="BK48">
        <f t="shared" si="83"/>
        <v>1.0635132444110518E-2</v>
      </c>
      <c r="BL48">
        <f t="shared" si="84"/>
        <v>232.67084768271252</v>
      </c>
      <c r="BM48" t="str">
        <f t="shared" si="85"/>
        <v/>
      </c>
      <c r="BN48" s="10">
        <f t="shared" si="86"/>
        <v>0.10836216683360783</v>
      </c>
      <c r="BO48" s="10" t="str">
        <f t="shared" si="87"/>
        <v/>
      </c>
      <c r="BP48" s="10">
        <f t="shared" si="88"/>
        <v>8.0781615953849306E-2</v>
      </c>
      <c r="BQ48" s="10" t="str">
        <f t="shared" si="89"/>
        <v/>
      </c>
      <c r="BR48">
        <f t="shared" si="104"/>
        <v>4.7420200617706486E-2</v>
      </c>
      <c r="BS48">
        <f t="shared" si="105"/>
        <v>-7.4750140129751665</v>
      </c>
      <c r="BT48">
        <f t="shared" si="50"/>
        <v>0.25</v>
      </c>
      <c r="BU48">
        <f t="shared" si="51"/>
        <v>0.42</v>
      </c>
      <c r="BV48">
        <f t="shared" si="52"/>
        <v>0.16999999999999998</v>
      </c>
      <c r="BW48">
        <f t="shared" si="90"/>
        <v>0.27</v>
      </c>
      <c r="BX48">
        <f t="shared" si="91"/>
        <v>0.34</v>
      </c>
      <c r="BY48">
        <f t="shared" si="53"/>
        <v>7.0000000000000007E-2</v>
      </c>
      <c r="BZ48">
        <f t="shared" si="92"/>
        <v>0.2204210581845317</v>
      </c>
      <c r="CA48">
        <f t="shared" si="93"/>
        <v>0.336972099223942</v>
      </c>
      <c r="CB48">
        <f t="shared" si="54"/>
        <v>0.1165510410394103</v>
      </c>
      <c r="CC48" t="str">
        <f t="shared" si="94"/>
        <v/>
      </c>
      <c r="CD48" t="str">
        <f t="shared" si="95"/>
        <v/>
      </c>
      <c r="CE48" t="str">
        <f t="shared" si="55"/>
        <v/>
      </c>
      <c r="CF48" t="str">
        <f t="shared" si="96"/>
        <v/>
      </c>
      <c r="CG48" t="str">
        <f t="shared" si="97"/>
        <v/>
      </c>
      <c r="CH48" t="str">
        <f t="shared" si="56"/>
        <v/>
      </c>
      <c r="CI48">
        <v>4</v>
      </c>
      <c r="CJ48">
        <f t="shared" si="57"/>
        <v>121.92</v>
      </c>
      <c r="CK48">
        <v>4</v>
      </c>
      <c r="CL48">
        <f t="shared" si="58"/>
        <v>121.92</v>
      </c>
      <c r="CM48">
        <f t="shared" si="106"/>
        <v>14.890128679606349</v>
      </c>
      <c r="CN48">
        <f t="shared" si="98"/>
        <v>19.588043186978275</v>
      </c>
      <c r="CO48">
        <f t="shared" si="99"/>
        <v>14.890128679606349</v>
      </c>
      <c r="CP48">
        <f t="shared" si="100"/>
        <v>19.588043186978275</v>
      </c>
      <c r="CQ48">
        <v>8.4526775914525176E-2</v>
      </c>
      <c r="CR48">
        <v>6.4467000130091615E-2</v>
      </c>
      <c r="CS48">
        <v>4.7864119768976199E-2</v>
      </c>
      <c r="CT48">
        <v>0.12000000000000002</v>
      </c>
      <c r="CU48">
        <v>55</v>
      </c>
      <c r="CV48">
        <f t="shared" si="101"/>
        <v>13.038477542694924</v>
      </c>
      <c r="DC48">
        <f t="shared" si="60"/>
        <v>0</v>
      </c>
    </row>
    <row r="49" spans="3:107">
      <c r="C49">
        <f t="shared" si="33"/>
        <v>44.812485985325665</v>
      </c>
      <c r="E49" t="s">
        <v>7</v>
      </c>
      <c r="F49">
        <v>9</v>
      </c>
      <c r="G49">
        <v>5</v>
      </c>
      <c r="H49" s="27">
        <v>7.4646830228329497</v>
      </c>
      <c r="I49" s="27">
        <v>52.204079590374</v>
      </c>
      <c r="J49" s="27">
        <v>40.331237386793099</v>
      </c>
      <c r="K49" s="8">
        <v>1.6691003276244336</v>
      </c>
      <c r="L49" s="34">
        <v>1.5609645047934566</v>
      </c>
      <c r="N49">
        <f t="shared" si="73"/>
        <v>6.6955821905302804E-2</v>
      </c>
      <c r="P49" s="7">
        <f t="shared" si="35"/>
        <v>1.6150324162089451</v>
      </c>
      <c r="Q49" s="7">
        <f t="shared" si="68"/>
        <v>1.6150324162089451</v>
      </c>
      <c r="S49" s="38">
        <v>0.28876000000000002</v>
      </c>
      <c r="T49" s="38">
        <v>4.0910000000000002E-2</v>
      </c>
      <c r="U49" s="27"/>
      <c r="V49" s="27"/>
      <c r="W49" s="27" t="str">
        <f t="shared" si="36"/>
        <v/>
      </c>
      <c r="X49" s="27" t="str">
        <f t="shared" si="36"/>
        <v/>
      </c>
      <c r="Y49" s="8">
        <v>0.2115678985348789</v>
      </c>
      <c r="AA49" s="4">
        <v>0.63600000000000001</v>
      </c>
      <c r="AB49" s="4"/>
      <c r="AC49" s="4">
        <v>4.7500000000000001E-2</v>
      </c>
      <c r="AD49" s="4"/>
      <c r="AE49" s="8">
        <f t="shared" si="37"/>
        <v>15.15081850747162</v>
      </c>
      <c r="AF49" s="8" t="str">
        <f t="shared" si="38"/>
        <v/>
      </c>
      <c r="AG49" s="8" t="str">
        <f t="shared" si="39"/>
        <v/>
      </c>
      <c r="AH49" s="8" t="str">
        <f t="shared" si="74"/>
        <v/>
      </c>
      <c r="AI49" s="8">
        <f t="shared" si="75"/>
        <v>0.34168901436303439</v>
      </c>
      <c r="AJ49" s="8" t="str">
        <f t="shared" si="76"/>
        <v/>
      </c>
      <c r="AK49" s="8" t="str">
        <f t="shared" si="40"/>
        <v/>
      </c>
      <c r="AL49" s="27">
        <v>0.16239151398264229</v>
      </c>
      <c r="AM49" s="27">
        <v>0.17630057803468221</v>
      </c>
      <c r="AN49" s="27">
        <v>0.24404873477038413</v>
      </c>
      <c r="AO49" s="27">
        <v>0.41991393442622948</v>
      </c>
      <c r="AP49" s="27">
        <v>2.303588631984586</v>
      </c>
      <c r="AQ49" s="27">
        <v>3.4470517025929395</v>
      </c>
      <c r="AR49" s="27">
        <v>0.41991393442622948</v>
      </c>
      <c r="AS49" s="27">
        <v>2.303588631984586</v>
      </c>
      <c r="AT49" s="27">
        <v>4.7895876288659789</v>
      </c>
      <c r="AU49">
        <f t="shared" si="41"/>
        <v>8.1657220787741847E-2</v>
      </c>
      <c r="AV49">
        <f t="shared" si="42"/>
        <v>6.774815673570192E-2</v>
      </c>
      <c r="AW49">
        <f t="shared" si="43"/>
        <v>3.02713776816671</v>
      </c>
      <c r="AX49">
        <f t="shared" si="44"/>
        <v>1.1434630706083535</v>
      </c>
      <c r="AY49">
        <f t="shared" si="45"/>
        <v>4.369673694439749</v>
      </c>
      <c r="AZ49">
        <f t="shared" si="46"/>
        <v>2.4859989968813929</v>
      </c>
      <c r="BA49">
        <f t="shared" si="77"/>
        <v>0.3905538052041716</v>
      </c>
      <c r="BB49" t="str">
        <f t="shared" si="78"/>
        <v/>
      </c>
      <c r="BC49">
        <f t="shared" si="79"/>
        <v>0.36348567228384987</v>
      </c>
      <c r="BD49" t="str">
        <f t="shared" si="80"/>
        <v/>
      </c>
      <c r="BE49">
        <f t="shared" si="81"/>
        <v>0.24601496578012505</v>
      </c>
      <c r="BF49" t="str">
        <f t="shared" si="82"/>
        <v/>
      </c>
      <c r="BG49">
        <f t="shared" si="102"/>
        <v>0.11747070650372482</v>
      </c>
      <c r="BH49" t="str">
        <f t="shared" si="48"/>
        <v/>
      </c>
      <c r="BI49" s="10">
        <f t="shared" si="103"/>
        <v>1.8227513423840092E-3</v>
      </c>
      <c r="BJ49">
        <f t="shared" si="49"/>
        <v>5.063198173288915E-3</v>
      </c>
      <c r="BK49">
        <f t="shared" si="83"/>
        <v>2.706813292032173E-2</v>
      </c>
      <c r="BL49">
        <f t="shared" si="84"/>
        <v>173.47844257787295</v>
      </c>
      <c r="BM49" t="str">
        <f t="shared" si="85"/>
        <v/>
      </c>
      <c r="BN49" s="10">
        <f t="shared" si="86"/>
        <v>0.14604023260337773</v>
      </c>
      <c r="BO49" s="10" t="str">
        <f t="shared" si="87"/>
        <v/>
      </c>
      <c r="BP49" s="10">
        <f t="shared" si="88"/>
        <v>8.8571915280476657E-2</v>
      </c>
      <c r="BQ49" s="10" t="str">
        <f t="shared" si="89"/>
        <v/>
      </c>
      <c r="BR49">
        <f t="shared" si="104"/>
        <v>6.0931627860951833E-2</v>
      </c>
      <c r="BS49">
        <f t="shared" si="105"/>
        <v>-6.8293678497733641</v>
      </c>
      <c r="BT49">
        <f t="shared" si="50"/>
        <v>0.23</v>
      </c>
      <c r="BU49">
        <f t="shared" si="51"/>
        <v>0.4</v>
      </c>
      <c r="BV49">
        <f t="shared" si="52"/>
        <v>0.17</v>
      </c>
      <c r="BW49">
        <f t="shared" si="90"/>
        <v>0.26</v>
      </c>
      <c r="BX49">
        <f t="shared" si="91"/>
        <v>0.36</v>
      </c>
      <c r="BY49">
        <f t="shared" si="53"/>
        <v>0.1</v>
      </c>
      <c r="BZ49">
        <f t="shared" si="92"/>
        <v>0.20591052704371701</v>
      </c>
      <c r="CA49">
        <f t="shared" si="93"/>
        <v>0.36055380520417157</v>
      </c>
      <c r="CB49">
        <f t="shared" si="54"/>
        <v>0.15464327816045456</v>
      </c>
      <c r="CC49" t="str">
        <f t="shared" si="94"/>
        <v/>
      </c>
      <c r="CD49" t="str">
        <f t="shared" si="95"/>
        <v/>
      </c>
      <c r="CE49" t="str">
        <f t="shared" si="55"/>
        <v/>
      </c>
      <c r="CF49" t="str">
        <f t="shared" si="96"/>
        <v/>
      </c>
      <c r="CG49" t="str">
        <f t="shared" si="97"/>
        <v/>
      </c>
      <c r="CH49" t="str">
        <f t="shared" si="56"/>
        <v/>
      </c>
      <c r="CI49">
        <v>4</v>
      </c>
      <c r="CJ49">
        <f t="shared" si="57"/>
        <v>121.92</v>
      </c>
      <c r="CK49">
        <v>4</v>
      </c>
      <c r="CL49">
        <f t="shared" si="58"/>
        <v>121.92</v>
      </c>
      <c r="CM49">
        <f t="shared" si="106"/>
        <v>14.890128679606349</v>
      </c>
      <c r="CN49">
        <f t="shared" si="98"/>
        <v>19.588043186978275</v>
      </c>
      <c r="CO49">
        <f t="shared" si="99"/>
        <v>14.890128679606349</v>
      </c>
      <c r="CP49">
        <f t="shared" si="100"/>
        <v>19.588043186978275</v>
      </c>
      <c r="CQ49" t="e">
        <v>#N/A</v>
      </c>
      <c r="CR49" t="e">
        <v>#N/A</v>
      </c>
      <c r="CS49" t="e">
        <v>#N/A</v>
      </c>
      <c r="CU49">
        <v>55</v>
      </c>
      <c r="CV49">
        <f t="shared" si="101"/>
        <v>13.038477542694924</v>
      </c>
      <c r="DC49">
        <f t="shared" si="60"/>
        <v>0</v>
      </c>
    </row>
    <row r="50" spans="3:107">
      <c r="C50">
        <f t="shared" si="33"/>
        <v>41.557630859842405</v>
      </c>
      <c r="E50" t="s">
        <v>7</v>
      </c>
      <c r="F50">
        <v>10</v>
      </c>
      <c r="G50">
        <v>1</v>
      </c>
      <c r="H50" s="27">
        <v>9.6838118719314004</v>
      </c>
      <c r="I50" s="27">
        <v>52.914320354210439</v>
      </c>
      <c r="J50" s="27">
        <v>37.401867773858164</v>
      </c>
      <c r="K50" s="8">
        <v>1.349543396974332</v>
      </c>
      <c r="L50" s="34">
        <v>1.2767367905555822</v>
      </c>
      <c r="M50" s="8">
        <v>1.4067338568111405</v>
      </c>
      <c r="N50">
        <f t="shared" si="73"/>
        <v>5.5444660295157877E-2</v>
      </c>
      <c r="O50">
        <f t="shared" ref="O50:O52" si="109">AVERAGE(K50:M50)</f>
        <v>1.3443380147803516</v>
      </c>
      <c r="P50" s="7">
        <f t="shared" si="35"/>
        <v>1.3131400937649571</v>
      </c>
      <c r="Q50" s="7">
        <f t="shared" si="68"/>
        <v>1.3131400937649571</v>
      </c>
      <c r="R50" s="8">
        <v>1.1428393315236436</v>
      </c>
      <c r="S50" s="38">
        <v>1.3626633333333331</v>
      </c>
      <c r="T50" s="38">
        <v>0.12310333333333334</v>
      </c>
      <c r="U50" s="27">
        <v>1.9176</v>
      </c>
      <c r="V50" s="27">
        <v>0.14385000000000001</v>
      </c>
      <c r="W50" s="27">
        <f t="shared" si="36"/>
        <v>0.55493666666666686</v>
      </c>
      <c r="X50" s="27">
        <f t="shared" si="36"/>
        <v>2.0746666666666663E-2</v>
      </c>
      <c r="Y50" s="8">
        <v>0.12023937996664379</v>
      </c>
      <c r="Z50" s="8">
        <v>0.25258358662613989</v>
      </c>
      <c r="AA50" s="4">
        <v>0.13</v>
      </c>
      <c r="AB50" s="4">
        <v>0.78700000000000003</v>
      </c>
      <c r="AC50" s="4">
        <v>0</v>
      </c>
      <c r="AD50" s="4">
        <v>0.111</v>
      </c>
      <c r="AE50" s="8">
        <f t="shared" si="37"/>
        <v>2.166375945449492</v>
      </c>
      <c r="AF50" s="8">
        <f t="shared" si="38"/>
        <v>16.732571532562439</v>
      </c>
      <c r="AG50" s="8">
        <f t="shared" si="39"/>
        <v>14.566195587112947</v>
      </c>
      <c r="AH50" s="8">
        <f t="shared" si="74"/>
        <v>0.13234420665949609</v>
      </c>
      <c r="AI50" s="8">
        <f t="shared" si="75"/>
        <v>0.15789115068363893</v>
      </c>
      <c r="AJ50" s="8">
        <f t="shared" si="76"/>
        <v>0.33167763462573852</v>
      </c>
      <c r="AK50" s="8">
        <f t="shared" si="40"/>
        <v>0.17378648394209958</v>
      </c>
      <c r="AL50" s="27">
        <v>0.12317244141798531</v>
      </c>
      <c r="AM50" s="27">
        <v>0.11511492014024176</v>
      </c>
      <c r="AN50" s="27">
        <v>0.25828117844603876</v>
      </c>
      <c r="AO50" s="27">
        <v>22.791040790439954</v>
      </c>
      <c r="AP50" s="27">
        <v>6.1331320607713291</v>
      </c>
      <c r="AQ50" s="27">
        <v>8.1263992774639995</v>
      </c>
      <c r="AR50" s="27">
        <v>32.150811135589834</v>
      </c>
      <c r="AS50" s="27">
        <v>6.3580135696662783</v>
      </c>
      <c r="AT50" s="27">
        <v>9.0124389406197523</v>
      </c>
      <c r="AU50">
        <f t="shared" si="41"/>
        <v>0.13510873702805345</v>
      </c>
      <c r="AV50">
        <f t="shared" si="42"/>
        <v>0.14316625830579699</v>
      </c>
      <c r="AW50">
        <f t="shared" si="43"/>
        <v>-14.664641512975955</v>
      </c>
      <c r="AX50">
        <f t="shared" si="44"/>
        <v>1.9932672166926704</v>
      </c>
      <c r="AY50">
        <f t="shared" si="45"/>
        <v>-23.138372194970081</v>
      </c>
      <c r="AZ50">
        <f t="shared" si="46"/>
        <v>2.654425370953474</v>
      </c>
      <c r="BA50">
        <f t="shared" si="77"/>
        <v>0.50447543631511049</v>
      </c>
      <c r="BB50">
        <f t="shared" si="78"/>
        <v>0.56873987489673827</v>
      </c>
      <c r="BC50">
        <f t="shared" si="79"/>
        <v>0.37952724244378672</v>
      </c>
      <c r="BD50">
        <f t="shared" si="80"/>
        <v>0.3832590961428709</v>
      </c>
      <c r="BE50">
        <f t="shared" si="81"/>
        <v>0.21759124245690903</v>
      </c>
      <c r="BF50">
        <f t="shared" si="82"/>
        <v>0.21190890325911227</v>
      </c>
      <c r="BG50">
        <f t="shared" si="102"/>
        <v>0.16193599998687769</v>
      </c>
      <c r="BH50">
        <f t="shared" si="48"/>
        <v>0.17135019288375863</v>
      </c>
      <c r="BI50" s="10">
        <f t="shared" si="103"/>
        <v>6.5616006420865944E-2</v>
      </c>
      <c r="BJ50">
        <f t="shared" si="49"/>
        <v>0.18226668450240541</v>
      </c>
      <c r="BK50">
        <f t="shared" si="83"/>
        <v>0.12494819387132378</v>
      </c>
      <c r="BL50">
        <f t="shared" si="84"/>
        <v>66.435953688232601</v>
      </c>
      <c r="BM50">
        <f t="shared" si="85"/>
        <v>44.722246337471972</v>
      </c>
      <c r="BN50" s="10">
        <f t="shared" si="86"/>
        <v>0.23455451265371144</v>
      </c>
      <c r="BO50" s="10">
        <f t="shared" si="87"/>
        <v>0.25987103519856991</v>
      </c>
      <c r="BP50" s="10">
        <f t="shared" si="88"/>
        <v>0.10574864093542709</v>
      </c>
      <c r="BQ50" s="10">
        <f t="shared" si="89"/>
        <v>0.11089042645254796</v>
      </c>
      <c r="BR50">
        <f t="shared" si="104"/>
        <v>6.9870030006287706E-2</v>
      </c>
      <c r="BS50">
        <f t="shared" si="105"/>
        <v>-6.3677553702612837</v>
      </c>
      <c r="BT50">
        <f t="shared" si="50"/>
        <v>0.21</v>
      </c>
      <c r="BU50">
        <f t="shared" si="51"/>
        <v>0.38</v>
      </c>
      <c r="BV50">
        <f t="shared" si="52"/>
        <v>0.17</v>
      </c>
      <c r="BW50">
        <f t="shared" si="90"/>
        <v>0.17</v>
      </c>
      <c r="BX50">
        <f t="shared" si="91"/>
        <v>0.3</v>
      </c>
      <c r="BY50">
        <f t="shared" si="53"/>
        <v>0.13</v>
      </c>
      <c r="BZ50">
        <f t="shared" si="92"/>
        <v>0.13581112977222301</v>
      </c>
      <c r="CA50">
        <f t="shared" si="93"/>
        <v>0.32119816353500419</v>
      </c>
      <c r="CB50">
        <f t="shared" si="54"/>
        <v>0.18538703376278118</v>
      </c>
      <c r="CC50">
        <f t="shared" si="94"/>
        <v>0.12</v>
      </c>
      <c r="CD50">
        <f t="shared" si="95"/>
        <v>0.26</v>
      </c>
      <c r="CE50">
        <f t="shared" si="55"/>
        <v>0.14000000000000001</v>
      </c>
      <c r="CF50">
        <f t="shared" si="96"/>
        <v>9.6267292779790042E-2</v>
      </c>
      <c r="CG50">
        <f t="shared" si="97"/>
        <v>0.27845267221243453</v>
      </c>
      <c r="CH50">
        <f t="shared" si="56"/>
        <v>0.18218537943264448</v>
      </c>
      <c r="CI50">
        <v>3</v>
      </c>
      <c r="CJ50">
        <f t="shared" si="57"/>
        <v>91.44</v>
      </c>
      <c r="CK50">
        <v>2</v>
      </c>
      <c r="CL50">
        <f t="shared" si="58"/>
        <v>60.96</v>
      </c>
      <c r="CM50">
        <f t="shared" si="106"/>
        <v>11.389685767955024</v>
      </c>
      <c r="CN50">
        <f t="shared" si="98"/>
        <v>13.746025598144607</v>
      </c>
      <c r="CO50">
        <f t="shared" si="99"/>
        <v>8.5727633313721761</v>
      </c>
      <c r="CP50">
        <f t="shared" si="100"/>
        <v>9.9622702571548665</v>
      </c>
      <c r="CQ50">
        <v>0.21289434301837012</v>
      </c>
      <c r="CR50">
        <v>0.22618464480379646</v>
      </c>
      <c r="CS50">
        <v>0.19960404123294381</v>
      </c>
      <c r="CT50">
        <v>0.09</v>
      </c>
      <c r="CU50">
        <v>45</v>
      </c>
      <c r="CV50">
        <f t="shared" si="101"/>
        <v>10.198179104035928</v>
      </c>
      <c r="DC50">
        <f t="shared" si="60"/>
        <v>0</v>
      </c>
    </row>
    <row r="51" spans="3:107">
      <c r="C51">
        <f t="shared" si="33"/>
        <v>42.537408077295332</v>
      </c>
      <c r="E51" t="s">
        <v>7</v>
      </c>
      <c r="F51">
        <v>10</v>
      </c>
      <c r="G51">
        <v>2</v>
      </c>
      <c r="H51" s="27">
        <v>7.49047359825801</v>
      </c>
      <c r="I51" s="27">
        <v>54.225859132176197</v>
      </c>
      <c r="J51" s="27">
        <v>38.283667269565797</v>
      </c>
      <c r="K51" s="8">
        <v>1.6766940506800496</v>
      </c>
      <c r="L51" s="34">
        <v>1.5966288942291607</v>
      </c>
      <c r="M51" s="8">
        <v>1.5089496873363266</v>
      </c>
      <c r="N51">
        <f t="shared" si="73"/>
        <v>4.8919802780479804E-2</v>
      </c>
      <c r="O51">
        <f t="shared" si="109"/>
        <v>1.594090877415179</v>
      </c>
      <c r="P51" s="7">
        <f t="shared" si="35"/>
        <v>1.6366614724546051</v>
      </c>
      <c r="Q51" s="7">
        <f t="shared" si="68"/>
        <v>1.6366614724546051</v>
      </c>
      <c r="R51" s="8">
        <v>1.2306508608892763</v>
      </c>
      <c r="S51" s="38">
        <v>0.47887999999999997</v>
      </c>
      <c r="T51" s="38">
        <v>5.7700000000000001E-2</v>
      </c>
      <c r="U51" s="27">
        <v>0.61351</v>
      </c>
      <c r="V51" s="27">
        <v>7.2050000000000003E-2</v>
      </c>
      <c r="W51" s="27">
        <f t="shared" si="36"/>
        <v>0.13463000000000003</v>
      </c>
      <c r="X51" s="27">
        <f t="shared" si="36"/>
        <v>1.4350000000000002E-2</v>
      </c>
      <c r="Y51" s="8">
        <v>0.17238017037873363</v>
      </c>
      <c r="Z51" s="8">
        <v>0.23496835443037997</v>
      </c>
      <c r="AA51" s="4">
        <v>0.13200000000000001</v>
      </c>
      <c r="AB51" s="4">
        <v>0.70199999999999996</v>
      </c>
      <c r="AC51" s="4">
        <v>0</v>
      </c>
      <c r="AD51" s="4">
        <v>4.6699999999999998E-2</v>
      </c>
      <c r="AE51" s="8">
        <f t="shared" si="37"/>
        <v>2.8692595103755432</v>
      </c>
      <c r="AF51" s="8">
        <f t="shared" si="38"/>
        <v>17.143168612185686</v>
      </c>
      <c r="AG51" s="8">
        <f t="shared" si="39"/>
        <v>14.273909101810144</v>
      </c>
      <c r="AH51" s="8">
        <f t="shared" si="74"/>
        <v>6.2588184051646345E-2</v>
      </c>
      <c r="AI51" s="8">
        <f t="shared" si="75"/>
        <v>0.28212798347403389</v>
      </c>
      <c r="AJ51" s="8">
        <f t="shared" si="76"/>
        <v>0.38456365294226125</v>
      </c>
      <c r="AK51" s="8">
        <f t="shared" si="40"/>
        <v>0.10243566946822735</v>
      </c>
      <c r="AL51" s="27">
        <v>0.13980392156862737</v>
      </c>
      <c r="AM51" s="27">
        <v>0.12792127921279214</v>
      </c>
      <c r="AN51" s="27">
        <v>0.26842189757585483</v>
      </c>
      <c r="AO51" s="27">
        <v>0.85485294117647048</v>
      </c>
      <c r="AP51" s="27">
        <v>0.98693111931119315</v>
      </c>
      <c r="AQ51" s="27">
        <v>5.1899595975812058</v>
      </c>
      <c r="AR51" s="27">
        <v>0.8955059477124182</v>
      </c>
      <c r="AS51" s="27">
        <v>1.2317840303403034</v>
      </c>
      <c r="AT51" s="27">
        <v>5.3886790282014232</v>
      </c>
      <c r="AU51">
        <f t="shared" si="41"/>
        <v>0.12861797600722746</v>
      </c>
      <c r="AV51">
        <f t="shared" si="42"/>
        <v>0.14050061836306268</v>
      </c>
      <c r="AW51">
        <f t="shared" si="43"/>
        <v>4.3351066564047356</v>
      </c>
      <c r="AX51">
        <f t="shared" si="44"/>
        <v>4.2030284782700127</v>
      </c>
      <c r="AY51">
        <f t="shared" si="45"/>
        <v>4.4931730804890053</v>
      </c>
      <c r="AZ51">
        <f t="shared" si="46"/>
        <v>4.1568949978611194</v>
      </c>
      <c r="BA51">
        <f t="shared" si="77"/>
        <v>0.38239189718694144</v>
      </c>
      <c r="BB51">
        <f t="shared" si="78"/>
        <v>0.53560344872102772</v>
      </c>
      <c r="BC51">
        <f t="shared" si="79"/>
        <v>0.35498380166074678</v>
      </c>
      <c r="BD51">
        <f t="shared" si="80"/>
        <v>0.38803439911345394</v>
      </c>
      <c r="BE51">
        <f t="shared" si="81"/>
        <v>0.23566116216691002</v>
      </c>
      <c r="BF51">
        <f t="shared" si="82"/>
        <v>0.21879231944572641</v>
      </c>
      <c r="BG51">
        <f t="shared" si="102"/>
        <v>0.11932263949383676</v>
      </c>
      <c r="BH51">
        <f t="shared" si="48"/>
        <v>0.16924207966772753</v>
      </c>
      <c r="BI51" s="10">
        <f t="shared" si="103"/>
        <v>1.9728313295236358E-3</v>
      </c>
      <c r="BJ51">
        <f t="shared" si="49"/>
        <v>5.4800870264545441E-3</v>
      </c>
      <c r="BK51">
        <f t="shared" si="83"/>
        <v>2.7408095526194665E-2</v>
      </c>
      <c r="BL51">
        <f t="shared" si="84"/>
        <v>175.65723824094076</v>
      </c>
      <c r="BM51">
        <f t="shared" si="85"/>
        <v>58.117885903991564</v>
      </c>
      <c r="BN51" s="10">
        <f t="shared" si="86"/>
        <v>0.15452281805624749</v>
      </c>
      <c r="BO51" s="10">
        <f t="shared" si="87"/>
        <v>0.24451765086525354</v>
      </c>
      <c r="BP51" s="10">
        <f t="shared" si="88"/>
        <v>8.7170898137464162E-2</v>
      </c>
      <c r="BQ51" s="10">
        <f t="shared" si="89"/>
        <v>0.10909211349279405</v>
      </c>
      <c r="BR51">
        <f t="shared" si="104"/>
        <v>7.0825677255502081E-2</v>
      </c>
      <c r="BS51">
        <f t="shared" si="105"/>
        <v>-6.4685549215606875</v>
      </c>
      <c r="BT51">
        <f t="shared" si="50"/>
        <v>0.21</v>
      </c>
      <c r="BU51">
        <f t="shared" si="51"/>
        <v>0.39</v>
      </c>
      <c r="BV51">
        <f t="shared" si="52"/>
        <v>0.18000000000000002</v>
      </c>
      <c r="BW51">
        <f t="shared" si="90"/>
        <v>0.26</v>
      </c>
      <c r="BX51">
        <f t="shared" si="91"/>
        <v>0.35</v>
      </c>
      <c r="BY51">
        <f t="shared" si="53"/>
        <v>0.09</v>
      </c>
      <c r="BZ51">
        <f t="shared" si="92"/>
        <v>0.21093279390395928</v>
      </c>
      <c r="CA51">
        <f t="shared" si="93"/>
        <v>0.35239189718694142</v>
      </c>
      <c r="CB51">
        <f t="shared" si="54"/>
        <v>0.14145910328298214</v>
      </c>
      <c r="CC51">
        <f t="shared" si="94"/>
        <v>0.15</v>
      </c>
      <c r="CD51">
        <f t="shared" si="95"/>
        <v>0.28000000000000003</v>
      </c>
      <c r="CE51">
        <f t="shared" si="55"/>
        <v>0.13000000000000003</v>
      </c>
      <c r="CF51">
        <f t="shared" si="96"/>
        <v>0.11665712989848995</v>
      </c>
      <c r="CG51">
        <f t="shared" si="97"/>
        <v>0.30049336608320837</v>
      </c>
      <c r="CH51">
        <f t="shared" si="56"/>
        <v>0.18383623618471842</v>
      </c>
      <c r="CI51">
        <v>3</v>
      </c>
      <c r="CJ51">
        <f t="shared" si="57"/>
        <v>91.44</v>
      </c>
      <c r="CK51">
        <v>2</v>
      </c>
      <c r="CL51">
        <f t="shared" si="58"/>
        <v>60.96</v>
      </c>
      <c r="CM51">
        <f t="shared" si="106"/>
        <v>11.389685767955024</v>
      </c>
      <c r="CN51">
        <f t="shared" si="98"/>
        <v>13.746025598144607</v>
      </c>
      <c r="CO51">
        <f t="shared" si="99"/>
        <v>8.5727633313721761</v>
      </c>
      <c r="CP51">
        <f t="shared" si="100"/>
        <v>9.9622702571548665</v>
      </c>
      <c r="CQ51">
        <v>0.17289668705344469</v>
      </c>
      <c r="CR51">
        <v>0.13222186980475684</v>
      </c>
      <c r="CS51">
        <v>0.15395954766236752</v>
      </c>
      <c r="CU51">
        <v>45</v>
      </c>
      <c r="CV51">
        <f t="shared" si="101"/>
        <v>10.198179104035928</v>
      </c>
      <c r="DC51">
        <f t="shared" si="60"/>
        <v>0</v>
      </c>
    </row>
    <row r="52" spans="3:107">
      <c r="C52">
        <f t="shared" si="33"/>
        <v>49.827289134777999</v>
      </c>
      <c r="E52" t="s">
        <v>7</v>
      </c>
      <c r="F52">
        <v>10</v>
      </c>
      <c r="G52">
        <v>3</v>
      </c>
      <c r="H52" s="27">
        <v>8.5953797554894393</v>
      </c>
      <c r="I52" s="27">
        <v>46.560060023210397</v>
      </c>
      <c r="J52" s="27">
        <v>44.844560221300199</v>
      </c>
      <c r="K52" s="8">
        <v>1.7203579582498421</v>
      </c>
      <c r="L52" s="34">
        <v>1.6097934905491831</v>
      </c>
      <c r="M52" s="8">
        <v>1.4645180312747028</v>
      </c>
      <c r="N52">
        <f t="shared" si="73"/>
        <v>6.6402065732195203E-2</v>
      </c>
      <c r="O52">
        <f t="shared" si="109"/>
        <v>1.598223160024576</v>
      </c>
      <c r="P52" s="7">
        <f t="shared" si="35"/>
        <v>1.6650757243995127</v>
      </c>
      <c r="Q52" s="7">
        <f t="shared" si="68"/>
        <v>1.6650757243995127</v>
      </c>
      <c r="R52" s="8">
        <v>1.1550496313904821</v>
      </c>
      <c r="S52" s="38">
        <v>0.36266999999999999</v>
      </c>
      <c r="T52" s="38">
        <v>3.9570000000000001E-2</v>
      </c>
      <c r="U52" s="27">
        <v>0.55955999999999995</v>
      </c>
      <c r="V52" s="27">
        <v>6.9830000000000003E-2</v>
      </c>
      <c r="W52" s="27">
        <f t="shared" si="36"/>
        <v>0.19688999999999995</v>
      </c>
      <c r="X52" s="27">
        <f t="shared" si="36"/>
        <v>3.0260000000000002E-2</v>
      </c>
      <c r="Y52" s="8">
        <v>0.17577322303598725</v>
      </c>
      <c r="Z52" s="8">
        <v>0.26411657559198565</v>
      </c>
      <c r="AA52" s="4">
        <v>0.27449999999999997</v>
      </c>
      <c r="AB52" s="4">
        <v>0.49099999999999999</v>
      </c>
      <c r="AC52" s="4">
        <v>0</v>
      </c>
      <c r="AD52" s="4">
        <v>5.8500000000000003E-2</v>
      </c>
      <c r="AE52" s="8">
        <f t="shared" si="37"/>
        <v>6.0879135772829986</v>
      </c>
      <c r="AF52" s="8">
        <f t="shared" si="38"/>
        <v>13.102597112749955</v>
      </c>
      <c r="AG52" s="8">
        <f t="shared" si="39"/>
        <v>7.0146835354669559</v>
      </c>
      <c r="AH52" s="8">
        <f t="shared" si="74"/>
        <v>8.83433525559984E-2</v>
      </c>
      <c r="AI52" s="8">
        <f t="shared" si="75"/>
        <v>0.29267572667668357</v>
      </c>
      <c r="AJ52" s="8">
        <f t="shared" si="76"/>
        <v>0.43977409842974413</v>
      </c>
      <c r="AK52" s="8">
        <f t="shared" si="40"/>
        <v>0.14709837175306056</v>
      </c>
      <c r="AL52" s="27">
        <v>0.16583397386625692</v>
      </c>
      <c r="AM52" s="27">
        <v>0.18791683012946248</v>
      </c>
      <c r="AN52" s="27">
        <v>0.25617229907196631</v>
      </c>
      <c r="AO52" s="27">
        <v>0.76750736612861914</v>
      </c>
      <c r="AP52" s="27">
        <v>1.8214724728651757</v>
      </c>
      <c r="AQ52" s="27">
        <v>2.2558760870834065</v>
      </c>
      <c r="AR52" s="27">
        <v>0.82482753651037677</v>
      </c>
      <c r="AS52" s="27">
        <v>1.8214724728651757</v>
      </c>
      <c r="AT52" s="27">
        <v>2.9415368003268547</v>
      </c>
      <c r="AU52">
        <f t="shared" si="41"/>
        <v>9.0338325205709391E-2</v>
      </c>
      <c r="AV52">
        <f t="shared" si="42"/>
        <v>6.8255468942503839E-2</v>
      </c>
      <c r="AW52">
        <f t="shared" si="43"/>
        <v>1.4883687209547873</v>
      </c>
      <c r="AX52">
        <f t="shared" si="44"/>
        <v>0.43440361421823082</v>
      </c>
      <c r="AY52">
        <f t="shared" si="45"/>
        <v>2.1167092638164782</v>
      </c>
      <c r="AZ52">
        <f t="shared" si="46"/>
        <v>1.1200643274616791</v>
      </c>
      <c r="BA52">
        <f t="shared" si="77"/>
        <v>0.37166953796244806</v>
      </c>
      <c r="BB52">
        <f t="shared" si="78"/>
        <v>0.56413221456962936</v>
      </c>
      <c r="BC52">
        <f t="shared" si="79"/>
        <v>0.36029472716951094</v>
      </c>
      <c r="BD52">
        <f t="shared" si="80"/>
        <v>0.41111897788511237</v>
      </c>
      <c r="BE52">
        <f t="shared" si="81"/>
        <v>0.26787601205852507</v>
      </c>
      <c r="BF52">
        <f t="shared" si="82"/>
        <v>0.24108084693065437</v>
      </c>
      <c r="BG52">
        <f t="shared" si="102"/>
        <v>9.2418715110985872E-2</v>
      </c>
      <c r="BH52">
        <f t="shared" si="48"/>
        <v>0.17003813095445799</v>
      </c>
      <c r="BI52" s="10">
        <f t="shared" si="103"/>
        <v>4.1558838646740717E-4</v>
      </c>
      <c r="BJ52">
        <f t="shared" si="49"/>
        <v>1.1544121846316867E-3</v>
      </c>
      <c r="BK52">
        <f t="shared" si="83"/>
        <v>1.1374810792937118E-2</v>
      </c>
      <c r="BL52">
        <f t="shared" si="84"/>
        <v>225.90798704330223</v>
      </c>
      <c r="BM52">
        <f t="shared" si="85"/>
        <v>52.33219888164912</v>
      </c>
      <c r="BN52" s="10">
        <f t="shared" si="86"/>
        <v>0.10556652873863381</v>
      </c>
      <c r="BO52" s="10">
        <f t="shared" si="87"/>
        <v>0.22888139166629798</v>
      </c>
      <c r="BP52" s="10">
        <f t="shared" si="88"/>
        <v>8.1616636473877097E-2</v>
      </c>
      <c r="BQ52" s="10">
        <f t="shared" si="89"/>
        <v>0.11922973990056403</v>
      </c>
      <c r="BR52">
        <f t="shared" si="104"/>
        <v>4.1784172145977259E-2</v>
      </c>
      <c r="BS52">
        <f t="shared" si="105"/>
        <v>-7.7199266002626494</v>
      </c>
      <c r="BT52">
        <f t="shared" si="50"/>
        <v>0.26</v>
      </c>
      <c r="BU52">
        <f t="shared" si="51"/>
        <v>0.42</v>
      </c>
      <c r="BV52">
        <f t="shared" si="52"/>
        <v>0.15999999999999998</v>
      </c>
      <c r="BW52">
        <f t="shared" si="90"/>
        <v>0.27</v>
      </c>
      <c r="BX52">
        <f t="shared" si="91"/>
        <v>0.34</v>
      </c>
      <c r="BY52">
        <f t="shared" si="53"/>
        <v>7.0000000000000007E-2</v>
      </c>
      <c r="BZ52">
        <f t="shared" si="92"/>
        <v>0.21753058320556681</v>
      </c>
      <c r="CA52">
        <f t="shared" si="93"/>
        <v>0.34166953796244803</v>
      </c>
      <c r="CB52">
        <f t="shared" si="54"/>
        <v>0.12413895475688122</v>
      </c>
      <c r="CC52">
        <f t="shared" si="94"/>
        <v>0.13</v>
      </c>
      <c r="CD52">
        <f t="shared" si="95"/>
        <v>0.26</v>
      </c>
      <c r="CE52">
        <f t="shared" si="55"/>
        <v>0.13</v>
      </c>
      <c r="CF52">
        <f t="shared" si="96"/>
        <v>9.9102524408869935E-2</v>
      </c>
      <c r="CG52">
        <f t="shared" si="97"/>
        <v>0.28151745747901097</v>
      </c>
      <c r="CH52">
        <f t="shared" si="56"/>
        <v>0.18241493307014103</v>
      </c>
      <c r="CI52">
        <v>3</v>
      </c>
      <c r="CJ52">
        <f t="shared" si="57"/>
        <v>91.44</v>
      </c>
      <c r="CK52">
        <v>2</v>
      </c>
      <c r="CL52">
        <f t="shared" si="58"/>
        <v>60.96</v>
      </c>
      <c r="CM52">
        <f t="shared" si="106"/>
        <v>11.389685767955024</v>
      </c>
      <c r="CN52">
        <f t="shared" si="98"/>
        <v>13.746025598144607</v>
      </c>
      <c r="CO52">
        <f t="shared" si="99"/>
        <v>8.5727633313721761</v>
      </c>
      <c r="CP52">
        <f t="shared" si="100"/>
        <v>9.9622702571548665</v>
      </c>
      <c r="CQ52">
        <v>0.13390877717198132</v>
      </c>
      <c r="CR52">
        <v>0.11126125988781549</v>
      </c>
      <c r="CS52">
        <v>0.14119239208921303</v>
      </c>
      <c r="CT52">
        <v>0.17</v>
      </c>
      <c r="CU52">
        <v>45</v>
      </c>
      <c r="CV52">
        <f t="shared" si="101"/>
        <v>10.198179104035928</v>
      </c>
      <c r="DC52">
        <f t="shared" si="60"/>
        <v>0</v>
      </c>
    </row>
    <row r="53" spans="3:107">
      <c r="C53">
        <f t="shared" si="33"/>
        <v>44.59209603773045</v>
      </c>
      <c r="E53" t="s">
        <v>7</v>
      </c>
      <c r="F53">
        <v>10</v>
      </c>
      <c r="G53">
        <v>4</v>
      </c>
      <c r="H53" s="27">
        <v>8.4249581466900203</v>
      </c>
      <c r="I53" s="27">
        <v>51.442155419352602</v>
      </c>
      <c r="J53" s="27">
        <v>40.132886433957403</v>
      </c>
      <c r="K53" s="8">
        <v>1.6785895381404434</v>
      </c>
      <c r="L53" s="34">
        <v>1.693342409426394</v>
      </c>
      <c r="N53">
        <f t="shared" si="73"/>
        <v>-8.7503968142632095E-3</v>
      </c>
      <c r="P53" s="7">
        <f t="shared" si="35"/>
        <v>1.6859659737834187</v>
      </c>
      <c r="Q53" s="7">
        <f t="shared" si="68"/>
        <v>1.6859659737834187</v>
      </c>
      <c r="S53" s="38">
        <v>0.27953</v>
      </c>
      <c r="T53" s="38">
        <v>4.734E-2</v>
      </c>
      <c r="U53" s="27"/>
      <c r="V53" s="27"/>
      <c r="W53" s="27" t="str">
        <f t="shared" si="36"/>
        <v/>
      </c>
      <c r="X53" s="27" t="str">
        <f t="shared" si="36"/>
        <v/>
      </c>
      <c r="Y53" s="8">
        <v>0.19765252621544316</v>
      </c>
      <c r="AA53" s="4">
        <v>0.45600000000000002</v>
      </c>
      <c r="AB53" s="4"/>
      <c r="AC53" s="4">
        <v>0</v>
      </c>
      <c r="AD53" s="4"/>
      <c r="AE53" s="8">
        <f t="shared" si="37"/>
        <v>10.430690479067703</v>
      </c>
      <c r="AF53" s="8" t="str">
        <f t="shared" si="38"/>
        <v/>
      </c>
      <c r="AG53" s="8" t="str">
        <f t="shared" si="39"/>
        <v/>
      </c>
      <c r="AH53" s="8" t="str">
        <f t="shared" si="74"/>
        <v/>
      </c>
      <c r="AI53" s="8">
        <f t="shared" si="75"/>
        <v>0.33323543383157234</v>
      </c>
      <c r="AJ53" s="8" t="str">
        <f t="shared" si="76"/>
        <v/>
      </c>
      <c r="AK53" s="8" t="str">
        <f t="shared" si="40"/>
        <v/>
      </c>
      <c r="AL53" s="27">
        <v>0.19188345473465168</v>
      </c>
      <c r="AM53" s="27">
        <v>0.21743272207668518</v>
      </c>
      <c r="AN53" s="27">
        <v>0.22087931336486247</v>
      </c>
      <c r="AO53" s="27">
        <v>2.0510327783558799</v>
      </c>
      <c r="AP53" s="27">
        <v>3.190688259109312</v>
      </c>
      <c r="AQ53" s="27">
        <v>1.6431000759035443</v>
      </c>
      <c r="AR53" s="27">
        <v>2.0612631113423525</v>
      </c>
      <c r="AS53" s="27">
        <v>3.370259585615623</v>
      </c>
      <c r="AT53" s="27">
        <v>1.9060978279908918</v>
      </c>
      <c r="AU53">
        <f t="shared" si="41"/>
        <v>2.8995858630210786E-2</v>
      </c>
      <c r="AV53">
        <f t="shared" si="42"/>
        <v>3.4465912881772864E-3</v>
      </c>
      <c r="AW53">
        <f t="shared" si="43"/>
        <v>-0.40793270245233559</v>
      </c>
      <c r="AX53">
        <f t="shared" si="44"/>
        <v>-1.5475881832057676</v>
      </c>
      <c r="AY53">
        <f t="shared" si="45"/>
        <v>-0.15516528335146074</v>
      </c>
      <c r="AZ53">
        <f t="shared" si="46"/>
        <v>-1.4641617576247312</v>
      </c>
      <c r="BA53">
        <f t="shared" si="77"/>
        <v>0.36378642498738911</v>
      </c>
      <c r="BB53" t="str">
        <f t="shared" si="78"/>
        <v/>
      </c>
      <c r="BC53">
        <f t="shared" si="79"/>
        <v>0.34818123807558188</v>
      </c>
      <c r="BD53" t="str">
        <f t="shared" si="80"/>
        <v/>
      </c>
      <c r="BE53">
        <f t="shared" si="81"/>
        <v>0.24438795867890206</v>
      </c>
      <c r="BF53" t="str">
        <f t="shared" si="82"/>
        <v/>
      </c>
      <c r="BG53">
        <f t="shared" si="102"/>
        <v>0.10379327939667982</v>
      </c>
      <c r="BH53" t="str">
        <f t="shared" si="48"/>
        <v/>
      </c>
      <c r="BI53" s="10">
        <f t="shared" si="103"/>
        <v>7.8566211541603102E-4</v>
      </c>
      <c r="BJ53">
        <f t="shared" si="49"/>
        <v>2.1823947650445306E-3</v>
      </c>
      <c r="BK53">
        <f t="shared" si="83"/>
        <v>1.5605186911807234E-2</v>
      </c>
      <c r="BL53">
        <f t="shared" si="84"/>
        <v>212.65627405366314</v>
      </c>
      <c r="BM53" t="str">
        <f t="shared" si="85"/>
        <v/>
      </c>
      <c r="BN53" s="10">
        <f t="shared" si="86"/>
        <v>0.13017942385587603</v>
      </c>
      <c r="BO53" s="10" t="str">
        <f t="shared" si="87"/>
        <v/>
      </c>
      <c r="BP53" s="10">
        <f t="shared" si="88"/>
        <v>8.3105136296514823E-2</v>
      </c>
      <c r="BQ53" s="10" t="str">
        <f t="shared" si="89"/>
        <v/>
      </c>
      <c r="BR53">
        <f t="shared" si="104"/>
        <v>5.9783047186416326E-2</v>
      </c>
      <c r="BS53">
        <f t="shared" si="105"/>
        <v>-6.8148860696445652</v>
      </c>
      <c r="BT53">
        <f t="shared" si="50"/>
        <v>0.23</v>
      </c>
      <c r="BU53">
        <f t="shared" si="51"/>
        <v>0.4</v>
      </c>
      <c r="BV53">
        <f t="shared" si="52"/>
        <v>0.17</v>
      </c>
      <c r="BW53">
        <f t="shared" si="90"/>
        <v>0.28000000000000003</v>
      </c>
      <c r="BX53">
        <f t="shared" si="91"/>
        <v>0.33</v>
      </c>
      <c r="BY53">
        <f t="shared" si="53"/>
        <v>0.05</v>
      </c>
      <c r="BZ53">
        <f t="shared" si="92"/>
        <v>0.22238129911250978</v>
      </c>
      <c r="CA53">
        <f t="shared" si="93"/>
        <v>0.33378642498738909</v>
      </c>
      <c r="CB53">
        <f t="shared" si="54"/>
        <v>0.1114051258748793</v>
      </c>
      <c r="CC53" t="str">
        <f t="shared" si="94"/>
        <v/>
      </c>
      <c r="CD53" t="str">
        <f t="shared" si="95"/>
        <v/>
      </c>
      <c r="CE53" t="str">
        <f t="shared" si="55"/>
        <v/>
      </c>
      <c r="CF53" t="str">
        <f t="shared" si="96"/>
        <v/>
      </c>
      <c r="CG53" t="str">
        <f t="shared" si="97"/>
        <v/>
      </c>
      <c r="CH53" t="str">
        <f t="shared" si="56"/>
        <v/>
      </c>
      <c r="CI53">
        <v>3</v>
      </c>
      <c r="CJ53">
        <f t="shared" si="57"/>
        <v>91.44</v>
      </c>
      <c r="CK53">
        <v>2</v>
      </c>
      <c r="CL53">
        <f t="shared" si="58"/>
        <v>60.96</v>
      </c>
      <c r="CM53">
        <f t="shared" si="106"/>
        <v>11.389685767955024</v>
      </c>
      <c r="CN53">
        <f t="shared" si="98"/>
        <v>13.746025598144607</v>
      </c>
      <c r="CO53">
        <f t="shared" si="99"/>
        <v>8.5727633313721761</v>
      </c>
      <c r="CP53">
        <f t="shared" si="100"/>
        <v>9.9622702571548665</v>
      </c>
      <c r="CQ53">
        <v>5.7557265718429257E-2</v>
      </c>
      <c r="CR53">
        <v>4.3417976145955106E-2</v>
      </c>
      <c r="CS53">
        <v>3.066559422492332E-2</v>
      </c>
      <c r="CU53">
        <v>45</v>
      </c>
      <c r="CV53">
        <f t="shared" si="101"/>
        <v>10.198179104035928</v>
      </c>
      <c r="DC53">
        <f t="shared" si="60"/>
        <v>0</v>
      </c>
    </row>
    <row r="54" spans="3:107">
      <c r="C54">
        <f t="shared" si="33"/>
        <v>38.942813348833113</v>
      </c>
      <c r="E54" t="s">
        <v>7</v>
      </c>
      <c r="F54">
        <v>10</v>
      </c>
      <c r="G54">
        <v>5</v>
      </c>
      <c r="H54" s="27">
        <v>8.4653575907505498</v>
      </c>
      <c r="I54" s="27">
        <v>56.486110395299598</v>
      </c>
      <c r="J54" s="27">
        <v>35.048532013949803</v>
      </c>
      <c r="L54" s="34">
        <v>1.6397924772316235</v>
      </c>
      <c r="N54" t="str">
        <f t="shared" si="73"/>
        <v/>
      </c>
      <c r="P54" s="7">
        <f t="shared" si="35"/>
        <v>1.6397924772316235</v>
      </c>
      <c r="Q54" s="7">
        <f t="shared" si="68"/>
        <v>1.6397924772316235</v>
      </c>
      <c r="S54" s="38">
        <v>0.25402999999999998</v>
      </c>
      <c r="T54" s="38">
        <v>3.7220000000000003E-2</v>
      </c>
      <c r="U54" s="27"/>
      <c r="V54" s="27"/>
      <c r="W54" s="27" t="str">
        <f t="shared" si="36"/>
        <v/>
      </c>
      <c r="X54" s="27" t="str">
        <f t="shared" si="36"/>
        <v/>
      </c>
      <c r="Y54" s="8">
        <v>0.21383189251119672</v>
      </c>
      <c r="AA54" s="4">
        <v>0.38100000000000001</v>
      </c>
      <c r="AB54" s="4"/>
      <c r="AC54" s="4">
        <v>0</v>
      </c>
      <c r="AD54" s="4"/>
      <c r="AE54" s="8">
        <f t="shared" si="37"/>
        <v>8.5909459122009419</v>
      </c>
      <c r="AF54" s="8" t="str">
        <f t="shared" si="38"/>
        <v/>
      </c>
      <c r="AG54" s="8" t="str">
        <f t="shared" si="39"/>
        <v/>
      </c>
      <c r="AH54" s="8" t="str">
        <f t="shared" si="74"/>
        <v/>
      </c>
      <c r="AI54" s="8">
        <f t="shared" si="75"/>
        <v>0.35063992873206151</v>
      </c>
      <c r="AJ54" s="8" t="str">
        <f t="shared" si="76"/>
        <v/>
      </c>
      <c r="AK54" s="8" t="str">
        <f t="shared" si="40"/>
        <v/>
      </c>
      <c r="AL54" s="27">
        <v>0.20399999999999999</v>
      </c>
      <c r="AM54" s="27">
        <v>0.20646006110868603</v>
      </c>
      <c r="AN54" s="27">
        <v>0.21554924656038413</v>
      </c>
      <c r="AO54" s="27">
        <v>3.1053166666666665</v>
      </c>
      <c r="AP54" s="27">
        <v>3.3278190018914588</v>
      </c>
      <c r="AQ54" s="27">
        <v>2.0461745650433136</v>
      </c>
      <c r="AR54" s="27">
        <v>3.5573183333333334</v>
      </c>
      <c r="AS54" s="27">
        <v>3.3278190018914588</v>
      </c>
      <c r="AT54" s="27">
        <v>2.0461745650433136</v>
      </c>
      <c r="AU54">
        <f t="shared" si="41"/>
        <v>1.1549246560384141E-2</v>
      </c>
      <c r="AV54">
        <f t="shared" si="42"/>
        <v>9.0891854516980952E-3</v>
      </c>
      <c r="AW54">
        <f t="shared" si="43"/>
        <v>-1.0591421016233529</v>
      </c>
      <c r="AX54">
        <f t="shared" si="44"/>
        <v>-1.2816444368481452</v>
      </c>
      <c r="AY54">
        <f t="shared" si="45"/>
        <v>-1.5111437682900197</v>
      </c>
      <c r="AZ54">
        <f t="shared" si="46"/>
        <v>-1.2816444368481452</v>
      </c>
      <c r="BA54">
        <f t="shared" si="77"/>
        <v>0.38121038595033074</v>
      </c>
      <c r="BB54" t="str">
        <f t="shared" si="78"/>
        <v/>
      </c>
      <c r="BC54">
        <f t="shared" si="79"/>
        <v>0.34568202344268811</v>
      </c>
      <c r="BD54" t="str">
        <f t="shared" si="80"/>
        <v/>
      </c>
      <c r="BE54">
        <f t="shared" si="81"/>
        <v>0.21823824439407574</v>
      </c>
      <c r="BF54" t="str">
        <f t="shared" si="82"/>
        <v/>
      </c>
      <c r="BG54">
        <f t="shared" si="102"/>
        <v>0.12744377904861237</v>
      </c>
      <c r="BH54" t="str">
        <f t="shared" si="48"/>
        <v/>
      </c>
      <c r="BI54" s="10">
        <f t="shared" si="103"/>
        <v>3.3474398019079001E-3</v>
      </c>
      <c r="BJ54">
        <f t="shared" si="49"/>
        <v>9.298443894188612E-3</v>
      </c>
      <c r="BK54">
        <f t="shared" si="83"/>
        <v>3.552836250764263E-2</v>
      </c>
      <c r="BL54">
        <f t="shared" si="84"/>
        <v>159.99419147670179</v>
      </c>
      <c r="BM54" t="str">
        <f t="shared" si="85"/>
        <v/>
      </c>
      <c r="BN54" s="10">
        <f t="shared" si="86"/>
        <v>0.17771797319655019</v>
      </c>
      <c r="BO54" s="10" t="str">
        <f t="shared" si="87"/>
        <v/>
      </c>
      <c r="BP54" s="10">
        <f t="shared" si="88"/>
        <v>8.6923567515720793E-2</v>
      </c>
      <c r="BQ54" s="10" t="str">
        <f t="shared" si="89"/>
        <v/>
      </c>
      <c r="BR54">
        <f t="shared" si="104"/>
        <v>8.7213549408349522E-2</v>
      </c>
      <c r="BS54">
        <f t="shared" si="105"/>
        <v>-5.954553257590617</v>
      </c>
      <c r="BT54">
        <f t="shared" si="50"/>
        <v>0.19</v>
      </c>
      <c r="BU54">
        <f t="shared" si="51"/>
        <v>0.37</v>
      </c>
      <c r="BV54">
        <f t="shared" si="52"/>
        <v>0.18</v>
      </c>
      <c r="BW54">
        <f t="shared" si="90"/>
        <v>0.26</v>
      </c>
      <c r="BX54">
        <f t="shared" si="91"/>
        <v>0.35</v>
      </c>
      <c r="BY54">
        <f t="shared" si="53"/>
        <v>0.09</v>
      </c>
      <c r="BZ54">
        <f t="shared" si="92"/>
        <v>0.21165981321318297</v>
      </c>
      <c r="CA54">
        <f t="shared" si="93"/>
        <v>0.35121038595033072</v>
      </c>
      <c r="CB54">
        <f t="shared" si="54"/>
        <v>0.13955057273714774</v>
      </c>
      <c r="CC54" t="str">
        <f t="shared" si="94"/>
        <v/>
      </c>
      <c r="CD54" t="str">
        <f t="shared" si="95"/>
        <v/>
      </c>
      <c r="CE54" t="str">
        <f t="shared" si="55"/>
        <v/>
      </c>
      <c r="CF54" t="str">
        <f t="shared" si="96"/>
        <v/>
      </c>
      <c r="CG54" t="str">
        <f t="shared" si="97"/>
        <v/>
      </c>
      <c r="CH54" t="str">
        <f t="shared" si="56"/>
        <v/>
      </c>
      <c r="CI54">
        <v>3</v>
      </c>
      <c r="CJ54">
        <f t="shared" si="57"/>
        <v>91.44</v>
      </c>
      <c r="CK54">
        <v>2</v>
      </c>
      <c r="CL54">
        <f t="shared" si="58"/>
        <v>60.96</v>
      </c>
      <c r="CM54">
        <f t="shared" si="106"/>
        <v>11.389685767955024</v>
      </c>
      <c r="CN54">
        <f t="shared" si="98"/>
        <v>13.746025598144607</v>
      </c>
      <c r="CO54">
        <f t="shared" si="99"/>
        <v>8.5727633313721761</v>
      </c>
      <c r="CP54">
        <f t="shared" si="100"/>
        <v>9.9622702571548665</v>
      </c>
      <c r="CQ54" t="e">
        <v>#N/A</v>
      </c>
      <c r="CR54" t="e">
        <v>#N/A</v>
      </c>
      <c r="CS54" t="e">
        <v>#N/A</v>
      </c>
      <c r="CU54">
        <v>45</v>
      </c>
      <c r="CV54">
        <f t="shared" si="101"/>
        <v>10.198179104035928</v>
      </c>
      <c r="DC54">
        <f t="shared" si="60"/>
        <v>0</v>
      </c>
    </row>
    <row r="55" spans="3:107">
      <c r="C55">
        <f t="shared" si="33"/>
        <v>32.228600194317735</v>
      </c>
      <c r="E55" t="s">
        <v>7</v>
      </c>
      <c r="F55">
        <v>11</v>
      </c>
      <c r="G55">
        <v>1</v>
      </c>
      <c r="H55" s="27">
        <v>10.13313848500958</v>
      </c>
      <c r="I55" s="27">
        <v>60.861121340104368</v>
      </c>
      <c r="J55" s="27">
        <v>29.005740174885965</v>
      </c>
      <c r="K55" s="8">
        <v>1.5138815076595336</v>
      </c>
      <c r="L55" s="34">
        <v>1.4754987622217655</v>
      </c>
      <c r="N55">
        <f t="shared" si="73"/>
        <v>2.5679399723402989E-2</v>
      </c>
      <c r="O55">
        <f t="shared" ref="O55:O56" si="110">AVERAGE(K55:M55)</f>
        <v>1.4946901349406496</v>
      </c>
      <c r="P55" s="7">
        <f t="shared" si="35"/>
        <v>1.4946901349406496</v>
      </c>
      <c r="Q55" s="7">
        <f t="shared" si="68"/>
        <v>1.4946901349406496</v>
      </c>
      <c r="R55" s="8">
        <v>1.2598108464117843</v>
      </c>
      <c r="S55" s="38">
        <v>1.8146666666666667</v>
      </c>
      <c r="T55" s="38">
        <v>0.14445666666666668</v>
      </c>
      <c r="U55" s="27">
        <v>1.9358</v>
      </c>
      <c r="V55" s="27">
        <v>0.16002</v>
      </c>
      <c r="W55" s="27">
        <f t="shared" si="36"/>
        <v>0.12113333333333332</v>
      </c>
      <c r="X55" s="27">
        <f t="shared" si="36"/>
        <v>1.5563333333333318E-2</v>
      </c>
      <c r="Y55" s="8">
        <v>0.13908372827804102</v>
      </c>
      <c r="Z55" s="8">
        <v>0.25419436530547646</v>
      </c>
      <c r="AA55" s="4">
        <v>0.38600000000000001</v>
      </c>
      <c r="AB55" s="4">
        <v>1.38</v>
      </c>
      <c r="AC55" s="4">
        <v>2.1999999999999999E-2</v>
      </c>
      <c r="AD55" s="4">
        <v>3.1099999999999999E-2</v>
      </c>
      <c r="AE55" s="8">
        <f t="shared" si="37"/>
        <v>7.8692900786968991</v>
      </c>
      <c r="AF55" s="8">
        <f t="shared" si="38"/>
        <v>29.966938781791072</v>
      </c>
      <c r="AG55" s="8">
        <f t="shared" si="39"/>
        <v>22.097648703094173</v>
      </c>
      <c r="AH55" s="8">
        <f t="shared" si="74"/>
        <v>0.11511063702743543</v>
      </c>
      <c r="AI55" s="8">
        <f t="shared" si="75"/>
        <v>0.20788707658795377</v>
      </c>
      <c r="AJ55" s="8">
        <f t="shared" si="76"/>
        <v>0.37994181017959539</v>
      </c>
      <c r="AK55" s="8">
        <f t="shared" si="40"/>
        <v>0.17205473359164161</v>
      </c>
      <c r="AL55" s="27">
        <v>0.13876040703052731</v>
      </c>
      <c r="AM55" s="27">
        <v>0.14000000000000001</v>
      </c>
      <c r="AN55" s="27">
        <v>0.26911890504704883</v>
      </c>
      <c r="AO55" s="27">
        <v>4.2513721862473028</v>
      </c>
      <c r="AP55" s="27">
        <v>11.352500000000003</v>
      </c>
      <c r="AQ55" s="27">
        <v>5.7110350727117201</v>
      </c>
      <c r="AR55" s="27">
        <v>5.5158707215541174</v>
      </c>
      <c r="AS55" s="27">
        <v>11.605675000000003</v>
      </c>
      <c r="AT55" s="27">
        <v>6.3085785571713719</v>
      </c>
      <c r="AU55">
        <f t="shared" si="41"/>
        <v>0.13035849801652152</v>
      </c>
      <c r="AV55">
        <f t="shared" si="42"/>
        <v>0.12911890504704882</v>
      </c>
      <c r="AW55">
        <f t="shared" si="43"/>
        <v>1.4596628864644172</v>
      </c>
      <c r="AX55">
        <f t="shared" si="44"/>
        <v>-5.6414649272882826</v>
      </c>
      <c r="AY55">
        <f t="shared" si="45"/>
        <v>0.79270783561725455</v>
      </c>
      <c r="AZ55">
        <f t="shared" si="46"/>
        <v>-5.2970964428286313</v>
      </c>
      <c r="BA55">
        <f t="shared" si="77"/>
        <v>0.43596598681484922</v>
      </c>
      <c r="BB55">
        <f t="shared" si="78"/>
        <v>0.52459968059932671</v>
      </c>
      <c r="BC55">
        <f t="shared" si="79"/>
        <v>0.3386423162201031</v>
      </c>
      <c r="BD55">
        <f t="shared" si="80"/>
        <v>0.34899765348711154</v>
      </c>
      <c r="BE55">
        <f t="shared" si="81"/>
        <v>0.18469693169348728</v>
      </c>
      <c r="BF55">
        <f t="shared" si="82"/>
        <v>0.18121971206228882</v>
      </c>
      <c r="BG55">
        <f t="shared" si="102"/>
        <v>0.15394538452661582</v>
      </c>
      <c r="BH55">
        <f t="shared" si="48"/>
        <v>0.16777794142482272</v>
      </c>
      <c r="BI55" s="10">
        <f t="shared" si="103"/>
        <v>3.0416830465827906E-2</v>
      </c>
      <c r="BJ55">
        <f t="shared" si="49"/>
        <v>8.4491195738410851E-2</v>
      </c>
      <c r="BK55">
        <f t="shared" si="83"/>
        <v>9.7323670594746114E-2</v>
      </c>
      <c r="BL55">
        <f t="shared" si="84"/>
        <v>88.814978873750249</v>
      </c>
      <c r="BM55">
        <f t="shared" si="85"/>
        <v>51.225890085860982</v>
      </c>
      <c r="BN55" s="10">
        <f t="shared" si="86"/>
        <v>0.25038459383046863</v>
      </c>
      <c r="BO55" s="10">
        <f t="shared" si="87"/>
        <v>0.28137458797518666</v>
      </c>
      <c r="BP55" s="10">
        <f t="shared" si="88"/>
        <v>8.8502115118159877E-2</v>
      </c>
      <c r="BQ55" s="10">
        <f t="shared" si="89"/>
        <v>9.4145920495993268E-2</v>
      </c>
      <c r="BR55">
        <f t="shared" si="104"/>
        <v>0.12970800215933764</v>
      </c>
      <c r="BS55">
        <f t="shared" si="105"/>
        <v>-5.1115239783922179</v>
      </c>
      <c r="BT55">
        <f t="shared" si="50"/>
        <v>0.16</v>
      </c>
      <c r="BU55">
        <f t="shared" si="51"/>
        <v>0.34</v>
      </c>
      <c r="BV55">
        <f t="shared" si="52"/>
        <v>0.18000000000000002</v>
      </c>
      <c r="BW55">
        <f t="shared" si="90"/>
        <v>0.22</v>
      </c>
      <c r="BX55">
        <f t="shared" si="91"/>
        <v>0.34</v>
      </c>
      <c r="BY55">
        <f t="shared" si="53"/>
        <v>0.12</v>
      </c>
      <c r="BZ55">
        <f t="shared" si="92"/>
        <v>0.1779670493332188</v>
      </c>
      <c r="CA55">
        <f t="shared" si="93"/>
        <v>0.36676722387010302</v>
      </c>
      <c r="CB55">
        <f t="shared" si="54"/>
        <v>0.18880017453688422</v>
      </c>
      <c r="CC55">
        <f t="shared" si="94"/>
        <v>0.16</v>
      </c>
      <c r="CD55">
        <f t="shared" si="95"/>
        <v>0.28000000000000003</v>
      </c>
      <c r="CE55">
        <f t="shared" si="55"/>
        <v>0.12000000000000002</v>
      </c>
      <c r="CF55">
        <f t="shared" si="96"/>
        <v>0.12342807853681628</v>
      </c>
      <c r="CG55">
        <f t="shared" si="97"/>
        <v>0.30781252244935786</v>
      </c>
      <c r="CH55">
        <f t="shared" si="56"/>
        <v>0.18438444391254158</v>
      </c>
      <c r="CI55">
        <v>4</v>
      </c>
      <c r="CJ55">
        <f t="shared" si="57"/>
        <v>121.92</v>
      </c>
      <c r="CK55">
        <v>5</v>
      </c>
      <c r="CL55">
        <f t="shared" si="58"/>
        <v>152.4</v>
      </c>
      <c r="CM55">
        <f t="shared" si="106"/>
        <v>18.453505937153533</v>
      </c>
      <c r="CN55">
        <f t="shared" si="98"/>
        <v>18.861045416919733</v>
      </c>
      <c r="CO55">
        <f t="shared" si="99"/>
        <v>23.066882421441914</v>
      </c>
      <c r="CP55">
        <f t="shared" si="100"/>
        <v>23.576306771149667</v>
      </c>
      <c r="CQ55">
        <v>0.21383786227499033</v>
      </c>
      <c r="CR55">
        <v>0.22708248799258265</v>
      </c>
      <c r="CS55">
        <v>0.200593236557398</v>
      </c>
      <c r="CT55">
        <v>0.12</v>
      </c>
      <c r="CU55">
        <v>150</v>
      </c>
      <c r="CV55">
        <f t="shared" si="101"/>
        <v>27.522005802982498</v>
      </c>
      <c r="DC55">
        <f t="shared" si="60"/>
        <v>0</v>
      </c>
    </row>
    <row r="56" spans="3:107">
      <c r="C56">
        <f t="shared" si="33"/>
        <v>34.808075919001112</v>
      </c>
      <c r="E56" t="s">
        <v>7</v>
      </c>
      <c r="F56">
        <v>11</v>
      </c>
      <c r="G56">
        <v>2</v>
      </c>
      <c r="H56" s="27">
        <v>9.6360655402434503</v>
      </c>
      <c r="I56" s="27">
        <v>59.036666132655498</v>
      </c>
      <c r="J56" s="27">
        <v>31.327268327100999</v>
      </c>
      <c r="K56" s="8">
        <v>1.3791365750449205</v>
      </c>
      <c r="L56" s="34">
        <v>1.5262865310008578</v>
      </c>
      <c r="M56" s="8">
        <v>1.3337554372695106</v>
      </c>
      <c r="N56">
        <f t="shared" si="73"/>
        <v>-0.1012933060590995</v>
      </c>
      <c r="O56">
        <f t="shared" si="110"/>
        <v>1.4130595144384295</v>
      </c>
      <c r="P56" s="7">
        <f t="shared" si="35"/>
        <v>1.4527115530228891</v>
      </c>
      <c r="Q56" s="7">
        <f t="shared" si="68"/>
        <v>1.4527115530228891</v>
      </c>
      <c r="R56" s="8">
        <v>1.2396585885712135</v>
      </c>
      <c r="S56" s="38">
        <v>1.8617999999999999</v>
      </c>
      <c r="T56" s="38">
        <v>0.13166</v>
      </c>
      <c r="U56" s="27">
        <v>1.9393</v>
      </c>
      <c r="V56" s="27">
        <v>0.13766999999999999</v>
      </c>
      <c r="W56" s="27">
        <f t="shared" si="36"/>
        <v>7.7500000000000124E-2</v>
      </c>
      <c r="X56" s="27">
        <f t="shared" si="36"/>
        <v>6.0099999999999876E-3</v>
      </c>
      <c r="Y56" s="8">
        <v>0.15574131104267494</v>
      </c>
      <c r="AA56" s="4">
        <v>0.34100000000000003</v>
      </c>
      <c r="AB56" s="4"/>
      <c r="AC56" s="4">
        <v>1.2E-2</v>
      </c>
      <c r="AD56" s="4"/>
      <c r="AE56" s="8">
        <f t="shared" si="37"/>
        <v>6.7140304745603361</v>
      </c>
      <c r="AF56" s="8" t="str">
        <f t="shared" si="38"/>
        <v/>
      </c>
      <c r="AG56" s="8" t="str">
        <f t="shared" si="39"/>
        <v/>
      </c>
      <c r="AH56" s="8" t="str">
        <f t="shared" si="74"/>
        <v/>
      </c>
      <c r="AI56" s="8">
        <f t="shared" si="75"/>
        <v>0.22624720183462516</v>
      </c>
      <c r="AJ56" s="8" t="str">
        <f t="shared" si="76"/>
        <v/>
      </c>
      <c r="AK56" s="8" t="str">
        <f t="shared" si="40"/>
        <v/>
      </c>
      <c r="AL56" s="27">
        <v>0.15596330275229378</v>
      </c>
      <c r="AM56" s="27">
        <v>0.15260211486626579</v>
      </c>
      <c r="AN56" s="27">
        <v>0.32338200043582488</v>
      </c>
      <c r="AO56" s="27">
        <v>1.05</v>
      </c>
      <c r="AP56" s="27">
        <v>1.7096931370516275</v>
      </c>
      <c r="AQ56" s="27">
        <v>5.447922568460811</v>
      </c>
      <c r="AR56" s="27">
        <v>1.1294724770642202</v>
      </c>
      <c r="AS56" s="27">
        <v>1.7289031722993986</v>
      </c>
      <c r="AT56" s="27">
        <v>5.6899911927071969</v>
      </c>
      <c r="AU56">
        <f t="shared" si="41"/>
        <v>0.1674186976835311</v>
      </c>
      <c r="AV56">
        <f t="shared" si="42"/>
        <v>0.17077988556955909</v>
      </c>
      <c r="AW56">
        <f t="shared" si="43"/>
        <v>4.3979225684608112</v>
      </c>
      <c r="AX56">
        <f t="shared" si="44"/>
        <v>3.7382294314091835</v>
      </c>
      <c r="AY56">
        <f t="shared" si="45"/>
        <v>4.560518715642977</v>
      </c>
      <c r="AZ56">
        <f t="shared" si="46"/>
        <v>3.9610880204077983</v>
      </c>
      <c r="BA56">
        <f t="shared" si="77"/>
        <v>0.4518069611234381</v>
      </c>
      <c r="BB56">
        <f t="shared" si="78"/>
        <v>0.53220430619954207</v>
      </c>
      <c r="BC56">
        <f t="shared" si="79"/>
        <v>0.35076678723155902</v>
      </c>
      <c r="BD56">
        <f t="shared" si="80"/>
        <v>0.35903023993358901</v>
      </c>
      <c r="BE56">
        <f t="shared" si="81"/>
        <v>0.19511976009961907</v>
      </c>
      <c r="BF56">
        <f t="shared" si="82"/>
        <v>0.19038159606897775</v>
      </c>
      <c r="BG56">
        <f t="shared" si="102"/>
        <v>0.15564702713193995</v>
      </c>
      <c r="BH56">
        <f t="shared" si="48"/>
        <v>0.16864864386461126</v>
      </c>
      <c r="BI56" s="10">
        <f t="shared" si="103"/>
        <v>3.3602001584190286E-2</v>
      </c>
      <c r="BJ56">
        <f t="shared" si="49"/>
        <v>9.3338893289417468E-2</v>
      </c>
      <c r="BK56">
        <f t="shared" si="83"/>
        <v>0.10104017389187908</v>
      </c>
      <c r="BL56">
        <f t="shared" si="84"/>
        <v>84.42994390529627</v>
      </c>
      <c r="BM56">
        <f t="shared" si="85"/>
        <v>51.146439013961945</v>
      </c>
      <c r="BN56" s="10">
        <f t="shared" si="86"/>
        <v>0.24264380142009542</v>
      </c>
      <c r="BO56" s="10">
        <f t="shared" si="87"/>
        <v>0.27358675907244684</v>
      </c>
      <c r="BP56" s="10">
        <f t="shared" si="88"/>
        <v>9.3032582478236966E-2</v>
      </c>
      <c r="BQ56" s="10">
        <f t="shared" si="89"/>
        <v>9.8781011911553807E-2</v>
      </c>
      <c r="BR56">
        <f t="shared" si="104"/>
        <v>0.11072711205459054</v>
      </c>
      <c r="BS56">
        <f t="shared" si="105"/>
        <v>-5.4200474798437206</v>
      </c>
      <c r="BT56">
        <f t="shared" si="50"/>
        <v>0.17</v>
      </c>
      <c r="BU56">
        <f t="shared" si="51"/>
        <v>0.35</v>
      </c>
      <c r="BV56">
        <f t="shared" si="52"/>
        <v>0.17999999999999997</v>
      </c>
      <c r="BW56">
        <f t="shared" si="90"/>
        <v>0.21</v>
      </c>
      <c r="BX56">
        <f t="shared" si="91"/>
        <v>0.33</v>
      </c>
      <c r="BY56">
        <f t="shared" si="53"/>
        <v>0.12</v>
      </c>
      <c r="BZ56">
        <f t="shared" si="92"/>
        <v>0.16821962261191484</v>
      </c>
      <c r="CA56">
        <f t="shared" si="93"/>
        <v>0.35623059980874516</v>
      </c>
      <c r="CB56">
        <f t="shared" si="54"/>
        <v>0.18801097719683033</v>
      </c>
      <c r="CC56">
        <f t="shared" si="94"/>
        <v>0.15</v>
      </c>
      <c r="CD56">
        <f t="shared" si="95"/>
        <v>0.28000000000000003</v>
      </c>
      <c r="CE56">
        <f t="shared" si="55"/>
        <v>0.13000000000000003</v>
      </c>
      <c r="CF56">
        <f t="shared" si="96"/>
        <v>0.11874872426623576</v>
      </c>
      <c r="CG56">
        <f t="shared" si="97"/>
        <v>0.30275430573137457</v>
      </c>
      <c r="CH56">
        <f t="shared" si="56"/>
        <v>0.18400558146513882</v>
      </c>
      <c r="CI56">
        <v>4</v>
      </c>
      <c r="CJ56">
        <f t="shared" si="57"/>
        <v>121.92</v>
      </c>
      <c r="CK56">
        <v>5</v>
      </c>
      <c r="CL56">
        <f t="shared" si="58"/>
        <v>152.4</v>
      </c>
      <c r="CM56">
        <f t="shared" si="106"/>
        <v>18.453505937153533</v>
      </c>
      <c r="CN56">
        <f t="shared" si="98"/>
        <v>18.861045416919733</v>
      </c>
      <c r="CO56">
        <f t="shared" si="99"/>
        <v>23.066882421441914</v>
      </c>
      <c r="CP56">
        <f t="shared" si="100"/>
        <v>23.576306771149667</v>
      </c>
      <c r="CQ56">
        <v>0.21738664862059956</v>
      </c>
      <c r="CR56">
        <v>0.15660698759187375</v>
      </c>
      <c r="CS56">
        <v>0.22609870994745893</v>
      </c>
      <c r="CT56">
        <v>0.15</v>
      </c>
      <c r="CU56">
        <v>150</v>
      </c>
      <c r="CV56">
        <f t="shared" si="101"/>
        <v>27.522005802982498</v>
      </c>
      <c r="DC56">
        <f t="shared" si="60"/>
        <v>0</v>
      </c>
    </row>
    <row r="57" spans="3:107">
      <c r="C57">
        <f t="shared" si="33"/>
        <v>34.627278411281445</v>
      </c>
      <c r="E57" t="s">
        <v>7</v>
      </c>
      <c r="F57">
        <v>11</v>
      </c>
      <c r="G57">
        <v>3</v>
      </c>
      <c r="H57" s="27">
        <v>9.1743246187742091</v>
      </c>
      <c r="I57" s="27">
        <v>59.661124811072497</v>
      </c>
      <c r="J57" s="27">
        <v>31.164550570153299</v>
      </c>
      <c r="K57" s="8">
        <v>1.3145509478971136</v>
      </c>
      <c r="L57" s="34">
        <v>1.3609278796223963</v>
      </c>
      <c r="M57" s="8">
        <v>1.4905324205750317</v>
      </c>
      <c r="N57">
        <f t="shared" si="73"/>
        <v>-3.4668135847877118E-2</v>
      </c>
      <c r="O57">
        <f>AVERAGE(K57:L57)</f>
        <v>1.3377394137597549</v>
      </c>
      <c r="P57" s="7">
        <f t="shared" si="35"/>
        <v>1.3377394137597549</v>
      </c>
      <c r="Q57" s="7">
        <f t="shared" si="68"/>
        <v>1.3377394137597549</v>
      </c>
      <c r="R57" s="8">
        <v>1.0143364515457429</v>
      </c>
      <c r="S57" s="38">
        <v>1.7977000000000001</v>
      </c>
      <c r="T57" s="38">
        <v>0.12723000000000001</v>
      </c>
      <c r="U57" s="27">
        <v>1.7922</v>
      </c>
      <c r="V57" s="27">
        <v>0.13627</v>
      </c>
      <c r="W57" s="27">
        <f t="shared" si="36"/>
        <v>-5.5000000000000604E-3</v>
      </c>
      <c r="X57" s="27">
        <f t="shared" si="36"/>
        <v>9.0399999999999925E-3</v>
      </c>
      <c r="Y57" s="8">
        <v>0.164210679894952</v>
      </c>
      <c r="Z57" s="8">
        <v>0.32292490118577083</v>
      </c>
      <c r="AA57" s="4">
        <v>0.309</v>
      </c>
      <c r="AB57" s="4">
        <v>1.18</v>
      </c>
      <c r="AC57" s="4">
        <v>2.2800000000000001E-2</v>
      </c>
      <c r="AD57" s="4">
        <v>2.8899999999999999E-2</v>
      </c>
      <c r="AE57" s="8">
        <f t="shared" si="37"/>
        <v>5.8539371967677543</v>
      </c>
      <c r="AF57" s="8">
        <f t="shared" si="38"/>
        <v>24.236263577782417</v>
      </c>
      <c r="AG57" s="8">
        <f t="shared" si="39"/>
        <v>18.382326381014664</v>
      </c>
      <c r="AH57" s="8">
        <f t="shared" si="74"/>
        <v>0.15871422129081883</v>
      </c>
      <c r="AI57" s="8">
        <f t="shared" si="75"/>
        <v>0.21967109865576387</v>
      </c>
      <c r="AJ57" s="8">
        <f t="shared" si="76"/>
        <v>0.43198936800067983</v>
      </c>
      <c r="AK57" s="8">
        <f t="shared" si="40"/>
        <v>0.21231826934491596</v>
      </c>
      <c r="AL57" s="27">
        <v>0.13251389122747945</v>
      </c>
      <c r="AM57" s="27">
        <v>0.15640973216111206</v>
      </c>
      <c r="AN57" s="27">
        <v>0.37262643354013897</v>
      </c>
      <c r="AO57" s="27">
        <v>0.49547482741202226</v>
      </c>
      <c r="AP57" s="27">
        <v>1.1130443672050703</v>
      </c>
      <c r="AQ57" s="27">
        <v>4.3580889264899421</v>
      </c>
      <c r="AR57" s="27">
        <v>0.58277277319414045</v>
      </c>
      <c r="AS57" s="27">
        <v>1.235431063858788</v>
      </c>
      <c r="AT57" s="27">
        <v>4.7904662530550857</v>
      </c>
      <c r="AU57">
        <f t="shared" si="41"/>
        <v>0.24011254231265952</v>
      </c>
      <c r="AV57">
        <f t="shared" si="42"/>
        <v>0.2162167013790269</v>
      </c>
      <c r="AW57">
        <f t="shared" si="43"/>
        <v>3.8626140990779199</v>
      </c>
      <c r="AX57">
        <f t="shared" si="44"/>
        <v>3.2450445592848718</v>
      </c>
      <c r="AY57">
        <f t="shared" si="45"/>
        <v>4.2076934798609456</v>
      </c>
      <c r="AZ57">
        <f t="shared" si="46"/>
        <v>3.5550351891962979</v>
      </c>
      <c r="BA57">
        <f t="shared" si="77"/>
        <v>0.49519267405292267</v>
      </c>
      <c r="BB57">
        <f t="shared" si="78"/>
        <v>0.61723152771858758</v>
      </c>
      <c r="BC57">
        <f t="shared" si="79"/>
        <v>0.3561508994428032</v>
      </c>
      <c r="BD57">
        <f t="shared" si="80"/>
        <v>0.36755788555206187</v>
      </c>
      <c r="BE57">
        <f t="shared" si="81"/>
        <v>0.19190807956310224</v>
      </c>
      <c r="BF57">
        <f t="shared" si="82"/>
        <v>0.189033047409082</v>
      </c>
      <c r="BG57">
        <f t="shared" si="102"/>
        <v>0.16424281987970096</v>
      </c>
      <c r="BH57">
        <f t="shared" si="48"/>
        <v>0.17852483814297987</v>
      </c>
      <c r="BI57" s="10">
        <f t="shared" si="103"/>
        <v>8.2303081946554849E-2</v>
      </c>
      <c r="BJ57">
        <f t="shared" si="49"/>
        <v>0.22861967207376346</v>
      </c>
      <c r="BK57">
        <f t="shared" si="83"/>
        <v>0.13904177461011946</v>
      </c>
      <c r="BL57">
        <f t="shared" si="84"/>
        <v>64.201597807090309</v>
      </c>
      <c r="BM57">
        <f t="shared" si="85"/>
        <v>33.810397502584934</v>
      </c>
      <c r="BN57" s="10">
        <f t="shared" si="86"/>
        <v>0.26165140203247411</v>
      </c>
      <c r="BO57" s="10">
        <f t="shared" si="87"/>
        <v>0.29000256831456317</v>
      </c>
      <c r="BP57" s="10">
        <f t="shared" si="88"/>
        <v>9.6117883018454156E-2</v>
      </c>
      <c r="BQ57" s="10">
        <f t="shared" si="89"/>
        <v>0.10086544650939805</v>
      </c>
      <c r="BR57">
        <f t="shared" si="104"/>
        <v>0.11388482846545614</v>
      </c>
      <c r="BS57">
        <f t="shared" si="105"/>
        <v>-5.387516440270864</v>
      </c>
      <c r="BT57">
        <f t="shared" si="50"/>
        <v>0.17</v>
      </c>
      <c r="BU57">
        <f t="shared" si="51"/>
        <v>0.35</v>
      </c>
      <c r="BV57">
        <f t="shared" si="52"/>
        <v>0.17999999999999997</v>
      </c>
      <c r="BW57">
        <f t="shared" si="90"/>
        <v>0.18</v>
      </c>
      <c r="BX57">
        <f t="shared" si="91"/>
        <v>0.3</v>
      </c>
      <c r="BY57">
        <f t="shared" si="53"/>
        <v>0.12</v>
      </c>
      <c r="BZ57">
        <f t="shared" si="92"/>
        <v>0.14152309187501508</v>
      </c>
      <c r="CA57">
        <f t="shared" si="93"/>
        <v>0.32737259285369846</v>
      </c>
      <c r="CB57">
        <f t="shared" si="54"/>
        <v>0.18584950097868339</v>
      </c>
      <c r="CC57">
        <f t="shared" si="94"/>
        <v>0.09</v>
      </c>
      <c r="CD57">
        <f t="shared" si="95"/>
        <v>0.23</v>
      </c>
      <c r="CE57">
        <f t="shared" si="55"/>
        <v>0.14000000000000001</v>
      </c>
      <c r="CF57">
        <f t="shared" si="96"/>
        <v>6.6428924048921506E-2</v>
      </c>
      <c r="CG57">
        <f t="shared" si="97"/>
        <v>0.24619844933798149</v>
      </c>
      <c r="CH57">
        <f t="shared" si="56"/>
        <v>0.17976952528905998</v>
      </c>
      <c r="CI57">
        <v>4</v>
      </c>
      <c r="CJ57">
        <f t="shared" si="57"/>
        <v>121.92</v>
      </c>
      <c r="CK57">
        <v>5</v>
      </c>
      <c r="CL57">
        <f t="shared" si="58"/>
        <v>152.4</v>
      </c>
      <c r="CM57">
        <f t="shared" si="106"/>
        <v>18.453505937153533</v>
      </c>
      <c r="CN57">
        <f t="shared" si="98"/>
        <v>18.861045416919733</v>
      </c>
      <c r="CO57">
        <f t="shared" si="99"/>
        <v>23.066882421441914</v>
      </c>
      <c r="CP57">
        <f t="shared" si="100"/>
        <v>23.576306771149667</v>
      </c>
      <c r="CQ57" t="e">
        <v>#N/A</v>
      </c>
      <c r="CR57" t="e">
        <v>#N/A</v>
      </c>
      <c r="CS57" t="e">
        <v>#N/A</v>
      </c>
      <c r="CU57">
        <v>150</v>
      </c>
      <c r="CV57">
        <f t="shared" si="101"/>
        <v>27.522005802982498</v>
      </c>
      <c r="DC57">
        <f t="shared" si="60"/>
        <v>0</v>
      </c>
    </row>
    <row r="58" spans="3:107">
      <c r="C58">
        <f t="shared" si="33"/>
        <v>27.643820025731113</v>
      </c>
      <c r="E58" t="s">
        <v>7</v>
      </c>
      <c r="F58">
        <v>11</v>
      </c>
      <c r="G58">
        <v>4</v>
      </c>
      <c r="H58" s="27">
        <v>10.5489605671428</v>
      </c>
      <c r="I58" s="27">
        <v>64.571601409699198</v>
      </c>
      <c r="J58" s="27">
        <v>24.879438023158002</v>
      </c>
      <c r="L58" s="34">
        <v>1.7766300803256982</v>
      </c>
      <c r="M58" s="8">
        <v>1.349410114016611</v>
      </c>
      <c r="N58" t="str">
        <f t="shared" si="73"/>
        <v/>
      </c>
      <c r="P58" s="7">
        <f t="shared" si="35"/>
        <v>1.7766300803256982</v>
      </c>
      <c r="Q58" s="7">
        <f t="shared" si="68"/>
        <v>1.7766300803256982</v>
      </c>
      <c r="S58" s="38">
        <v>0.96962000000000004</v>
      </c>
      <c r="T58" s="38">
        <v>7.5770000000000004E-2</v>
      </c>
      <c r="U58" s="27">
        <v>1.0382</v>
      </c>
      <c r="V58" s="27">
        <v>9.2350000000000002E-2</v>
      </c>
      <c r="W58" s="27">
        <f t="shared" si="36"/>
        <v>6.8579999999999974E-2</v>
      </c>
      <c r="X58" s="27">
        <f t="shared" si="36"/>
        <v>1.6579999999999998E-2</v>
      </c>
      <c r="Y58" s="8">
        <v>0.17856898126998622</v>
      </c>
      <c r="Z58" s="8">
        <v>0.35032626427406216</v>
      </c>
      <c r="AA58" s="4">
        <v>0.52700000000000002</v>
      </c>
      <c r="AB58" s="4">
        <v>0.996</v>
      </c>
      <c r="AC58" s="4">
        <v>6.4750000000000002E-2</v>
      </c>
      <c r="AD58" s="4">
        <v>3.5999999999999997E-2</v>
      </c>
      <c r="AE58" s="8">
        <f t="shared" si="37"/>
        <v>14.036500955951187</v>
      </c>
      <c r="AF58" s="8">
        <f t="shared" si="38"/>
        <v>28.046843970654667</v>
      </c>
      <c r="AG58" s="8">
        <f t="shared" si="39"/>
        <v>14.01034301470348</v>
      </c>
      <c r="AH58" s="8">
        <f t="shared" si="74"/>
        <v>0.17175728300407594</v>
      </c>
      <c r="AI58" s="8">
        <f t="shared" si="75"/>
        <v>0.31725102353737372</v>
      </c>
      <c r="AJ58" s="8">
        <f t="shared" si="76"/>
        <v>0.62240017903742884</v>
      </c>
      <c r="AK58" s="8">
        <f t="shared" si="40"/>
        <v>0.30514915550005511</v>
      </c>
      <c r="AL58" s="27">
        <v>0.16966625895509335</v>
      </c>
      <c r="AM58" s="27">
        <v>0.15502183406113557</v>
      </c>
      <c r="AN58" s="27">
        <v>0.428900041823505</v>
      </c>
      <c r="AO58" s="27">
        <v>0.41913040945890839</v>
      </c>
      <c r="AP58" s="27">
        <v>1.4389647016011649</v>
      </c>
      <c r="AQ58" s="27">
        <v>2.3219625679631957</v>
      </c>
      <c r="AR58" s="27">
        <v>0.55412939017997542</v>
      </c>
      <c r="AS58" s="27">
        <v>1.5029721615720528</v>
      </c>
      <c r="AT58" s="27">
        <v>2.9292450857381853</v>
      </c>
      <c r="AU58">
        <f t="shared" si="41"/>
        <v>0.25923378286841164</v>
      </c>
      <c r="AV58">
        <f t="shared" si="42"/>
        <v>0.27387820776236943</v>
      </c>
      <c r="AW58">
        <f t="shared" si="43"/>
        <v>1.9028321585042873</v>
      </c>
      <c r="AX58">
        <f t="shared" si="44"/>
        <v>0.88299786636203081</v>
      </c>
      <c r="AY58">
        <f t="shared" si="45"/>
        <v>2.3751156955582098</v>
      </c>
      <c r="AZ58">
        <f t="shared" si="46"/>
        <v>1.4262729241661325</v>
      </c>
      <c r="BA58">
        <f t="shared" si="77"/>
        <v>0.32957355459407611</v>
      </c>
      <c r="BB58" t="str">
        <f t="shared" si="78"/>
        <v/>
      </c>
      <c r="BC58">
        <f t="shared" si="79"/>
        <v>0.29379013666648307</v>
      </c>
      <c r="BD58" t="str">
        <f t="shared" si="80"/>
        <v/>
      </c>
      <c r="BE58">
        <f t="shared" si="81"/>
        <v>0.16219538338999143</v>
      </c>
      <c r="BF58" t="str">
        <f t="shared" si="82"/>
        <v/>
      </c>
      <c r="BG58">
        <f t="shared" si="102"/>
        <v>0.13159475327649164</v>
      </c>
      <c r="BH58" t="str">
        <f t="shared" si="48"/>
        <v/>
      </c>
      <c r="BI58" s="10">
        <f t="shared" si="103"/>
        <v>4.6206371457874753E-3</v>
      </c>
      <c r="BJ58">
        <f t="shared" si="49"/>
        <v>1.2835103182742986E-2</v>
      </c>
      <c r="BK58">
        <f t="shared" si="83"/>
        <v>3.5783417927593042E-2</v>
      </c>
      <c r="BL58">
        <f t="shared" si="84"/>
        <v>175.43857906088294</v>
      </c>
      <c r="BM58" t="str">
        <f t="shared" si="85"/>
        <v/>
      </c>
      <c r="BN58" s="10">
        <f t="shared" si="86"/>
        <v>0.23808015929718884</v>
      </c>
      <c r="BO58" s="10" t="str">
        <f t="shared" si="87"/>
        <v/>
      </c>
      <c r="BP58" s="10">
        <f t="shared" si="88"/>
        <v>7.3343305652307109E-2</v>
      </c>
      <c r="BQ58" s="10" t="str">
        <f t="shared" si="89"/>
        <v/>
      </c>
      <c r="BR58">
        <f t="shared" si="104"/>
        <v>0.17505606664280748</v>
      </c>
      <c r="BS58">
        <f t="shared" si="105"/>
        <v>-4.6106078437372373</v>
      </c>
      <c r="BT58">
        <f t="shared" si="50"/>
        <v>0.14000000000000001</v>
      </c>
      <c r="BU58">
        <f t="shared" si="51"/>
        <v>0.32</v>
      </c>
      <c r="BV58">
        <f t="shared" si="52"/>
        <v>0.18</v>
      </c>
      <c r="BW58">
        <f t="shared" si="90"/>
        <v>0.3</v>
      </c>
      <c r="BX58">
        <f t="shared" si="91"/>
        <v>0.3</v>
      </c>
      <c r="BY58">
        <f t="shared" si="53"/>
        <v>0</v>
      </c>
      <c r="BZ58">
        <f t="shared" si="92"/>
        <v>0.24343350465162714</v>
      </c>
      <c r="CA58">
        <f t="shared" si="93"/>
        <v>0.29957355459407609</v>
      </c>
      <c r="CB58">
        <f t="shared" si="54"/>
        <v>5.614004994244895E-2</v>
      </c>
      <c r="CC58" t="str">
        <f t="shared" si="94"/>
        <v/>
      </c>
      <c r="CD58" t="str">
        <f t="shared" si="95"/>
        <v/>
      </c>
      <c r="CE58" t="str">
        <f t="shared" si="55"/>
        <v/>
      </c>
      <c r="CF58" t="str">
        <f t="shared" si="96"/>
        <v/>
      </c>
      <c r="CG58" t="str">
        <f t="shared" si="97"/>
        <v/>
      </c>
      <c r="CH58" t="str">
        <f t="shared" si="56"/>
        <v/>
      </c>
      <c r="CI58">
        <v>4</v>
      </c>
      <c r="CJ58">
        <f t="shared" si="57"/>
        <v>121.92</v>
      </c>
      <c r="CK58">
        <v>5</v>
      </c>
      <c r="CL58">
        <f t="shared" si="58"/>
        <v>152.4</v>
      </c>
      <c r="CM58">
        <f t="shared" si="106"/>
        <v>18.453505937153533</v>
      </c>
      <c r="CN58">
        <f t="shared" si="98"/>
        <v>18.861045416919733</v>
      </c>
      <c r="CO58">
        <f t="shared" si="99"/>
        <v>23.066882421441914</v>
      </c>
      <c r="CP58">
        <f t="shared" si="100"/>
        <v>23.576306771149667</v>
      </c>
      <c r="CQ58">
        <v>0.22850943805715976</v>
      </c>
      <c r="CR58">
        <v>0.19574075947694491</v>
      </c>
      <c r="CS58">
        <v>0.28826113151940813</v>
      </c>
      <c r="CT58">
        <v>0.11999999999999997</v>
      </c>
      <c r="CU58">
        <v>150</v>
      </c>
      <c r="CV58">
        <f t="shared" si="101"/>
        <v>27.522005802982498</v>
      </c>
      <c r="DC58">
        <f t="shared" si="60"/>
        <v>0</v>
      </c>
    </row>
    <row r="59" spans="3:107">
      <c r="C59">
        <f t="shared" si="33"/>
        <v>20.503695582496668</v>
      </c>
      <c r="E59" t="s">
        <v>7</v>
      </c>
      <c r="F59">
        <v>11</v>
      </c>
      <c r="G59">
        <v>5</v>
      </c>
      <c r="H59" s="27">
        <v>12.5560298290945</v>
      </c>
      <c r="I59" s="27">
        <v>68.990644146658497</v>
      </c>
      <c r="J59" s="27">
        <v>18.453326024247001</v>
      </c>
      <c r="L59" s="34"/>
      <c r="N59" t="str">
        <f t="shared" si="73"/>
        <v/>
      </c>
      <c r="P59" s="7" t="e">
        <f t="shared" si="35"/>
        <v>#DIV/0!</v>
      </c>
      <c r="S59" s="38">
        <v>0.50863000000000003</v>
      </c>
      <c r="T59" s="38">
        <v>3.8199999999999998E-2</v>
      </c>
      <c r="U59" s="27">
        <v>0.6321</v>
      </c>
      <c r="V59" s="27">
        <v>5.638E-2</v>
      </c>
      <c r="W59" s="27">
        <f t="shared" si="36"/>
        <v>0.12346999999999997</v>
      </c>
      <c r="X59" s="27">
        <f t="shared" si="36"/>
        <v>1.8180000000000002E-2</v>
      </c>
      <c r="Y59" s="8">
        <v>0.19117506909368154</v>
      </c>
      <c r="AA59" s="4">
        <v>0.54900000000000004</v>
      </c>
      <c r="AB59" s="4"/>
      <c r="AC59" s="4">
        <v>2.76E-2</v>
      </c>
      <c r="AD59" s="4"/>
      <c r="AE59" s="8">
        <f t="shared" si="37"/>
        <v>0</v>
      </c>
      <c r="AF59" s="8" t="str">
        <f t="shared" si="38"/>
        <v/>
      </c>
      <c r="AG59" s="8" t="str">
        <f t="shared" si="39"/>
        <v/>
      </c>
      <c r="AH59" s="8" t="str">
        <f t="shared" si="74"/>
        <v/>
      </c>
      <c r="AI59" s="8" t="str">
        <f t="shared" si="75"/>
        <v/>
      </c>
      <c r="AJ59" s="8" t="str">
        <f t="shared" si="76"/>
        <v/>
      </c>
      <c r="AK59" s="8" t="str">
        <f t="shared" si="40"/>
        <v/>
      </c>
      <c r="AL59" s="27">
        <v>0.14412136536030346</v>
      </c>
      <c r="AM59" s="27">
        <v>0.16200000000000001</v>
      </c>
      <c r="AN59" s="27">
        <v>0.33948397185301005</v>
      </c>
      <c r="AO59" s="27">
        <v>0.87715971344289934</v>
      </c>
      <c r="AP59" s="27">
        <v>1.6848999999999998</v>
      </c>
      <c r="AQ59" s="27">
        <v>2.3217722178785509</v>
      </c>
      <c r="AR59" s="27">
        <v>1.0907290349768226</v>
      </c>
      <c r="AS59" s="27">
        <v>1.8093308333333331</v>
      </c>
      <c r="AT59" s="27">
        <v>3.047326035965598</v>
      </c>
      <c r="AU59">
        <f t="shared" si="41"/>
        <v>0.19536260649270659</v>
      </c>
      <c r="AV59">
        <f t="shared" si="42"/>
        <v>0.17748397185301004</v>
      </c>
      <c r="AW59">
        <f t="shared" si="43"/>
        <v>1.4446125044356517</v>
      </c>
      <c r="AX59">
        <f t="shared" si="44"/>
        <v>0.63687221787855108</v>
      </c>
      <c r="AY59">
        <f t="shared" si="45"/>
        <v>1.9565970009887754</v>
      </c>
      <c r="AZ59">
        <f t="shared" si="46"/>
        <v>1.2379952026322649</v>
      </c>
      <c r="BA59" t="str">
        <f t="shared" si="77"/>
        <v/>
      </c>
      <c r="BB59" t="str">
        <f t="shared" si="78"/>
        <v/>
      </c>
      <c r="BC59" t="str">
        <f t="shared" si="79"/>
        <v/>
      </c>
      <c r="BD59" t="str">
        <f t="shared" si="80"/>
        <v/>
      </c>
      <c r="BE59" t="str">
        <f t="shared" si="81"/>
        <v/>
      </c>
      <c r="BF59" t="str">
        <f t="shared" si="82"/>
        <v/>
      </c>
      <c r="BG59" t="str">
        <f t="shared" si="102"/>
        <v/>
      </c>
      <c r="BH59" t="str">
        <f t="shared" si="48"/>
        <v/>
      </c>
      <c r="BI59" s="10"/>
      <c r="BK59" t="str">
        <f t="shared" si="83"/>
        <v/>
      </c>
      <c r="BL59" t="str">
        <f t="shared" si="84"/>
        <v/>
      </c>
      <c r="BM59" t="str">
        <f t="shared" si="85"/>
        <v/>
      </c>
      <c r="BN59" s="10" t="str">
        <f t="shared" si="86"/>
        <v/>
      </c>
      <c r="BO59" s="10" t="str">
        <f t="shared" si="87"/>
        <v/>
      </c>
      <c r="BP59" s="10" t="str">
        <f t="shared" si="88"/>
        <v/>
      </c>
      <c r="BQ59" s="10" t="str">
        <f t="shared" si="89"/>
        <v/>
      </c>
      <c r="BV59" t="str">
        <f t="shared" si="52"/>
        <v/>
      </c>
      <c r="BW59" t="str">
        <f t="shared" si="90"/>
        <v/>
      </c>
      <c r="BX59" t="str">
        <f t="shared" si="91"/>
        <v/>
      </c>
      <c r="BY59" t="str">
        <f t="shared" si="53"/>
        <v/>
      </c>
      <c r="BZ59" t="str">
        <f t="shared" si="92"/>
        <v/>
      </c>
      <c r="CA59" t="str">
        <f t="shared" si="93"/>
        <v/>
      </c>
      <c r="CB59" t="str">
        <f t="shared" si="54"/>
        <v/>
      </c>
      <c r="CC59" t="str">
        <f t="shared" si="94"/>
        <v/>
      </c>
      <c r="CD59" t="str">
        <f t="shared" si="95"/>
        <v/>
      </c>
      <c r="CE59" t="str">
        <f t="shared" si="55"/>
        <v/>
      </c>
      <c r="CF59" t="str">
        <f t="shared" si="96"/>
        <v/>
      </c>
      <c r="CG59" t="str">
        <f t="shared" si="97"/>
        <v/>
      </c>
      <c r="CH59" t="str">
        <f t="shared" si="56"/>
        <v/>
      </c>
      <c r="CI59">
        <v>4</v>
      </c>
      <c r="CJ59">
        <f t="shared" si="57"/>
        <v>121.92</v>
      </c>
      <c r="CK59">
        <v>5</v>
      </c>
      <c r="CL59">
        <f t="shared" si="58"/>
        <v>152.4</v>
      </c>
      <c r="CM59">
        <f t="shared" si="106"/>
        <v>18.453505937153533</v>
      </c>
      <c r="CN59">
        <f t="shared" si="98"/>
        <v>18.861045416919733</v>
      </c>
      <c r="CO59">
        <f t="shared" si="99"/>
        <v>23.066882421441914</v>
      </c>
      <c r="CP59">
        <f t="shared" si="100"/>
        <v>23.576306771149667</v>
      </c>
      <c r="CQ59" t="e">
        <v>#N/A</v>
      </c>
      <c r="CR59" t="e">
        <v>#N/A</v>
      </c>
      <c r="CS59" t="e">
        <v>#N/A</v>
      </c>
      <c r="CT59">
        <v>0.15</v>
      </c>
      <c r="CU59">
        <v>150</v>
      </c>
      <c r="CV59">
        <f t="shared" si="101"/>
        <v>27.522005802982498</v>
      </c>
      <c r="DC59">
        <f t="shared" si="60"/>
        <v>0</v>
      </c>
    </row>
    <row r="60" spans="3:107">
      <c r="C60">
        <f t="shared" si="33"/>
        <v>35.929650976126112</v>
      </c>
      <c r="E60" t="s">
        <v>7</v>
      </c>
      <c r="F60">
        <v>12</v>
      </c>
      <c r="G60">
        <v>1</v>
      </c>
      <c r="H60" s="27">
        <v>7.5228428700930863</v>
      </c>
      <c r="I60" s="27">
        <v>60.1404712513934</v>
      </c>
      <c r="J60" s="27">
        <v>32.336685878513499</v>
      </c>
      <c r="K60" s="8">
        <v>1.3152157686865273</v>
      </c>
      <c r="L60" s="34">
        <v>1.2931978186603454</v>
      </c>
      <c r="M60" s="8">
        <v>1.2889784574561129</v>
      </c>
      <c r="N60">
        <f t="shared" si="73"/>
        <v>1.6882253744566082E-2</v>
      </c>
      <c r="O60">
        <f t="shared" ref="O60" si="111">AVERAGE(K60:M60)</f>
        <v>1.2991306816009953</v>
      </c>
      <c r="P60" s="7">
        <f t="shared" si="35"/>
        <v>1.3042067936734365</v>
      </c>
      <c r="Q60" s="7">
        <f>AVERAGE(K60:L60)</f>
        <v>1.3042067936734365</v>
      </c>
      <c r="R60" s="8">
        <v>1.2328981876320091</v>
      </c>
      <c r="S60" s="38">
        <v>1.2111366666666668</v>
      </c>
      <c r="T60" s="38">
        <v>0.10285333333333334</v>
      </c>
      <c r="U60" s="27">
        <v>1.4038999999999999</v>
      </c>
      <c r="V60" s="27">
        <v>0.11871</v>
      </c>
      <c r="W60" s="27">
        <f t="shared" si="36"/>
        <v>0.19276333333333318</v>
      </c>
      <c r="X60" s="27">
        <f t="shared" si="36"/>
        <v>1.5856666666666658E-2</v>
      </c>
      <c r="Y60" s="8">
        <v>0.12371439141694413</v>
      </c>
      <c r="AA60" s="4">
        <v>0.19700000000000001</v>
      </c>
      <c r="AB60" s="4"/>
      <c r="AC60" s="4">
        <v>0.223</v>
      </c>
      <c r="AD60" s="4"/>
      <c r="AE60" s="8">
        <f t="shared" si="37"/>
        <v>6.9730096588338517</v>
      </c>
      <c r="AF60" s="8" t="str">
        <f t="shared" si="38"/>
        <v/>
      </c>
      <c r="AG60" s="8" t="str">
        <f t="shared" si="39"/>
        <v/>
      </c>
      <c r="AH60" s="8" t="str">
        <f t="shared" si="74"/>
        <v/>
      </c>
      <c r="AI60" s="8">
        <f t="shared" si="75"/>
        <v>0.16134914976115322</v>
      </c>
      <c r="AJ60" s="8" t="str">
        <f t="shared" si="76"/>
        <v/>
      </c>
      <c r="AK60" s="8" t="str">
        <f t="shared" si="40"/>
        <v/>
      </c>
      <c r="AL60" s="27"/>
      <c r="AM60" s="27">
        <v>0.11887044457164643</v>
      </c>
      <c r="AN60" s="27">
        <v>0.26045662100456635</v>
      </c>
      <c r="AP60" s="27">
        <v>6.247026648858359</v>
      </c>
      <c r="AQ60" s="27">
        <v>4.9052770167427715</v>
      </c>
      <c r="AS60" s="27">
        <v>6.9183489156013467</v>
      </c>
      <c r="AT60" s="27">
        <v>6.8537328767123302</v>
      </c>
      <c r="AU60" t="str">
        <f t="shared" si="41"/>
        <v/>
      </c>
      <c r="AV60">
        <f t="shared" si="42"/>
        <v>0.14158617643291993</v>
      </c>
      <c r="AW60" t="str">
        <f t="shared" si="43"/>
        <v/>
      </c>
      <c r="AX60">
        <f t="shared" si="44"/>
        <v>-1.3417496321155875</v>
      </c>
      <c r="AY60" t="str">
        <f t="shared" si="45"/>
        <v/>
      </c>
      <c r="AZ60">
        <f t="shared" si="46"/>
        <v>-6.4616038889016458E-2</v>
      </c>
      <c r="BA60">
        <f t="shared" si="77"/>
        <v>0.5078464929534201</v>
      </c>
      <c r="BB60">
        <f t="shared" si="78"/>
        <v>0.53475540089358153</v>
      </c>
      <c r="BC60">
        <f t="shared" si="79"/>
        <v>0.36434597798375495</v>
      </c>
      <c r="BD60">
        <f t="shared" si="80"/>
        <v>0.3664421246833468</v>
      </c>
      <c r="BE60">
        <f t="shared" si="81"/>
        <v>0.19686884706926608</v>
      </c>
      <c r="BF60">
        <f t="shared" si="82"/>
        <v>0.1951749607556279</v>
      </c>
      <c r="BG60">
        <f t="shared" si="102"/>
        <v>0.16747713091448888</v>
      </c>
      <c r="BH60">
        <f t="shared" si="48"/>
        <v>0.1712671639277189</v>
      </c>
      <c r="BI60" s="10">
        <f>EXP(19.52348*porosity-8.96847-0.028212*clay+0.00018107*sand^2-0.0094125*clay^2-8.395215*porosity^2+0.077718*sand*porosity-0.00298*sand^2*porosity^2-0.019492*clay^2*porosity^2+0.0000173*sand^2*clay+0.02733*clay^2*porosity+0.001434*sand^2*porosity-0.0000035*clay^2*sand)</f>
        <v>9.0014626448629037E-2</v>
      </c>
      <c r="BJ60">
        <f t="shared" si="49"/>
        <v>0.25004062902396956</v>
      </c>
      <c r="BK60">
        <f t="shared" si="83"/>
        <v>0.14350051496966515</v>
      </c>
      <c r="BL60">
        <f t="shared" si="84"/>
        <v>62.885297086326602</v>
      </c>
      <c r="BM60">
        <f t="shared" si="85"/>
        <v>53.75394319345358</v>
      </c>
      <c r="BN60" s="10">
        <f t="shared" si="86"/>
        <v>0.2602769552741247</v>
      </c>
      <c r="BO60" s="10">
        <f t="shared" si="87"/>
        <v>0.26989405789413434</v>
      </c>
      <c r="BP60" s="10">
        <f t="shared" si="88"/>
        <v>9.8376450895700254E-2</v>
      </c>
      <c r="BQ60" s="10">
        <f t="shared" si="89"/>
        <v>0.10009883017086502</v>
      </c>
      <c r="BR60">
        <f>100*EXP(-4.396-0.0715*clay-4.88*10^-4*sand^2-4.285*10^-5*sand^2*clay)</f>
        <v>0.10981728547015425</v>
      </c>
      <c r="BS60">
        <f>-3.14-0.00222*clay^2-3.484*10^-5*sand^2*clay</f>
        <v>-5.5251264161511724</v>
      </c>
      <c r="BT60">
        <f t="shared" si="50"/>
        <v>0.18</v>
      </c>
      <c r="BU60">
        <f t="shared" si="51"/>
        <v>0.36</v>
      </c>
      <c r="BV60">
        <f t="shared" si="52"/>
        <v>0.18</v>
      </c>
      <c r="BW60">
        <f t="shared" si="90"/>
        <v>0.17</v>
      </c>
      <c r="BX60">
        <f t="shared" si="91"/>
        <v>0.28999999999999998</v>
      </c>
      <c r="BY60">
        <f t="shared" si="53"/>
        <v>0.12</v>
      </c>
      <c r="BZ60">
        <f t="shared" si="92"/>
        <v>0.13373681749097197</v>
      </c>
      <c r="CA60">
        <f t="shared" si="93"/>
        <v>0.31895590521203254</v>
      </c>
      <c r="CB60">
        <f t="shared" si="54"/>
        <v>0.18521908772106058</v>
      </c>
      <c r="CC60">
        <f t="shared" si="94"/>
        <v>0.15</v>
      </c>
      <c r="CD60">
        <f t="shared" si="95"/>
        <v>0.28000000000000003</v>
      </c>
      <c r="CE60">
        <f t="shared" si="55"/>
        <v>0.13000000000000003</v>
      </c>
      <c r="CF60">
        <f t="shared" si="96"/>
        <v>0.11717895916815249</v>
      </c>
      <c r="CG60">
        <f t="shared" si="97"/>
        <v>0.30105744509563426</v>
      </c>
      <c r="CH60">
        <f t="shared" si="56"/>
        <v>0.18387848592748177</v>
      </c>
      <c r="CI60">
        <v>5</v>
      </c>
      <c r="CJ60">
        <f t="shared" si="57"/>
        <v>152.4</v>
      </c>
      <c r="CK60">
        <v>5</v>
      </c>
      <c r="CL60">
        <f t="shared" si="58"/>
        <v>152.4</v>
      </c>
      <c r="CM60">
        <f t="shared" si="106"/>
        <v>23.620176004880857</v>
      </c>
      <c r="CN60">
        <f t="shared" si="98"/>
        <v>28.446521676601446</v>
      </c>
      <c r="CO60">
        <f t="shared" si="99"/>
        <v>23.620176004880857</v>
      </c>
      <c r="CP60">
        <f t="shared" si="100"/>
        <v>28.446521676601446</v>
      </c>
      <c r="CQ60">
        <v>0.16587367534901443</v>
      </c>
      <c r="CR60">
        <v>0.15889469993525288</v>
      </c>
      <c r="CS60">
        <v>0.17285265076277595</v>
      </c>
      <c r="CT60">
        <v>0.06</v>
      </c>
      <c r="CU60">
        <v>110</v>
      </c>
      <c r="CV60">
        <f t="shared" si="101"/>
        <v>24.148882529762332</v>
      </c>
      <c r="DC60">
        <f t="shared" si="60"/>
        <v>0</v>
      </c>
    </row>
    <row r="61" spans="3:107">
      <c r="C61">
        <f t="shared" si="33"/>
        <v>43.883645095775222</v>
      </c>
      <c r="E61" t="s">
        <v>7</v>
      </c>
      <c r="F61">
        <v>12</v>
      </c>
      <c r="G61">
        <v>2</v>
      </c>
      <c r="H61" s="27">
        <v>7.4437633474437099</v>
      </c>
      <c r="I61" s="27">
        <v>53.0609560663586</v>
      </c>
      <c r="J61" s="27">
        <v>39.495280586197701</v>
      </c>
      <c r="K61" s="8">
        <v>1.3529364326726183</v>
      </c>
      <c r="L61" s="34">
        <v>1.0686258098688146</v>
      </c>
      <c r="M61" s="8">
        <v>1.518618752386006</v>
      </c>
      <c r="N61">
        <f t="shared" si="73"/>
        <v>0.23481587035765747</v>
      </c>
      <c r="O61">
        <f>AVERAGE(K61:L61)</f>
        <v>1.2107811212707165</v>
      </c>
      <c r="P61" s="7">
        <f t="shared" si="35"/>
        <v>1.2107811212707165</v>
      </c>
      <c r="Q61" s="7">
        <f>AVERAGE(K61:L61)</f>
        <v>1.2107811212707165</v>
      </c>
      <c r="R61" s="8">
        <v>1.2431401029513485</v>
      </c>
      <c r="S61" s="38">
        <v>0.51383000000000001</v>
      </c>
      <c r="T61" s="38">
        <v>4.8579999999999998E-2</v>
      </c>
      <c r="U61" s="27">
        <v>0.48953999999999998</v>
      </c>
      <c r="V61" s="27">
        <v>5.525E-2</v>
      </c>
      <c r="W61" s="27">
        <f t="shared" si="36"/>
        <v>-2.4290000000000034E-2</v>
      </c>
      <c r="X61" s="27">
        <f t="shared" si="36"/>
        <v>6.6700000000000023E-3</v>
      </c>
      <c r="Y61" s="8">
        <v>0.15356732384404539</v>
      </c>
      <c r="Z61" s="8">
        <v>0.22977725674091454</v>
      </c>
      <c r="AA61" s="4">
        <v>6.7299999999999999E-2</v>
      </c>
      <c r="AB61" s="4">
        <v>0.378</v>
      </c>
      <c r="AC61" s="4">
        <v>2.63E-2</v>
      </c>
      <c r="AD61" s="4">
        <v>4.19E-2</v>
      </c>
      <c r="AE61" s="8">
        <f t="shared" si="37"/>
        <v>1.4809930158346563</v>
      </c>
      <c r="AF61" s="8">
        <f t="shared" si="38"/>
        <v>7.0828255903592439</v>
      </c>
      <c r="AG61" s="8">
        <f t="shared" si="39"/>
        <v>5.6018325745245878</v>
      </c>
      <c r="AH61" s="8">
        <f t="shared" si="74"/>
        <v>7.6209932896869143E-2</v>
      </c>
      <c r="AI61" s="8">
        <f t="shared" si="75"/>
        <v>0.18593641655443652</v>
      </c>
      <c r="AJ61" s="8">
        <f t="shared" si="76"/>
        <v>0.27820996455927377</v>
      </c>
      <c r="AK61" s="8">
        <f t="shared" si="40"/>
        <v>9.2273548004837253E-2</v>
      </c>
      <c r="AL61" s="27"/>
      <c r="AM61" s="27">
        <v>0.14181204276871137</v>
      </c>
      <c r="AN61" s="27">
        <v>0.24801362088535753</v>
      </c>
      <c r="AP61" s="27">
        <v>1.1513271431251171</v>
      </c>
      <c r="AQ61" s="27">
        <v>4.5656498297389332</v>
      </c>
      <c r="AS61" s="27">
        <v>1.1513271431251171</v>
      </c>
      <c r="AT61" s="27">
        <v>5.5848609534619751</v>
      </c>
      <c r="AU61" t="str">
        <f t="shared" si="41"/>
        <v/>
      </c>
      <c r="AV61">
        <f t="shared" si="42"/>
        <v>0.10620157811664616</v>
      </c>
      <c r="AW61" t="str">
        <f t="shared" si="43"/>
        <v/>
      </c>
      <c r="AX61">
        <f t="shared" si="44"/>
        <v>3.4143226866138159</v>
      </c>
      <c r="AY61" t="str">
        <f t="shared" si="45"/>
        <v/>
      </c>
      <c r="AZ61">
        <f t="shared" si="46"/>
        <v>4.4335338103368578</v>
      </c>
      <c r="BA61">
        <f t="shared" si="77"/>
        <v>0.54310146367142775</v>
      </c>
      <c r="BB61">
        <f t="shared" si="78"/>
        <v>0.53089052718817031</v>
      </c>
      <c r="BC61">
        <f t="shared" si="79"/>
        <v>0.39283956613223986</v>
      </c>
      <c r="BD61">
        <f t="shared" si="80"/>
        <v>0.39221665419007784</v>
      </c>
      <c r="BE61">
        <f t="shared" si="81"/>
        <v>0.22285965588946532</v>
      </c>
      <c r="BF61">
        <f t="shared" si="82"/>
        <v>0.22426545182041446</v>
      </c>
      <c r="BG61">
        <f t="shared" si="102"/>
        <v>0.16997991024277453</v>
      </c>
      <c r="BH61">
        <f t="shared" si="48"/>
        <v>0.16795120236966338</v>
      </c>
      <c r="BI61" s="10">
        <f>EXP(19.52348*porosity-8.96847-0.028212*clay+0.00018107*sand^2-0.0094125*clay^2-8.395215*porosity^2+0.077718*sand*porosity-0.00298*sand^2*porosity^2-0.019492*clay^2*porosity^2+0.0000173*sand^2*clay+0.02733*clay^2*porosity+0.001434*sand^2*porosity-0.0000035*clay^2*sand)</f>
        <v>0.11797907240991146</v>
      </c>
      <c r="BJ61">
        <f t="shared" si="49"/>
        <v>0.32771964558308742</v>
      </c>
      <c r="BK61">
        <f t="shared" si="83"/>
        <v>0.15026189753918789</v>
      </c>
      <c r="BL61">
        <f t="shared" si="84"/>
        <v>56.565010289696886</v>
      </c>
      <c r="BM61">
        <f t="shared" si="85"/>
        <v>61.082406455385907</v>
      </c>
      <c r="BN61" s="10">
        <f t="shared" si="86"/>
        <v>0.24245343088500981</v>
      </c>
      <c r="BO61" s="10">
        <f t="shared" si="87"/>
        <v>0.23700208329139832</v>
      </c>
      <c r="BP61" s="10">
        <f t="shared" si="88"/>
        <v>0.11123744778158119</v>
      </c>
      <c r="BQ61" s="10">
        <f t="shared" si="89"/>
        <v>0.11008023883105411</v>
      </c>
      <c r="BR61">
        <f>100*EXP(-4.396-0.0715*clay-4.88*10^-4*sand^2-4.285*10^-5*sand^2*clay)</f>
        <v>6.4857936908802649E-2</v>
      </c>
      <c r="BS61">
        <f>-3.14-0.00222*clay^2-3.484*10^-5*sand^2*clay</f>
        <v>-6.6791718488676626</v>
      </c>
      <c r="BT61">
        <f t="shared" si="50"/>
        <v>0.22</v>
      </c>
      <c r="BU61">
        <f t="shared" si="51"/>
        <v>0.39</v>
      </c>
      <c r="BV61">
        <f t="shared" si="52"/>
        <v>0.17</v>
      </c>
      <c r="BW61">
        <f t="shared" si="90"/>
        <v>0.14000000000000001</v>
      </c>
      <c r="BX61">
        <f t="shared" si="91"/>
        <v>0.27</v>
      </c>
      <c r="BY61">
        <f t="shared" si="53"/>
        <v>0.13</v>
      </c>
      <c r="BZ61">
        <f t="shared" si="92"/>
        <v>0.11204337635906034</v>
      </c>
      <c r="CA61">
        <f t="shared" si="93"/>
        <v>0.29550606143894981</v>
      </c>
      <c r="CB61">
        <f t="shared" si="54"/>
        <v>0.18346268507988947</v>
      </c>
      <c r="CC61">
        <f t="shared" si="94"/>
        <v>0.15</v>
      </c>
      <c r="CD61">
        <f t="shared" si="95"/>
        <v>0.28000000000000003</v>
      </c>
      <c r="CE61">
        <f t="shared" si="55"/>
        <v>0.13000000000000003</v>
      </c>
      <c r="CF61">
        <f t="shared" si="96"/>
        <v>0.11955713190530312</v>
      </c>
      <c r="CG61">
        <f t="shared" si="97"/>
        <v>0.30362816584078844</v>
      </c>
      <c r="CH61">
        <f t="shared" si="56"/>
        <v>0.18407103393548532</v>
      </c>
      <c r="CI61">
        <v>5</v>
      </c>
      <c r="CJ61">
        <f t="shared" si="57"/>
        <v>152.4</v>
      </c>
      <c r="CK61">
        <v>5</v>
      </c>
      <c r="CL61">
        <f t="shared" si="58"/>
        <v>152.4</v>
      </c>
      <c r="CM61">
        <f t="shared" si="106"/>
        <v>23.620176004880857</v>
      </c>
      <c r="CN61">
        <f t="shared" si="98"/>
        <v>28.446521676601446</v>
      </c>
      <c r="CO61">
        <f t="shared" si="99"/>
        <v>23.620176004880857</v>
      </c>
      <c r="CP61">
        <f t="shared" si="100"/>
        <v>28.446521676601446</v>
      </c>
      <c r="CQ61">
        <v>0.12470867497949382</v>
      </c>
      <c r="CR61">
        <v>0.1074271129418894</v>
      </c>
      <c r="CS61">
        <v>0.12751133863157124</v>
      </c>
      <c r="CT61">
        <v>0.1</v>
      </c>
      <c r="CU61">
        <v>110</v>
      </c>
      <c r="CV61">
        <f t="shared" si="101"/>
        <v>24.148882529762332</v>
      </c>
      <c r="DC61">
        <f t="shared" si="60"/>
        <v>0</v>
      </c>
    </row>
    <row r="62" spans="3:107">
      <c r="C62">
        <f t="shared" si="33"/>
        <v>42.292782786707441</v>
      </c>
      <c r="E62" t="s">
        <v>7</v>
      </c>
      <c r="F62">
        <v>12</v>
      </c>
      <c r="G62">
        <v>3</v>
      </c>
      <c r="H62" s="27">
        <v>7.0225519069109898</v>
      </c>
      <c r="I62" s="27">
        <v>54.913943585052301</v>
      </c>
      <c r="J62" s="27">
        <v>38.063504508036701</v>
      </c>
      <c r="K62" s="8">
        <v>1.4522995343865917</v>
      </c>
      <c r="L62" s="34">
        <v>0.9060200985895297</v>
      </c>
      <c r="M62" s="8">
        <v>1.5112518456814883</v>
      </c>
      <c r="N62">
        <f t="shared" si="73"/>
        <v>0.46327853795431068</v>
      </c>
      <c r="O62">
        <f>AVERAGE(K62,M62)</f>
        <v>1.48177569003404</v>
      </c>
      <c r="P62" s="7">
        <f t="shared" si="35"/>
        <v>1.1791598164880606</v>
      </c>
      <c r="Q62" s="7">
        <f>AVERAGE(K62,M62)</f>
        <v>1.48177569003404</v>
      </c>
      <c r="R62" s="8">
        <v>1.3201202542454495</v>
      </c>
      <c r="S62" s="38">
        <v>0.33473000000000003</v>
      </c>
      <c r="T62" s="38">
        <v>3.456E-2</v>
      </c>
      <c r="U62" s="27">
        <v>0.36990000000000001</v>
      </c>
      <c r="V62" s="27">
        <v>5.2319999999999998E-2</v>
      </c>
      <c r="W62" s="27">
        <f t="shared" si="36"/>
        <v>3.5169999999999979E-2</v>
      </c>
      <c r="X62" s="27">
        <f t="shared" si="36"/>
        <v>1.7759999999999998E-2</v>
      </c>
      <c r="Y62" s="8">
        <v>0.15562221616216684</v>
      </c>
      <c r="Z62" s="8">
        <v>0.23052520267888638</v>
      </c>
      <c r="AA62" s="4">
        <v>0.11600000000000001</v>
      </c>
      <c r="AB62" s="4">
        <v>0.26900000000000002</v>
      </c>
      <c r="AC62" s="4">
        <v>5.45E-2</v>
      </c>
      <c r="AD62" s="4">
        <v>3.2899999999999999E-2</v>
      </c>
      <c r="AE62" s="8">
        <f t="shared" si="37"/>
        <v>3.307434912922143</v>
      </c>
      <c r="AF62" s="8">
        <f t="shared" si="38"/>
        <v>6.2359793280670246</v>
      </c>
      <c r="AG62" s="8">
        <f t="shared" si="39"/>
        <v>2.9285444151448816</v>
      </c>
      <c r="AH62" s="8">
        <f t="shared" si="74"/>
        <v>7.4902986516719533E-2</v>
      </c>
      <c r="AI62" s="8">
        <f t="shared" si="75"/>
        <v>0.23059721673832131</v>
      </c>
      <c r="AJ62" s="8">
        <f t="shared" si="76"/>
        <v>0.34158664126974381</v>
      </c>
      <c r="AK62" s="8">
        <f t="shared" si="40"/>
        <v>0.11098942453142249</v>
      </c>
      <c r="AL62" s="27"/>
      <c r="AM62" s="27">
        <v>0.13359956434924669</v>
      </c>
      <c r="AN62" s="27">
        <v>0.23231197771587725</v>
      </c>
      <c r="AP62" s="27">
        <v>0.79351969504447273</v>
      </c>
      <c r="AQ62" s="27">
        <v>3.085914577530176</v>
      </c>
      <c r="AR62" s="27"/>
      <c r="AS62" s="27">
        <v>1.1340718975010589</v>
      </c>
      <c r="AT62" s="27">
        <v>3.3205673166202407</v>
      </c>
      <c r="AU62" t="str">
        <f t="shared" si="41"/>
        <v/>
      </c>
      <c r="AV62">
        <f t="shared" si="42"/>
        <v>9.8712413366630558E-2</v>
      </c>
      <c r="AW62" t="str">
        <f t="shared" si="43"/>
        <v/>
      </c>
      <c r="AX62">
        <f t="shared" si="44"/>
        <v>2.292394882485703</v>
      </c>
      <c r="AY62" t="str">
        <f t="shared" si="45"/>
        <v/>
      </c>
      <c r="AZ62">
        <f t="shared" si="46"/>
        <v>2.1864954191191819</v>
      </c>
      <c r="BA62">
        <f t="shared" si="77"/>
        <v>0.4408393622513056</v>
      </c>
      <c r="BB62">
        <f t="shared" si="78"/>
        <v>0.50184141349228317</v>
      </c>
      <c r="BC62">
        <f t="shared" si="79"/>
        <v>0.37568761653808219</v>
      </c>
      <c r="BD62">
        <f t="shared" si="80"/>
        <v>0.38553598955429047</v>
      </c>
      <c r="BE62">
        <f t="shared" si="81"/>
        <v>0.23020799029846328</v>
      </c>
      <c r="BF62">
        <f t="shared" si="82"/>
        <v>0.22211012560855437</v>
      </c>
      <c r="BG62">
        <f t="shared" si="102"/>
        <v>0.14547962623961891</v>
      </c>
      <c r="BH62">
        <f t="shared" si="48"/>
        <v>0.16342586394573611</v>
      </c>
      <c r="BI62" s="10">
        <f>EXP(19.52348*porosity-8.96847-0.028212*clay+0.00018107*sand^2-0.0094125*clay^2-8.395215*porosity^2+0.077718*sand*porosity-0.00298*sand^2*porosity^2-0.019492*clay^2*porosity^2+0.0000173*sand^2*clay+0.02733*clay^2*porosity+0.001434*sand^2*porosity-0.0000035*clay^2*sand)</f>
        <v>1.1245637930125891E-2</v>
      </c>
      <c r="BJ62">
        <f t="shared" si="49"/>
        <v>3.1237883139238583E-2</v>
      </c>
      <c r="BK62">
        <f t="shared" si="83"/>
        <v>6.5151745713223408E-2</v>
      </c>
      <c r="BL62">
        <f t="shared" si="84"/>
        <v>111.42347092551817</v>
      </c>
      <c r="BM62">
        <f t="shared" si="85"/>
        <v>72.607364128263839</v>
      </c>
      <c r="BN62" s="10">
        <f t="shared" si="86"/>
        <v>0.19362025084318685</v>
      </c>
      <c r="BO62" s="10">
        <f t="shared" si="87"/>
        <v>0.22930145380328301</v>
      </c>
      <c r="BP62" s="10">
        <f t="shared" si="88"/>
        <v>9.7207257470211528E-2</v>
      </c>
      <c r="BQ62" s="10">
        <f t="shared" si="89"/>
        <v>0.10531912457043494</v>
      </c>
      <c r="BR62">
        <f>100*EXP(-4.396-0.0715*clay-4.88*10^-4*sand^2-4.285*10^-5*sand^2*clay)</f>
        <v>7.3030907805765724E-2</v>
      </c>
      <c r="BS62">
        <f>-3.14-0.00222*clay^2-3.484*10^-5*sand^2*clay</f>
        <v>-6.4218032957064333</v>
      </c>
      <c r="BT62">
        <f t="shared" si="50"/>
        <v>0.21</v>
      </c>
      <c r="BU62">
        <f t="shared" si="51"/>
        <v>0.39</v>
      </c>
      <c r="BV62">
        <f t="shared" si="52"/>
        <v>0.18000000000000002</v>
      </c>
      <c r="BW62">
        <f t="shared" si="90"/>
        <v>0.22</v>
      </c>
      <c r="BX62">
        <f t="shared" si="91"/>
        <v>0.33</v>
      </c>
      <c r="BY62">
        <f t="shared" si="53"/>
        <v>0.11</v>
      </c>
      <c r="BZ62">
        <f t="shared" si="92"/>
        <v>0.17496831522590409</v>
      </c>
      <c r="CA62">
        <f t="shared" si="93"/>
        <v>0.36352569819854402</v>
      </c>
      <c r="CB62">
        <f t="shared" si="54"/>
        <v>0.18855738297263994</v>
      </c>
      <c r="CC62">
        <f t="shared" si="94"/>
        <v>0.17</v>
      </c>
      <c r="CD62">
        <f t="shared" si="95"/>
        <v>0.3</v>
      </c>
      <c r="CE62">
        <f t="shared" si="55"/>
        <v>0.12999999999999998</v>
      </c>
      <c r="CF62">
        <f t="shared" si="96"/>
        <v>0.13743192303579335</v>
      </c>
      <c r="CG62">
        <f t="shared" si="97"/>
        <v>0.32295018381560781</v>
      </c>
      <c r="CH62">
        <f t="shared" si="56"/>
        <v>0.18551826077981445</v>
      </c>
      <c r="CI62">
        <v>5</v>
      </c>
      <c r="CJ62">
        <f t="shared" si="57"/>
        <v>152.4</v>
      </c>
      <c r="CK62">
        <v>5</v>
      </c>
      <c r="CL62">
        <f t="shared" si="58"/>
        <v>152.4</v>
      </c>
      <c r="CM62">
        <f t="shared" si="106"/>
        <v>23.620176004880857</v>
      </c>
      <c r="CN62">
        <f t="shared" si="98"/>
        <v>28.446521676601446</v>
      </c>
      <c r="CO62">
        <f t="shared" si="99"/>
        <v>23.620176004880857</v>
      </c>
      <c r="CP62">
        <f t="shared" si="100"/>
        <v>28.446521676601446</v>
      </c>
      <c r="CQ62">
        <v>0.12735837377059067</v>
      </c>
      <c r="CR62">
        <v>9.4350551821787601E-2</v>
      </c>
      <c r="CS62">
        <v>0.12619112588163964</v>
      </c>
      <c r="CT62">
        <v>0.1</v>
      </c>
      <c r="CU62">
        <v>110</v>
      </c>
      <c r="CV62">
        <f t="shared" si="101"/>
        <v>24.148882529762332</v>
      </c>
      <c r="DC62">
        <f t="shared" si="60"/>
        <v>0</v>
      </c>
    </row>
    <row r="63" spans="3:107">
      <c r="C63">
        <f t="shared" si="33"/>
        <v>43.327958274738108</v>
      </c>
      <c r="E63" t="s">
        <v>7</v>
      </c>
      <c r="F63">
        <v>12</v>
      </c>
      <c r="G63">
        <v>4</v>
      </c>
      <c r="H63" s="27">
        <v>6.81608800742461</v>
      </c>
      <c r="I63" s="27">
        <v>54.188749545311097</v>
      </c>
      <c r="J63" s="27">
        <v>38.995162447264299</v>
      </c>
      <c r="K63" s="8">
        <v>1.5852135841911683</v>
      </c>
      <c r="L63" s="34">
        <v>1.1259455385062458</v>
      </c>
      <c r="N63">
        <f t="shared" si="73"/>
        <v>0.33879829615311019</v>
      </c>
      <c r="P63" s="7">
        <f t="shared" si="35"/>
        <v>1.3555795613487072</v>
      </c>
      <c r="Q63" s="7">
        <f>AVERAGE(K63:L63)</f>
        <v>1.3555795613487072</v>
      </c>
      <c r="S63" s="38"/>
      <c r="T63" s="38"/>
      <c r="U63" s="27">
        <v>0.30002000000000001</v>
      </c>
      <c r="V63" s="27">
        <v>4.3580000000000001E-2</v>
      </c>
      <c r="W63" s="27" t="str">
        <f t="shared" si="36"/>
        <v/>
      </c>
      <c r="X63" s="27" t="str">
        <f t="shared" si="36"/>
        <v/>
      </c>
      <c r="Y63" s="8">
        <v>0.14560118858113127</v>
      </c>
      <c r="Z63" s="8">
        <v>0.22207534699272963</v>
      </c>
      <c r="AA63" s="4">
        <v>0.39100000000000001</v>
      </c>
      <c r="AB63" s="4">
        <v>0.45300000000000001</v>
      </c>
      <c r="AC63" s="4">
        <v>0</v>
      </c>
      <c r="AD63" s="4">
        <v>6.1800000000000001E-2</v>
      </c>
      <c r="AE63" s="8">
        <f t="shared" si="37"/>
        <v>6.8786593170309693</v>
      </c>
      <c r="AF63" s="8">
        <f t="shared" si="38"/>
        <v>9.6611785591842363</v>
      </c>
      <c r="AG63" s="8">
        <f t="shared" si="39"/>
        <v>2.782519242153267</v>
      </c>
      <c r="AH63" s="8">
        <f t="shared" si="74"/>
        <v>7.6474158411598353E-2</v>
      </c>
      <c r="AI63" s="8">
        <f t="shared" si="75"/>
        <v>0.19737399534866032</v>
      </c>
      <c r="AJ63" s="8">
        <f t="shared" si="76"/>
        <v>0.30104080146276635</v>
      </c>
      <c r="AK63" s="8">
        <f t="shared" si="40"/>
        <v>0.10366680611410603</v>
      </c>
      <c r="AL63" s="27"/>
      <c r="AM63" s="27">
        <v>0.16657276995305145</v>
      </c>
      <c r="AN63" s="27">
        <v>0.22248017024569547</v>
      </c>
      <c r="AP63" s="27">
        <v>1.3658622848200312</v>
      </c>
      <c r="AQ63" s="27">
        <v>0.83026778229186826</v>
      </c>
      <c r="AR63" s="27"/>
      <c r="AS63" s="27">
        <v>1.4864081377151799</v>
      </c>
      <c r="AT63" s="27">
        <v>0.89648545818017678</v>
      </c>
      <c r="AU63" t="str">
        <f t="shared" si="41"/>
        <v/>
      </c>
      <c r="AV63">
        <f t="shared" si="42"/>
        <v>5.5907400292644016E-2</v>
      </c>
      <c r="AW63" t="str">
        <f t="shared" si="43"/>
        <v/>
      </c>
      <c r="AX63">
        <f t="shared" si="44"/>
        <v>-0.53559450252816299</v>
      </c>
      <c r="AY63" t="str">
        <f t="shared" si="45"/>
        <v/>
      </c>
      <c r="AZ63">
        <f t="shared" si="46"/>
        <v>-0.5899226795350031</v>
      </c>
      <c r="BA63">
        <f t="shared" si="77"/>
        <v>0.48846054288728025</v>
      </c>
      <c r="BB63" t="str">
        <f t="shared" si="78"/>
        <v/>
      </c>
      <c r="BC63">
        <f t="shared" si="79"/>
        <v>0.38772102475223991</v>
      </c>
      <c r="BD63" t="str">
        <f t="shared" si="80"/>
        <v/>
      </c>
      <c r="BE63">
        <f t="shared" si="81"/>
        <v>0.22820468964325369</v>
      </c>
      <c r="BF63" t="str">
        <f t="shared" si="82"/>
        <v/>
      </c>
      <c r="BG63">
        <f t="shared" si="102"/>
        <v>0.15951633510898622</v>
      </c>
      <c r="BH63" t="str">
        <f t="shared" si="48"/>
        <v/>
      </c>
      <c r="BI63" s="10">
        <f>EXP(19.52348*porosity-8.96847-0.028212*clay+0.00018107*sand^2-0.0094125*clay^2-8.395215*porosity^2+0.077718*sand*porosity-0.00298*sand^2*porosity^2-0.019492*clay^2*porosity^2+0.0000173*sand^2*clay+0.02733*clay^2*porosity+0.001434*sand^2*porosity-0.0000035*clay^2*sand)</f>
        <v>3.4787952157757526E-2</v>
      </c>
      <c r="BJ63">
        <f t="shared" si="49"/>
        <v>9.6633200438215341E-2</v>
      </c>
      <c r="BK63">
        <f t="shared" si="83"/>
        <v>0.10073951813504034</v>
      </c>
      <c r="BL63">
        <f t="shared" si="84"/>
        <v>81.212049227929512</v>
      </c>
      <c r="BM63" t="str">
        <f t="shared" si="85"/>
        <v/>
      </c>
      <c r="BN63" s="10">
        <f t="shared" si="86"/>
        <v>0.21708119896601022</v>
      </c>
      <c r="BO63" s="10" t="str">
        <f t="shared" si="87"/>
        <v/>
      </c>
      <c r="BP63" s="10">
        <f t="shared" si="88"/>
        <v>0.10454527457615115</v>
      </c>
      <c r="BQ63" s="10" t="str">
        <f t="shared" si="89"/>
        <v/>
      </c>
      <c r="BR63">
        <f>100*EXP(-4.396-0.0715*clay-4.88*10^-4*sand^2-4.285*10^-5*sand^2*clay)</f>
        <v>6.8612100429665271E-2</v>
      </c>
      <c r="BS63">
        <f>-3.14-0.00222*clay^2-3.484*10^-5*sand^2*clay</f>
        <v>-6.5789012576524613</v>
      </c>
      <c r="BT63">
        <f t="shared" si="50"/>
        <v>0.22</v>
      </c>
      <c r="BU63">
        <f t="shared" si="51"/>
        <v>0.39</v>
      </c>
      <c r="BV63">
        <f t="shared" si="52"/>
        <v>0.17</v>
      </c>
      <c r="BW63">
        <f t="shared" si="90"/>
        <v>0.18</v>
      </c>
      <c r="BX63">
        <f t="shared" si="91"/>
        <v>0.31</v>
      </c>
      <c r="BY63">
        <f t="shared" si="53"/>
        <v>0.13</v>
      </c>
      <c r="BZ63">
        <f t="shared" si="92"/>
        <v>0.14566557414516981</v>
      </c>
      <c r="CA63">
        <f t="shared" si="93"/>
        <v>0.33185046989852546</v>
      </c>
      <c r="CB63">
        <f t="shared" si="54"/>
        <v>0.18618489575335564</v>
      </c>
      <c r="CC63" t="str">
        <f t="shared" si="94"/>
        <v/>
      </c>
      <c r="CD63" t="str">
        <f t="shared" si="95"/>
        <v/>
      </c>
      <c r="CE63" t="str">
        <f t="shared" si="55"/>
        <v/>
      </c>
      <c r="CF63" t="str">
        <f t="shared" si="96"/>
        <v/>
      </c>
      <c r="CG63" t="str">
        <f t="shared" si="97"/>
        <v/>
      </c>
      <c r="CH63" t="str">
        <f t="shared" si="56"/>
        <v/>
      </c>
      <c r="CI63">
        <v>5</v>
      </c>
      <c r="CJ63">
        <f t="shared" si="57"/>
        <v>152.4</v>
      </c>
      <c r="CK63">
        <v>5</v>
      </c>
      <c r="CL63">
        <f t="shared" si="58"/>
        <v>152.4</v>
      </c>
      <c r="CM63">
        <f t="shared" si="106"/>
        <v>23.620176004880857</v>
      </c>
      <c r="CN63">
        <f t="shared" si="98"/>
        <v>28.446521676601446</v>
      </c>
      <c r="CO63">
        <f t="shared" si="99"/>
        <v>23.620176004880857</v>
      </c>
      <c r="CP63">
        <f t="shared" si="100"/>
        <v>28.446521676601446</v>
      </c>
      <c r="CQ63">
        <v>9.93896145188706E-2</v>
      </c>
      <c r="CR63">
        <v>5.8720582924006004E-2</v>
      </c>
      <c r="CS63">
        <v>0.10366680611410606</v>
      </c>
      <c r="CT63">
        <v>0.22999999999999998</v>
      </c>
      <c r="CU63">
        <v>110</v>
      </c>
      <c r="CV63">
        <f t="shared" si="101"/>
        <v>24.148882529762332</v>
      </c>
      <c r="DC63">
        <f>DB63*1.72</f>
        <v>0</v>
      </c>
    </row>
    <row r="64" spans="3:107">
      <c r="C64">
        <f t="shared" si="33"/>
        <v>43.303209064552881</v>
      </c>
      <c r="E64" t="s">
        <v>7</v>
      </c>
      <c r="F64">
        <v>12</v>
      </c>
      <c r="G64">
        <v>5</v>
      </c>
      <c r="H64" s="27">
        <v>8.2118354077715203</v>
      </c>
      <c r="I64" s="27">
        <v>52.815276434130901</v>
      </c>
      <c r="J64" s="27">
        <v>38.972888158097597</v>
      </c>
      <c r="K64" s="8">
        <v>1.7315468345646017</v>
      </c>
      <c r="L64" s="34">
        <v>1.3706638444301393</v>
      </c>
      <c r="N64">
        <f t="shared" si="73"/>
        <v>0.23266181924910725</v>
      </c>
      <c r="P64" s="7">
        <f t="shared" si="35"/>
        <v>1.5511053394973704</v>
      </c>
      <c r="Q64" s="7">
        <f>AVERAGE(K64:L64)</f>
        <v>1.5511053394973704</v>
      </c>
      <c r="S64" s="38">
        <v>0.24253</v>
      </c>
      <c r="T64" s="38">
        <v>2.1080000000000002E-2</v>
      </c>
      <c r="W64" s="27" t="str">
        <f t="shared" si="36"/>
        <v/>
      </c>
      <c r="X64" s="27" t="str">
        <f t="shared" si="36"/>
        <v/>
      </c>
      <c r="Y64" s="8">
        <v>0.15751934235976794</v>
      </c>
      <c r="Z64" s="8">
        <v>0.2139973082099596</v>
      </c>
      <c r="AA64" s="4">
        <v>0.33300000000000002</v>
      </c>
      <c r="AB64" s="4">
        <v>0.17699999999999999</v>
      </c>
      <c r="AC64" s="4">
        <v>1.8499999999999999E-2</v>
      </c>
      <c r="AD64" s="4">
        <v>0.13400000000000001</v>
      </c>
      <c r="AE64" s="8">
        <f t="shared" si="37"/>
        <v>7.1492988979570287</v>
      </c>
      <c r="AF64" s="8">
        <f t="shared" si="38"/>
        <v>6.6341911556007522</v>
      </c>
      <c r="AG64" s="8">
        <f t="shared" si="39"/>
        <v>-0.51510774235627643</v>
      </c>
      <c r="AH64" s="8">
        <f t="shared" si="74"/>
        <v>5.6477965850191658E-2</v>
      </c>
      <c r="AI64" s="8">
        <f t="shared" si="75"/>
        <v>0.24432909300835037</v>
      </c>
      <c r="AJ64" s="8">
        <f t="shared" si="76"/>
        <v>0.33193236740253279</v>
      </c>
      <c r="AK64" s="8">
        <f t="shared" si="40"/>
        <v>8.7603274394182418E-2</v>
      </c>
      <c r="AL64" s="27"/>
      <c r="AM64" s="27">
        <v>0.18603833304026723</v>
      </c>
      <c r="AP64" s="27">
        <v>1.3935950413223139</v>
      </c>
      <c r="AR64" s="27"/>
      <c r="AS64" s="27">
        <v>1.4696991676923978</v>
      </c>
      <c r="AU64" t="str">
        <f t="shared" si="41"/>
        <v/>
      </c>
      <c r="AV64" t="str">
        <f t="shared" si="42"/>
        <v/>
      </c>
      <c r="AW64" t="str">
        <f t="shared" si="43"/>
        <v/>
      </c>
      <c r="AX64" t="str">
        <f t="shared" si="44"/>
        <v/>
      </c>
      <c r="AY64" t="str">
        <f t="shared" si="45"/>
        <v/>
      </c>
      <c r="AZ64" t="str">
        <f t="shared" si="46"/>
        <v/>
      </c>
      <c r="BA64">
        <f t="shared" si="77"/>
        <v>0.4146772303783508</v>
      </c>
      <c r="BB64" t="str">
        <f t="shared" si="78"/>
        <v/>
      </c>
      <c r="BC64">
        <f t="shared" si="79"/>
        <v>0.3694071227825248</v>
      </c>
      <c r="BD64" t="str">
        <f t="shared" si="80"/>
        <v/>
      </c>
      <c r="BE64">
        <f t="shared" si="81"/>
        <v>0.23691996764794532</v>
      </c>
      <c r="BF64" t="str">
        <f t="shared" si="82"/>
        <v/>
      </c>
      <c r="BG64">
        <f t="shared" si="102"/>
        <v>0.13248715513457948</v>
      </c>
      <c r="BH64" t="str">
        <f t="shared" si="48"/>
        <v/>
      </c>
      <c r="BI64" s="10">
        <f>EXP(19.52348*porosity-8.96847-0.028212*clay+0.00018107*sand^2-0.0094125*clay^2-8.395215*porosity^2+0.077718*sand*porosity-0.00298*sand^2*porosity^2-0.019492*clay^2*porosity^2+0.0000173*sand^2*clay+0.02733*clay^2*porosity+0.001434*sand^2*porosity-0.0000035*clay^2*sand)</f>
        <v>4.9656897990458058E-3</v>
      </c>
      <c r="BJ64">
        <f t="shared" si="49"/>
        <v>1.3793582775127237E-2</v>
      </c>
      <c r="BK64">
        <f t="shared" si="83"/>
        <v>4.5270107595826004E-2</v>
      </c>
      <c r="BL64">
        <f t="shared" si="84"/>
        <v>136.05882967233148</v>
      </c>
      <c r="BM64" t="str">
        <f t="shared" si="85"/>
        <v/>
      </c>
      <c r="BN64" s="10">
        <f t="shared" si="86"/>
        <v>0.17157063150055452</v>
      </c>
      <c r="BO64" s="10" t="str">
        <f t="shared" si="87"/>
        <v/>
      </c>
      <c r="BP64" s="10">
        <f t="shared" si="88"/>
        <v>9.36637393133785E-2</v>
      </c>
      <c r="BQ64" s="10" t="str">
        <f t="shared" si="89"/>
        <v/>
      </c>
      <c r="BR64">
        <f>100*EXP(-4.396-0.0715*clay-4.88*10^-4*sand^2-4.285*10^-5*sand^2*clay)</f>
        <v>6.5683099958596766E-2</v>
      </c>
      <c r="BS64">
        <f>-3.14-0.00222*clay^2-3.484*10^-5*sand^2*clay</f>
        <v>-6.6034901974485285</v>
      </c>
      <c r="BT64">
        <f t="shared" si="50"/>
        <v>0.22</v>
      </c>
      <c r="BU64">
        <f t="shared" si="51"/>
        <v>0.39</v>
      </c>
      <c r="BV64">
        <f t="shared" si="52"/>
        <v>0.17</v>
      </c>
      <c r="BW64">
        <f t="shared" si="90"/>
        <v>0.24</v>
      </c>
      <c r="BX64">
        <f t="shared" si="91"/>
        <v>0.35</v>
      </c>
      <c r="BY64">
        <f t="shared" si="53"/>
        <v>0.11</v>
      </c>
      <c r="BZ64">
        <f t="shared" si="92"/>
        <v>0.19106665983128937</v>
      </c>
      <c r="CA64">
        <f t="shared" si="93"/>
        <v>0.38092744021383995</v>
      </c>
      <c r="CB64">
        <f t="shared" si="54"/>
        <v>0.18986078038255058</v>
      </c>
      <c r="CC64" t="str">
        <f t="shared" si="94"/>
        <v/>
      </c>
      <c r="CD64" t="str">
        <f t="shared" si="95"/>
        <v/>
      </c>
      <c r="CE64" t="str">
        <f t="shared" si="55"/>
        <v/>
      </c>
      <c r="CF64" t="str">
        <f t="shared" si="96"/>
        <v/>
      </c>
      <c r="CG64" t="str">
        <f t="shared" si="97"/>
        <v/>
      </c>
      <c r="CH64" t="str">
        <f t="shared" si="56"/>
        <v/>
      </c>
      <c r="CI64">
        <v>5</v>
      </c>
      <c r="CJ64">
        <f t="shared" si="57"/>
        <v>152.4</v>
      </c>
      <c r="CK64">
        <v>5</v>
      </c>
      <c r="CL64">
        <f t="shared" si="58"/>
        <v>152.4</v>
      </c>
      <c r="CM64">
        <f t="shared" si="106"/>
        <v>23.620176004880857</v>
      </c>
      <c r="CN64">
        <f t="shared" si="98"/>
        <v>28.446521676601446</v>
      </c>
      <c r="CO64">
        <f t="shared" si="99"/>
        <v>23.620176004880857</v>
      </c>
      <c r="CP64">
        <f t="shared" si="100"/>
        <v>28.446521676601446</v>
      </c>
      <c r="CQ64" t="e">
        <v>#N/A</v>
      </c>
      <c r="CR64" t="e">
        <v>#N/A</v>
      </c>
      <c r="CS64" t="e">
        <v>#N/A</v>
      </c>
      <c r="CU64">
        <v>110</v>
      </c>
      <c r="CV64">
        <f t="shared" si="101"/>
        <v>24.148882529762332</v>
      </c>
      <c r="DC64">
        <f t="shared" si="60"/>
        <v>0</v>
      </c>
    </row>
    <row r="65" spans="8:51">
      <c r="U65" s="37"/>
      <c r="V65" s="37"/>
    </row>
    <row r="66" spans="8:51">
      <c r="L66" s="8" t="s">
        <v>12</v>
      </c>
      <c r="N66">
        <f>AVERAGE(N5:N64)</f>
        <v>6.0601292392101928E-2</v>
      </c>
      <c r="U66" s="37"/>
      <c r="V66" s="37"/>
      <c r="Y66" s="35">
        <v>0.33734148104343259</v>
      </c>
      <c r="AG66" s="6">
        <v>7.7353257222602272</v>
      </c>
    </row>
    <row r="67" spans="8:51">
      <c r="L67" s="8" t="s">
        <v>13</v>
      </c>
      <c r="N67">
        <f>_xlfn.STDEV.S(N5:N64)</f>
        <v>0.12832428162743104</v>
      </c>
      <c r="U67" s="37"/>
      <c r="V67" s="37"/>
      <c r="AL67" s="4"/>
      <c r="AM67" s="4"/>
      <c r="AN67" s="4"/>
      <c r="AO67" s="4"/>
      <c r="AP67" s="4"/>
      <c r="AQ67" s="4"/>
      <c r="AR67" s="4"/>
      <c r="AS67" s="4"/>
      <c r="AT67" s="4"/>
      <c r="AY67" s="8"/>
    </row>
    <row r="68" spans="8:51">
      <c r="H68" s="27"/>
      <c r="I68" s="27"/>
      <c r="J68" s="27"/>
      <c r="L68" s="8" t="s">
        <v>14</v>
      </c>
      <c r="N68">
        <f>N66-2*N67</f>
        <v>-0.19604727086276014</v>
      </c>
      <c r="U68" s="37"/>
      <c r="V68" s="37"/>
      <c r="AL68" s="4"/>
      <c r="AM68" s="4"/>
      <c r="AN68" s="4"/>
      <c r="AO68" s="4"/>
      <c r="AP68" s="4"/>
      <c r="AQ68" s="4"/>
      <c r="AR68" s="4"/>
      <c r="AS68" s="4"/>
      <c r="AT68" s="4"/>
      <c r="AY68" s="8"/>
    </row>
    <row r="69" spans="8:51">
      <c r="H69" s="27"/>
      <c r="I69" s="27"/>
      <c r="J69" s="27"/>
      <c r="L69" s="8" t="s">
        <v>15</v>
      </c>
      <c r="N69">
        <f>N66+2*N67</f>
        <v>0.31724985564696401</v>
      </c>
      <c r="U69" s="37"/>
      <c r="V69" s="37"/>
      <c r="AL69" s="4"/>
      <c r="AM69" s="4"/>
      <c r="AN69" s="4"/>
      <c r="AO69" s="4"/>
      <c r="AP69" s="4"/>
      <c r="AQ69" s="4"/>
      <c r="AR69" s="4"/>
      <c r="AS69" s="4"/>
      <c r="AT69" s="4"/>
      <c r="AY69" s="8"/>
    </row>
    <row r="70" spans="8:51">
      <c r="H70" s="27"/>
      <c r="I70" s="27"/>
      <c r="J70" s="27"/>
      <c r="U70" s="37"/>
      <c r="V70" s="37"/>
      <c r="AL70" s="4"/>
      <c r="AM70" s="4"/>
      <c r="AN70" s="4"/>
      <c r="AO70" s="4"/>
      <c r="AP70" s="4"/>
      <c r="AQ70" s="4"/>
      <c r="AR70" s="4"/>
      <c r="AS70" s="4"/>
      <c r="AT70" s="4"/>
      <c r="AY70" s="8"/>
    </row>
    <row r="71" spans="8:51">
      <c r="H71" s="27"/>
      <c r="I71" s="27"/>
      <c r="J71" s="27"/>
      <c r="U71" s="37"/>
      <c r="V71" s="37"/>
      <c r="AL71" s="4"/>
      <c r="AM71" s="4"/>
      <c r="AN71" s="4"/>
      <c r="AO71" s="4"/>
      <c r="AP71" s="4"/>
      <c r="AQ71" s="4"/>
      <c r="AR71" s="4"/>
      <c r="AS71" s="4"/>
      <c r="AT71" s="4"/>
      <c r="AY71" s="8"/>
    </row>
    <row r="72" spans="8:51">
      <c r="H72" s="27"/>
      <c r="I72" s="27"/>
      <c r="J72" s="27"/>
      <c r="N72" s="8"/>
      <c r="O72" s="8"/>
      <c r="P72" s="8"/>
      <c r="X72" s="41"/>
      <c r="AL72" s="4"/>
      <c r="AM72" s="4"/>
      <c r="AN72" s="4"/>
      <c r="AO72" s="4"/>
      <c r="AP72" s="4"/>
      <c r="AQ72" s="4"/>
      <c r="AR72" s="4"/>
      <c r="AS72" s="4"/>
      <c r="AT72" s="4"/>
      <c r="AY72" s="8"/>
    </row>
    <row r="73" spans="8:51">
      <c r="H73" s="27"/>
      <c r="I73" s="27"/>
      <c r="J73" s="27"/>
      <c r="L73" s="34"/>
      <c r="N73" s="8"/>
      <c r="O73" s="8"/>
      <c r="P73" s="8"/>
      <c r="S73" s="38"/>
      <c r="T73" s="38"/>
      <c r="U73" s="27"/>
      <c r="V73" s="27"/>
      <c r="W73" s="27"/>
      <c r="X73" s="27"/>
      <c r="AL73" s="4"/>
      <c r="AM73" s="4"/>
      <c r="AN73" s="4"/>
      <c r="AO73" s="4"/>
      <c r="AP73" s="4"/>
      <c r="AQ73" s="4"/>
      <c r="AR73" s="4"/>
      <c r="AS73" s="4"/>
      <c r="AT73" s="4"/>
      <c r="AY73" s="8"/>
    </row>
    <row r="74" spans="8:51">
      <c r="H74" s="27"/>
      <c r="I74" s="27"/>
      <c r="J74" s="27"/>
      <c r="L74" s="34"/>
      <c r="N74" s="8"/>
      <c r="O74" s="8"/>
      <c r="P74" s="8"/>
      <c r="S74" s="38"/>
      <c r="T74" s="38"/>
      <c r="U74" s="27"/>
      <c r="V74" s="27"/>
      <c r="W74" s="27"/>
      <c r="X74" s="27"/>
      <c r="AL74" s="4"/>
      <c r="AM74" s="4"/>
      <c r="AN74" s="4"/>
      <c r="AO74" s="4"/>
      <c r="AP74" s="4"/>
      <c r="AQ74" s="4"/>
      <c r="AR74" s="4"/>
      <c r="AS74" s="4"/>
      <c r="AT74" s="4"/>
      <c r="AY74" s="8"/>
    </row>
    <row r="75" spans="8:51">
      <c r="H75" s="27"/>
      <c r="I75" s="27"/>
      <c r="J75" s="27"/>
      <c r="L75" s="34"/>
      <c r="N75" s="8"/>
      <c r="O75" s="8"/>
      <c r="P75" s="8"/>
      <c r="S75" s="38"/>
      <c r="T75" s="38"/>
      <c r="U75" s="27"/>
      <c r="V75" s="27"/>
      <c r="W75" s="27"/>
      <c r="X75" s="27"/>
      <c r="AL75" s="4"/>
      <c r="AM75" s="4"/>
      <c r="AN75" s="4"/>
      <c r="AO75" s="4"/>
      <c r="AP75" s="4"/>
      <c r="AQ75" s="4"/>
      <c r="AR75" s="4"/>
      <c r="AS75" s="4"/>
      <c r="AT75" s="4"/>
      <c r="AY75" s="8"/>
    </row>
    <row r="76" spans="8:51">
      <c r="H76" s="27"/>
      <c r="I76" s="27"/>
      <c r="J76" s="27"/>
      <c r="L76" s="34"/>
      <c r="N76" s="8"/>
      <c r="O76" s="8"/>
      <c r="P76" s="8"/>
      <c r="S76" s="38"/>
      <c r="T76" s="38"/>
      <c r="U76" s="27"/>
      <c r="V76" s="27"/>
      <c r="W76" s="27"/>
      <c r="X76" s="27"/>
      <c r="AL76" s="4"/>
      <c r="AM76" s="4"/>
      <c r="AN76" s="4"/>
      <c r="AO76" s="4"/>
      <c r="AP76" s="4"/>
      <c r="AQ76" s="4"/>
      <c r="AR76" s="4"/>
      <c r="AS76" s="4"/>
      <c r="AT76"/>
      <c r="AY76" s="8"/>
    </row>
    <row r="77" spans="8:51">
      <c r="H77" s="27"/>
      <c r="I77" s="27"/>
      <c r="J77" s="27"/>
      <c r="L77" s="34"/>
      <c r="N77" s="8"/>
      <c r="O77" s="8"/>
      <c r="P77" s="8"/>
      <c r="S77" s="38"/>
      <c r="T77" s="38"/>
      <c r="U77" s="27"/>
      <c r="V77" s="27"/>
      <c r="W77" s="27"/>
      <c r="X77" s="27"/>
      <c r="AL77" s="4"/>
      <c r="AM77" s="4"/>
      <c r="AN77" s="4"/>
      <c r="AO77" s="4"/>
      <c r="AP77" s="4"/>
      <c r="AQ77" s="4"/>
      <c r="AR77" s="4"/>
      <c r="AS77" s="4"/>
      <c r="AT77" s="4"/>
      <c r="AY77" s="8"/>
    </row>
    <row r="78" spans="8:51">
      <c r="H78" s="27"/>
      <c r="I78" s="27"/>
      <c r="J78" s="27"/>
      <c r="L78" s="34"/>
      <c r="N78" s="8"/>
      <c r="O78" s="8"/>
      <c r="P78" s="8"/>
      <c r="S78" s="38"/>
      <c r="T78" s="38"/>
      <c r="U78" s="27"/>
      <c r="V78" s="27"/>
      <c r="W78" s="27"/>
      <c r="X78" s="27"/>
      <c r="AL78" s="4"/>
      <c r="AM78" s="4"/>
      <c r="AN78" s="4"/>
      <c r="AO78" s="4"/>
      <c r="AP78" s="4"/>
      <c r="AQ78" s="4"/>
      <c r="AR78" s="4"/>
      <c r="AS78" s="4"/>
      <c r="AT78" s="4"/>
      <c r="AY78" s="8"/>
    </row>
    <row r="79" spans="8:51">
      <c r="H79" s="27"/>
      <c r="I79" s="27"/>
      <c r="J79" s="27"/>
      <c r="L79" s="34"/>
      <c r="N79" s="8"/>
      <c r="O79" s="8"/>
      <c r="P79" s="8"/>
      <c r="S79" s="38"/>
      <c r="T79" s="38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L79" s="4"/>
      <c r="AM79" s="4"/>
      <c r="AN79" s="4"/>
      <c r="AO79" s="4"/>
      <c r="AP79" s="4"/>
      <c r="AQ79" s="4"/>
      <c r="AR79" s="4"/>
      <c r="AS79" s="4"/>
      <c r="AT79" s="4"/>
      <c r="AY79" s="8"/>
    </row>
    <row r="80" spans="8:51">
      <c r="H80" s="27"/>
      <c r="I80" s="27"/>
      <c r="J80" s="27"/>
      <c r="L80" s="34"/>
      <c r="N80" s="8"/>
      <c r="O80" s="8"/>
      <c r="P80" s="8"/>
      <c r="S80" s="38"/>
      <c r="T80" s="38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L80" s="4"/>
      <c r="AM80" s="4"/>
      <c r="AN80" s="4"/>
      <c r="AO80" s="4"/>
      <c r="AP80" s="4"/>
      <c r="AQ80" s="4"/>
      <c r="AR80" s="4"/>
      <c r="AS80" s="4"/>
      <c r="AT80" s="4"/>
      <c r="AY80" s="8"/>
    </row>
    <row r="81" spans="8:51">
      <c r="H81" s="27"/>
      <c r="I81" s="27"/>
      <c r="J81" s="27"/>
      <c r="L81" s="34"/>
      <c r="N81" s="8"/>
      <c r="O81" s="8"/>
      <c r="P81" s="8"/>
      <c r="S81" s="38"/>
      <c r="T81" s="38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L81" s="4"/>
      <c r="AM81" s="4"/>
      <c r="AN81" s="4"/>
      <c r="AO81" s="4"/>
      <c r="AP81" s="4"/>
      <c r="AQ81" s="4"/>
      <c r="AR81" s="4"/>
      <c r="AS81" s="4"/>
      <c r="AT81" s="4"/>
      <c r="AY81" s="8"/>
    </row>
    <row r="82" spans="8:51">
      <c r="H82" s="27"/>
      <c r="I82" s="27"/>
      <c r="J82" s="27"/>
      <c r="L82" s="34"/>
      <c r="N82" s="8"/>
      <c r="O82" s="8"/>
      <c r="P82" s="8"/>
      <c r="S82" s="38"/>
      <c r="T82" s="38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L82" s="4"/>
      <c r="AM82" s="4"/>
      <c r="AN82" s="4"/>
      <c r="AO82" s="4"/>
      <c r="AP82" s="4"/>
      <c r="AQ82" s="4"/>
      <c r="AR82" s="4"/>
      <c r="AS82" s="4"/>
      <c r="AT82" s="4"/>
      <c r="AY82" s="8"/>
    </row>
    <row r="83" spans="8:51">
      <c r="H83" s="27"/>
      <c r="I83" s="27"/>
      <c r="J83" s="27"/>
      <c r="L83" s="34"/>
      <c r="N83" s="8"/>
      <c r="O83" s="8"/>
      <c r="P83" s="8"/>
      <c r="S83" s="38"/>
      <c r="T83" s="38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L83" s="4"/>
      <c r="AM83" s="4"/>
      <c r="AN83" s="4"/>
      <c r="AO83" s="4"/>
      <c r="AP83" s="4"/>
      <c r="AQ83" s="4"/>
      <c r="AR83" s="4"/>
      <c r="AS83" s="4"/>
      <c r="AT83" s="4"/>
      <c r="AY83" s="8"/>
    </row>
    <row r="84" spans="8:51">
      <c r="H84" s="27"/>
      <c r="I84" s="27"/>
      <c r="J84" s="27"/>
      <c r="L84" s="34"/>
      <c r="N84" s="8"/>
      <c r="O84" s="8"/>
      <c r="P84" s="8"/>
      <c r="S84" s="38"/>
      <c r="T84" s="38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L84" s="4"/>
      <c r="AM84" s="4"/>
      <c r="AN84" s="4"/>
      <c r="AO84" s="4"/>
      <c r="AP84" s="4"/>
      <c r="AQ84" s="4"/>
      <c r="AR84" s="4"/>
      <c r="AS84" s="4"/>
      <c r="AT84" s="4"/>
      <c r="AY84" s="8"/>
    </row>
    <row r="85" spans="8:51">
      <c r="H85" s="27"/>
      <c r="I85" s="27"/>
      <c r="J85" s="27"/>
      <c r="L85" s="34"/>
      <c r="N85" s="8"/>
      <c r="O85" s="8"/>
      <c r="P85" s="8"/>
      <c r="S85" s="38"/>
      <c r="T85" s="38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L85" s="4"/>
      <c r="AM85" s="4"/>
      <c r="AN85" s="4"/>
      <c r="AO85" s="4"/>
      <c r="AP85" s="4"/>
      <c r="AQ85" s="4"/>
      <c r="AR85" s="4"/>
      <c r="AS85" s="4"/>
      <c r="AT85" s="4"/>
      <c r="AY85" s="8"/>
    </row>
    <row r="86" spans="8:51">
      <c r="H86" s="27"/>
      <c r="I86" s="27"/>
      <c r="J86" s="27"/>
      <c r="L86" s="34"/>
      <c r="N86" s="8"/>
      <c r="O86" s="8"/>
      <c r="P86" s="8"/>
      <c r="S86" s="38"/>
      <c r="T86" s="38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L86" s="4"/>
      <c r="AM86" s="4"/>
      <c r="AN86" s="4"/>
      <c r="AO86" s="4"/>
      <c r="AP86" s="4"/>
      <c r="AQ86" s="4"/>
      <c r="AR86" s="4"/>
      <c r="AS86" s="4"/>
      <c r="AT86" s="4"/>
      <c r="AY86" s="8"/>
    </row>
    <row r="87" spans="8:51">
      <c r="H87" s="27"/>
      <c r="I87" s="27"/>
      <c r="J87" s="27"/>
      <c r="L87" s="34"/>
      <c r="N87" s="8"/>
      <c r="O87" s="8"/>
      <c r="P87" s="8"/>
      <c r="S87" s="38"/>
      <c r="T87" s="38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L87" s="4"/>
      <c r="AM87" s="4"/>
      <c r="AN87" s="4"/>
      <c r="AO87" s="4"/>
      <c r="AP87" s="4"/>
      <c r="AQ87" s="4"/>
      <c r="AR87" s="4"/>
      <c r="AS87" s="4"/>
      <c r="AT87" s="4"/>
      <c r="AY87" s="8"/>
    </row>
    <row r="88" spans="8:51">
      <c r="H88" s="27"/>
      <c r="I88" s="27"/>
      <c r="J88" s="27"/>
      <c r="L88" s="34"/>
      <c r="N88" s="8"/>
      <c r="O88" s="8"/>
      <c r="P88" s="8"/>
      <c r="S88" s="38"/>
      <c r="T88" s="38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L88" s="4"/>
      <c r="AM88" s="4"/>
      <c r="AN88" s="4"/>
      <c r="AO88" s="4"/>
      <c r="AP88" s="4"/>
      <c r="AQ88" s="4"/>
      <c r="AR88" s="4"/>
      <c r="AS88" s="4"/>
      <c r="AT88" s="4"/>
      <c r="AY88" s="8"/>
    </row>
    <row r="89" spans="8:51">
      <c r="H89" s="27"/>
      <c r="I89" s="27"/>
      <c r="J89" s="27"/>
      <c r="L89" s="34"/>
      <c r="N89" s="8"/>
      <c r="O89" s="8"/>
      <c r="P89" s="8"/>
      <c r="S89" s="38"/>
      <c r="T89" s="38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L89" s="4"/>
      <c r="AM89" s="4"/>
      <c r="AN89" s="4"/>
      <c r="AO89" s="4"/>
      <c r="AP89" s="4"/>
      <c r="AQ89" s="4"/>
      <c r="AR89" s="4"/>
      <c r="AS89" s="4"/>
      <c r="AT89" s="4"/>
      <c r="AY89" s="8"/>
    </row>
    <row r="90" spans="8:51">
      <c r="H90" s="27"/>
      <c r="I90" s="27"/>
      <c r="J90" s="27"/>
      <c r="L90" s="34"/>
      <c r="N90" s="8"/>
      <c r="O90" s="8"/>
      <c r="P90" s="8"/>
      <c r="S90" s="38"/>
      <c r="T90" s="38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L90" s="4"/>
      <c r="AM90" s="4"/>
      <c r="AN90"/>
      <c r="AO90" s="4"/>
      <c r="AP90"/>
      <c r="AQ90"/>
      <c r="AR90" s="4"/>
      <c r="AS90"/>
      <c r="AT90"/>
      <c r="AY90" s="8"/>
    </row>
    <row r="91" spans="8:51">
      <c r="H91" s="27"/>
      <c r="I91" s="27"/>
      <c r="J91" s="27"/>
      <c r="L91" s="34"/>
      <c r="N91" s="8"/>
      <c r="O91" s="8"/>
      <c r="P91" s="8"/>
      <c r="S91" s="38"/>
      <c r="T91" s="38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L91" s="4"/>
      <c r="AM91" s="4"/>
      <c r="AN91" s="4"/>
      <c r="AO91" s="4"/>
      <c r="AP91"/>
      <c r="AQ91"/>
      <c r="AR91" s="4"/>
      <c r="AS91"/>
      <c r="AT91"/>
      <c r="AY91" s="8"/>
    </row>
    <row r="92" spans="8:51">
      <c r="H92" s="27"/>
      <c r="I92" s="27"/>
      <c r="J92" s="27"/>
      <c r="L92" s="34"/>
      <c r="N92" s="8"/>
      <c r="O92" s="8"/>
      <c r="P92" s="8"/>
      <c r="S92" s="38"/>
      <c r="T92" s="38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L92" s="4"/>
      <c r="AM92" s="4"/>
      <c r="AN92" s="4"/>
      <c r="AO92" s="4"/>
      <c r="AP92" s="4"/>
      <c r="AQ92" s="4"/>
      <c r="AR92" s="4"/>
      <c r="AS92" s="4"/>
      <c r="AT92" s="4"/>
      <c r="AY92" s="8"/>
    </row>
    <row r="93" spans="8:51">
      <c r="H93" s="27"/>
      <c r="I93" s="27"/>
      <c r="J93" s="27"/>
      <c r="L93" s="34"/>
      <c r="N93" s="8"/>
      <c r="O93" s="8"/>
      <c r="P93" s="8"/>
      <c r="S93" s="38"/>
      <c r="T93" s="38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L93" s="4"/>
      <c r="AM93" s="4"/>
      <c r="AN93" s="4"/>
      <c r="AO93" s="4"/>
      <c r="AP93" s="4"/>
      <c r="AQ93" s="4"/>
      <c r="AR93" s="4"/>
      <c r="AS93" s="4"/>
      <c r="AT93" s="4"/>
      <c r="AY93" s="8"/>
    </row>
    <row r="94" spans="8:51">
      <c r="H94" s="27"/>
      <c r="I94" s="27"/>
      <c r="J94" s="27"/>
      <c r="L94" s="34"/>
      <c r="N94" s="8"/>
      <c r="O94" s="8"/>
      <c r="P94" s="8"/>
      <c r="S94" s="38"/>
      <c r="T94" s="38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L94" s="4"/>
      <c r="AM94" s="4"/>
      <c r="AN94" s="4"/>
      <c r="AO94" s="4"/>
      <c r="AP94" s="4"/>
      <c r="AQ94" s="4"/>
      <c r="AR94" s="4"/>
      <c r="AS94" s="4"/>
      <c r="AT94" s="4"/>
      <c r="AY94" s="8"/>
    </row>
    <row r="95" spans="8:51">
      <c r="H95" s="27"/>
      <c r="I95" s="27"/>
      <c r="J95" s="27"/>
      <c r="L95" s="34"/>
      <c r="N95" s="8"/>
      <c r="O95" s="8"/>
      <c r="P95" s="8"/>
      <c r="S95" s="38"/>
      <c r="T95" s="38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L95" s="4"/>
      <c r="AM95" s="4"/>
      <c r="AN95" s="4"/>
      <c r="AO95" s="4"/>
      <c r="AP95" s="4"/>
      <c r="AQ95" s="4"/>
      <c r="AR95" s="4"/>
      <c r="AS95" s="4"/>
      <c r="AT95" s="4"/>
      <c r="AY95" s="8"/>
    </row>
    <row r="96" spans="8:51">
      <c r="H96" s="27"/>
      <c r="I96" s="27"/>
      <c r="J96" s="27"/>
      <c r="L96" s="34"/>
      <c r="N96" s="8"/>
      <c r="O96" s="8"/>
      <c r="P96" s="8"/>
      <c r="S96" s="38"/>
      <c r="T96" s="38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L96" s="4"/>
      <c r="AM96" s="4"/>
      <c r="AN96" s="4"/>
      <c r="AO96" s="4"/>
      <c r="AP96" s="4"/>
      <c r="AQ96" s="4"/>
      <c r="AR96" s="4"/>
      <c r="AS96" s="4"/>
      <c r="AT96" s="4"/>
      <c r="AY96" s="8"/>
    </row>
    <row r="97" spans="8:51">
      <c r="H97" s="27"/>
      <c r="I97" s="27"/>
      <c r="J97" s="27"/>
      <c r="L97" s="34"/>
      <c r="N97" s="8"/>
      <c r="O97" s="8"/>
      <c r="P97" s="8"/>
      <c r="S97" s="38"/>
      <c r="T97" s="38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L97" s="4"/>
      <c r="AM97" s="4"/>
      <c r="AN97" s="4"/>
      <c r="AO97" s="4"/>
      <c r="AP97" s="4"/>
      <c r="AQ97" s="4"/>
      <c r="AR97" s="4"/>
      <c r="AS97" s="4"/>
      <c r="AT97" s="4"/>
      <c r="AY97" s="8"/>
    </row>
    <row r="98" spans="8:51">
      <c r="H98" s="27"/>
      <c r="I98" s="27"/>
      <c r="J98" s="27"/>
      <c r="L98" s="34"/>
      <c r="N98" s="8"/>
      <c r="O98" s="8"/>
      <c r="P98" s="8"/>
      <c r="S98" s="38"/>
      <c r="T98" s="38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L98" s="4"/>
      <c r="AM98" s="4"/>
      <c r="AN98" s="4"/>
      <c r="AO98" s="4"/>
      <c r="AP98" s="4"/>
      <c r="AQ98" s="4"/>
      <c r="AR98" s="4"/>
      <c r="AS98" s="4"/>
      <c r="AT98" s="4"/>
      <c r="AY98" s="8"/>
    </row>
    <row r="99" spans="8:51">
      <c r="H99" s="27"/>
      <c r="I99" s="27"/>
      <c r="J99" s="27"/>
      <c r="L99" s="34"/>
      <c r="N99" s="8"/>
      <c r="O99" s="8"/>
      <c r="P99" s="8"/>
      <c r="S99" s="38"/>
      <c r="T99" s="38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L99" s="4"/>
      <c r="AM99" s="4"/>
      <c r="AN99" s="4"/>
      <c r="AO99" s="4"/>
      <c r="AP99" s="4"/>
      <c r="AQ99" s="4"/>
      <c r="AR99" s="4"/>
      <c r="AS99" s="4"/>
      <c r="AT99" s="4"/>
      <c r="AY99" s="8"/>
    </row>
    <row r="100" spans="8:51">
      <c r="H100" s="27"/>
      <c r="I100" s="27"/>
      <c r="J100" s="27"/>
      <c r="L100" s="34"/>
      <c r="N100" s="8"/>
      <c r="O100" s="8"/>
      <c r="P100" s="8"/>
      <c r="S100" s="38"/>
      <c r="T100" s="38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L100" s="4"/>
      <c r="AM100" s="4"/>
      <c r="AN100" s="4"/>
      <c r="AO100" s="4"/>
      <c r="AP100" s="4"/>
      <c r="AQ100" s="4"/>
      <c r="AR100" s="4"/>
      <c r="AS100" s="4"/>
      <c r="AT100" s="4"/>
      <c r="AY100" s="8"/>
    </row>
    <row r="101" spans="8:51">
      <c r="H101" s="27"/>
      <c r="I101" s="27"/>
      <c r="J101" s="27"/>
      <c r="L101" s="34"/>
      <c r="N101" s="8"/>
      <c r="O101" s="8"/>
      <c r="P101" s="8"/>
      <c r="S101" s="38"/>
      <c r="T101" s="38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L101" s="4"/>
      <c r="AM101" s="4"/>
      <c r="AN101" s="4"/>
      <c r="AO101" s="4"/>
      <c r="AP101" s="4"/>
      <c r="AQ101" s="4"/>
      <c r="AR101" s="4"/>
      <c r="AS101" s="4"/>
      <c r="AT101" s="4"/>
      <c r="AY101" s="8"/>
    </row>
    <row r="102" spans="8:51">
      <c r="H102" s="27"/>
      <c r="I102" s="27"/>
      <c r="J102" s="27"/>
      <c r="L102" s="34"/>
      <c r="N102" s="8"/>
      <c r="O102" s="8"/>
      <c r="P102" s="8"/>
      <c r="S102" s="38"/>
      <c r="T102" s="38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L102" s="4"/>
      <c r="AM102" s="4"/>
      <c r="AN102" s="4"/>
      <c r="AO102" s="4"/>
      <c r="AP102" s="4"/>
      <c r="AQ102" s="4"/>
      <c r="AR102" s="4"/>
      <c r="AS102" s="4"/>
      <c r="AT102" s="4"/>
      <c r="AY102" s="8"/>
    </row>
    <row r="103" spans="8:51">
      <c r="H103" s="27"/>
      <c r="I103" s="27"/>
      <c r="J103" s="27"/>
      <c r="L103" s="34"/>
      <c r="N103" s="8"/>
      <c r="O103" s="8"/>
      <c r="P103" s="8"/>
      <c r="S103" s="38"/>
      <c r="T103" s="38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L103" s="4"/>
      <c r="AM103" s="4"/>
      <c r="AN103" s="4"/>
      <c r="AO103" s="4"/>
      <c r="AP103" s="4"/>
      <c r="AQ103" s="4"/>
      <c r="AR103" s="4"/>
      <c r="AS103" s="4"/>
      <c r="AT103" s="4"/>
      <c r="AY103" s="8"/>
    </row>
    <row r="104" spans="8:51">
      <c r="H104" s="27"/>
      <c r="I104" s="27"/>
      <c r="J104" s="27"/>
      <c r="L104" s="34"/>
      <c r="N104" s="8"/>
      <c r="O104" s="8"/>
      <c r="P104" s="8"/>
      <c r="S104" s="38"/>
      <c r="T104" s="38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L104" s="4"/>
      <c r="AM104" s="4"/>
      <c r="AN104" s="4"/>
      <c r="AO104" s="4"/>
      <c r="AP104" s="4"/>
      <c r="AQ104" s="4"/>
      <c r="AR104" s="4"/>
      <c r="AS104" s="4"/>
      <c r="AT104" s="4"/>
      <c r="AY104" s="8"/>
    </row>
    <row r="105" spans="8:51">
      <c r="H105" s="27"/>
      <c r="I105" s="27"/>
      <c r="J105" s="27"/>
      <c r="L105" s="34"/>
      <c r="N105" s="8"/>
      <c r="O105" s="8"/>
      <c r="P105" s="8"/>
      <c r="S105" s="38"/>
      <c r="T105" s="38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L105" s="4"/>
      <c r="AM105" s="4"/>
      <c r="AN105" s="4"/>
      <c r="AO105" s="4"/>
      <c r="AP105" s="4"/>
      <c r="AQ105" s="4"/>
      <c r="AR105" s="4"/>
      <c r="AS105" s="4"/>
      <c r="AT105" s="4"/>
      <c r="AY105" s="8"/>
    </row>
    <row r="106" spans="8:51">
      <c r="H106" s="27"/>
      <c r="I106" s="27"/>
      <c r="J106" s="27"/>
      <c r="L106" s="34"/>
      <c r="N106" s="8"/>
      <c r="O106" s="8"/>
      <c r="P106" s="8"/>
      <c r="S106" s="38"/>
      <c r="T106" s="38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L106" s="4"/>
      <c r="AM106" s="4"/>
      <c r="AN106" s="4"/>
      <c r="AO106" s="4"/>
      <c r="AP106" s="4"/>
      <c r="AQ106" s="4"/>
      <c r="AR106" s="4"/>
      <c r="AS106" s="4"/>
      <c r="AT106" s="4"/>
      <c r="AY106" s="8"/>
    </row>
    <row r="107" spans="8:51">
      <c r="H107" s="27"/>
      <c r="I107" s="27"/>
      <c r="J107" s="27"/>
      <c r="L107" s="34"/>
      <c r="N107" s="8"/>
      <c r="O107" s="8"/>
      <c r="P107" s="8"/>
      <c r="S107" s="38"/>
      <c r="T107" s="38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L107" s="4"/>
      <c r="AM107" s="4"/>
      <c r="AN107" s="4"/>
      <c r="AO107" s="4"/>
      <c r="AP107" s="4"/>
      <c r="AQ107" s="4"/>
      <c r="AR107" s="4"/>
      <c r="AS107" s="4"/>
      <c r="AT107" s="4"/>
      <c r="AY107" s="8"/>
    </row>
    <row r="108" spans="8:51">
      <c r="H108" s="27"/>
      <c r="I108" s="27"/>
      <c r="J108" s="27"/>
      <c r="L108" s="34"/>
      <c r="N108" s="8"/>
      <c r="O108" s="8"/>
      <c r="P108" s="8"/>
      <c r="S108" s="38"/>
      <c r="T108" s="38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L108" s="4"/>
      <c r="AM108" s="4"/>
      <c r="AN108" s="4"/>
      <c r="AO108" s="4"/>
      <c r="AP108" s="4"/>
      <c r="AQ108" s="4"/>
      <c r="AR108" s="4"/>
      <c r="AS108" s="4"/>
      <c r="AT108" s="4"/>
      <c r="AY108" s="8"/>
    </row>
    <row r="109" spans="8:51">
      <c r="H109" s="27"/>
      <c r="I109" s="27"/>
      <c r="J109" s="27"/>
      <c r="L109" s="34"/>
      <c r="N109" s="8"/>
      <c r="O109" s="8"/>
      <c r="P109" s="8"/>
      <c r="S109" s="38"/>
      <c r="T109" s="38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L109" s="4"/>
      <c r="AM109" s="4"/>
      <c r="AN109" s="4"/>
      <c r="AO109" s="4"/>
      <c r="AP109" s="4"/>
      <c r="AQ109" s="4"/>
      <c r="AR109" s="4"/>
      <c r="AS109" s="4"/>
      <c r="AT109" s="4"/>
      <c r="AY109" s="8"/>
    </row>
    <row r="110" spans="8:51">
      <c r="H110" s="27"/>
      <c r="I110" s="27"/>
      <c r="J110" s="27"/>
      <c r="L110" s="34"/>
      <c r="N110" s="8"/>
      <c r="O110" s="8"/>
      <c r="P110" s="8"/>
      <c r="S110" s="38"/>
      <c r="T110" s="38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L110" s="4"/>
      <c r="AM110" s="4"/>
      <c r="AN110" s="4"/>
      <c r="AO110" s="4"/>
      <c r="AP110" s="4"/>
      <c r="AQ110" s="4"/>
      <c r="AR110" s="4"/>
      <c r="AS110" s="4"/>
      <c r="AT110" s="4"/>
      <c r="AY110" s="8"/>
    </row>
    <row r="111" spans="8:51">
      <c r="H111" s="27"/>
      <c r="I111" s="27"/>
      <c r="J111" s="27"/>
      <c r="L111" s="34"/>
      <c r="N111" s="8"/>
      <c r="O111" s="8"/>
      <c r="P111" s="8"/>
      <c r="S111" s="38"/>
      <c r="T111" s="38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L111" s="4"/>
      <c r="AM111" s="4"/>
      <c r="AN111" s="4"/>
      <c r="AO111" s="4"/>
      <c r="AP111" s="4"/>
      <c r="AQ111" s="4"/>
      <c r="AR111" s="4"/>
      <c r="AS111" s="4"/>
      <c r="AT111" s="4"/>
      <c r="AY111" s="8"/>
    </row>
    <row r="112" spans="8:51">
      <c r="H112" s="27"/>
      <c r="I112" s="27"/>
      <c r="J112" s="27"/>
      <c r="L112" s="34"/>
      <c r="N112" s="8"/>
      <c r="O112" s="8"/>
      <c r="P112" s="8"/>
      <c r="S112" s="38"/>
      <c r="T112" s="38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L112" s="4"/>
      <c r="AM112" s="4"/>
      <c r="AN112" s="4"/>
      <c r="AO112" s="4"/>
      <c r="AP112" s="4"/>
      <c r="AQ112" s="4"/>
      <c r="AR112" s="4"/>
      <c r="AS112" s="4"/>
      <c r="AT112" s="4"/>
      <c r="AY112" s="8"/>
    </row>
    <row r="113" spans="8:52">
      <c r="H113" s="27"/>
      <c r="I113" s="27"/>
      <c r="J113" s="27"/>
      <c r="L113" s="34"/>
      <c r="N113" s="8"/>
      <c r="O113" s="8"/>
      <c r="P113" s="8"/>
      <c r="S113" s="38"/>
      <c r="T113" s="38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L113" s="4"/>
      <c r="AM113" s="4"/>
      <c r="AN113" s="4"/>
      <c r="AO113" s="4"/>
      <c r="AP113" s="4"/>
      <c r="AQ113" s="4"/>
      <c r="AR113" s="4"/>
      <c r="AS113" s="4"/>
      <c r="AT113" s="4"/>
      <c r="AY113" s="8"/>
    </row>
    <row r="114" spans="8:52">
      <c r="H114" s="27"/>
      <c r="I114" s="27"/>
      <c r="J114" s="27"/>
      <c r="L114" s="34"/>
      <c r="N114" s="8"/>
      <c r="O114" s="8"/>
      <c r="P114" s="8"/>
      <c r="S114" s="38"/>
      <c r="T114" s="38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L114" s="4"/>
      <c r="AM114" s="4"/>
      <c r="AN114" s="4"/>
      <c r="AO114" s="4"/>
      <c r="AP114" s="4"/>
      <c r="AQ114" s="4"/>
      <c r="AR114" s="4"/>
      <c r="AS114" s="4"/>
      <c r="AT114" s="4"/>
      <c r="AY114" s="8"/>
    </row>
    <row r="115" spans="8:52">
      <c r="H115" s="27"/>
      <c r="I115" s="27"/>
      <c r="J115" s="27"/>
      <c r="L115" s="34"/>
      <c r="N115" s="8"/>
      <c r="O115" s="8"/>
      <c r="P115" s="8"/>
      <c r="S115" s="38"/>
      <c r="T115" s="38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L115" s="4"/>
      <c r="AM115" s="4"/>
      <c r="AN115" s="4"/>
      <c r="AO115" s="4"/>
      <c r="AP115" s="4"/>
      <c r="AQ115" s="4"/>
      <c r="AR115" s="4"/>
      <c r="AS115" s="4"/>
      <c r="AT115" s="4"/>
      <c r="AY115" s="8"/>
    </row>
    <row r="116" spans="8:52">
      <c r="H116" s="27"/>
      <c r="I116" s="27"/>
      <c r="J116" s="27"/>
      <c r="L116" s="34"/>
      <c r="N116" s="8"/>
      <c r="O116" s="8"/>
      <c r="P116" s="8"/>
      <c r="S116" s="38"/>
      <c r="T116" s="38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L116" s="4"/>
      <c r="AM116" s="4"/>
      <c r="AN116" s="4"/>
      <c r="AO116" s="4"/>
      <c r="AP116" s="4"/>
      <c r="AQ116" s="4"/>
      <c r="AR116" s="4"/>
      <c r="AS116" s="4"/>
      <c r="AT116" s="4"/>
      <c r="AY116" s="8"/>
    </row>
    <row r="117" spans="8:52">
      <c r="H117" s="27"/>
      <c r="I117" s="27"/>
      <c r="J117" s="27"/>
      <c r="L117" s="34"/>
      <c r="N117" s="8"/>
      <c r="O117" s="8"/>
      <c r="P117" s="8"/>
      <c r="S117" s="38"/>
      <c r="T117" s="38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L117" s="4"/>
      <c r="AM117" s="4"/>
      <c r="AN117" s="4"/>
      <c r="AO117" s="4"/>
      <c r="AP117" s="4"/>
      <c r="AQ117" s="4"/>
      <c r="AR117" s="4"/>
      <c r="AS117" s="4"/>
      <c r="AT117" s="4"/>
      <c r="AY117" s="8"/>
    </row>
    <row r="118" spans="8:52">
      <c r="H118" s="27"/>
      <c r="I118" s="27"/>
      <c r="J118" s="27"/>
      <c r="L118" s="34"/>
      <c r="N118" s="8"/>
      <c r="O118" s="8"/>
      <c r="P118" s="8"/>
      <c r="S118" s="38"/>
      <c r="T118" s="38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L118" s="4"/>
      <c r="AM118" s="4"/>
      <c r="AN118" s="4"/>
      <c r="AO118" s="4"/>
      <c r="AP118" s="4"/>
      <c r="AQ118" s="4"/>
      <c r="AR118" s="4"/>
      <c r="AS118" s="4"/>
      <c r="AT118" s="4"/>
      <c r="AY118" s="8"/>
    </row>
    <row r="119" spans="8:52">
      <c r="H119" s="27"/>
      <c r="I119" s="27"/>
      <c r="J119" s="27"/>
      <c r="L119" s="34"/>
      <c r="N119" s="8"/>
      <c r="O119" s="8"/>
      <c r="P119" s="8"/>
      <c r="S119" s="38"/>
      <c r="T119" s="38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L119" s="4"/>
      <c r="AM119" s="4"/>
      <c r="AN119" s="4"/>
      <c r="AO119" s="4"/>
      <c r="AP119" s="4"/>
      <c r="AQ119" s="4"/>
      <c r="AR119" s="4"/>
      <c r="AS119" s="4"/>
      <c r="AT119" s="4"/>
      <c r="AY119" s="8"/>
    </row>
    <row r="120" spans="8:52">
      <c r="H120" s="27"/>
      <c r="I120" s="27"/>
      <c r="J120" s="27"/>
      <c r="L120" s="34"/>
      <c r="N120" s="8"/>
      <c r="O120" s="8"/>
      <c r="P120" s="8"/>
      <c r="S120" s="38"/>
      <c r="T120" s="38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L120" s="4"/>
      <c r="AM120" s="4"/>
      <c r="AN120" s="4"/>
      <c r="AO120" s="4"/>
      <c r="AP120" s="4"/>
      <c r="AQ120" s="4"/>
      <c r="AR120" s="4"/>
      <c r="AS120" s="4"/>
      <c r="AT120" s="4"/>
      <c r="AY120" s="8"/>
    </row>
    <row r="121" spans="8:52">
      <c r="H121" s="27"/>
      <c r="I121" s="27"/>
      <c r="J121" s="27"/>
      <c r="L121" s="34"/>
      <c r="N121" s="8"/>
      <c r="O121" s="8"/>
      <c r="P121" s="8"/>
      <c r="S121" s="38"/>
      <c r="T121" s="38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L121" s="4"/>
      <c r="AM121" s="4"/>
      <c r="AN121" s="4"/>
      <c r="AO121" s="4"/>
      <c r="AP121" s="4"/>
      <c r="AQ121" s="4"/>
      <c r="AR121" s="4"/>
      <c r="AS121" s="4"/>
      <c r="AT121" s="4"/>
      <c r="AY121" s="8"/>
    </row>
    <row r="122" spans="8:52">
      <c r="H122" s="27"/>
      <c r="I122" s="27"/>
      <c r="J122" s="27"/>
      <c r="L122" s="34"/>
      <c r="N122" s="8"/>
      <c r="O122" s="8"/>
      <c r="P122" s="8"/>
      <c r="S122" s="38"/>
      <c r="T122" s="38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L122" s="4"/>
      <c r="AM122" s="4">
        <v>0.11887044457164643</v>
      </c>
      <c r="AN122" s="4">
        <v>0.26045662100456635</v>
      </c>
      <c r="AO122"/>
      <c r="AP122" s="4">
        <v>6.247026648858359</v>
      </c>
      <c r="AQ122" s="4">
        <v>4.9052770167427715</v>
      </c>
      <c r="AR122"/>
      <c r="AS122" s="4">
        <v>6.9183489156013467</v>
      </c>
      <c r="AT122" s="4">
        <v>6.8537328767123302</v>
      </c>
      <c r="AU122" t="str">
        <f t="shared" ref="AU122:AU126" si="112">IF(OR(AN122="",AL122=""),"",AN122-AL122)</f>
        <v/>
      </c>
      <c r="AV122">
        <f t="shared" ref="AV122:AV126" si="113">IF(OR(AN122="",AM122=""),"",AN122-AM122)</f>
        <v>0.14158617643291993</v>
      </c>
      <c r="AW122" t="str">
        <f t="shared" ref="AW122:AW126" si="114">IF(OR(AQ122="",AO122=""),"",AQ122-AO122)</f>
        <v/>
      </c>
      <c r="AX122">
        <f t="shared" ref="AX122:AX126" si="115">IF(OR(AQ122="",AP122=""),"",AQ122-AP122)</f>
        <v>-1.3417496321155875</v>
      </c>
      <c r="AY122" s="8" t="str">
        <f t="shared" ref="AY122:AY126" si="116">IF(OR(AT122="",AR122=""),"",AT122-AR122)</f>
        <v/>
      </c>
      <c r="AZ122">
        <f t="shared" ref="AZ122:AZ126" si="117">IF(OR(AT122="",AS122=""),"",AT122-AS122)</f>
        <v>-6.4616038889016458E-2</v>
      </c>
    </row>
    <row r="123" spans="8:52">
      <c r="H123" s="27"/>
      <c r="I123" s="27"/>
      <c r="J123" s="27"/>
      <c r="L123" s="34"/>
      <c r="N123" s="8"/>
      <c r="O123" s="8"/>
      <c r="P123" s="8"/>
      <c r="S123" s="38"/>
      <c r="T123" s="38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L123" s="4"/>
      <c r="AM123" s="4">
        <v>0.14181204276871137</v>
      </c>
      <c r="AN123" s="4">
        <v>0.24801362088535753</v>
      </c>
      <c r="AO123"/>
      <c r="AP123" s="4">
        <v>1.1513271431251171</v>
      </c>
      <c r="AQ123" s="4">
        <v>4.5656498297389332</v>
      </c>
      <c r="AR123"/>
      <c r="AS123" s="4">
        <v>1.1513271431251171</v>
      </c>
      <c r="AT123" s="4">
        <v>5.5848609534619751</v>
      </c>
      <c r="AU123" t="str">
        <f t="shared" si="112"/>
        <v/>
      </c>
      <c r="AV123">
        <f t="shared" si="113"/>
        <v>0.10620157811664616</v>
      </c>
      <c r="AW123" t="str">
        <f t="shared" si="114"/>
        <v/>
      </c>
      <c r="AX123">
        <f t="shared" si="115"/>
        <v>3.4143226866138159</v>
      </c>
      <c r="AY123" s="8" t="str">
        <f t="shared" si="116"/>
        <v/>
      </c>
      <c r="AZ123">
        <f t="shared" si="117"/>
        <v>4.4335338103368578</v>
      </c>
    </row>
    <row r="124" spans="8:52">
      <c r="H124" s="27"/>
      <c r="I124" s="27"/>
      <c r="J124" s="27"/>
      <c r="L124" s="34"/>
      <c r="N124" s="8"/>
      <c r="O124" s="8"/>
      <c r="P124" s="8"/>
      <c r="S124" s="38"/>
      <c r="T124" s="38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L124" s="4"/>
      <c r="AM124" s="4">
        <v>0.13359956434924669</v>
      </c>
      <c r="AN124" s="4">
        <v>0.23231197771587725</v>
      </c>
      <c r="AO124"/>
      <c r="AP124" s="4">
        <v>0.79351969504447273</v>
      </c>
      <c r="AQ124" s="4">
        <v>3.085914577530176</v>
      </c>
      <c r="AR124" s="4"/>
      <c r="AS124" s="4">
        <v>1.1340718975010589</v>
      </c>
      <c r="AT124" s="4">
        <v>3.3205673166202407</v>
      </c>
      <c r="AU124" t="str">
        <f t="shared" si="112"/>
        <v/>
      </c>
      <c r="AV124">
        <f t="shared" si="113"/>
        <v>9.8712413366630558E-2</v>
      </c>
      <c r="AW124" t="str">
        <f t="shared" si="114"/>
        <v/>
      </c>
      <c r="AX124">
        <f t="shared" si="115"/>
        <v>2.292394882485703</v>
      </c>
      <c r="AY124" s="8" t="str">
        <f t="shared" si="116"/>
        <v/>
      </c>
      <c r="AZ124">
        <f t="shared" si="117"/>
        <v>2.1864954191191819</v>
      </c>
    </row>
    <row r="125" spans="8:52">
      <c r="H125" s="27"/>
      <c r="I125" s="27"/>
      <c r="J125" s="27"/>
      <c r="L125" s="34"/>
      <c r="N125" s="8"/>
      <c r="O125" s="8"/>
      <c r="P125" s="8"/>
      <c r="S125" s="38"/>
      <c r="T125" s="38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L125" s="4"/>
      <c r="AM125" s="4">
        <v>0.16657276995305145</v>
      </c>
      <c r="AN125" s="4">
        <v>0.22248017024569547</v>
      </c>
      <c r="AO125"/>
      <c r="AP125" s="4">
        <v>1.3658622848200312</v>
      </c>
      <c r="AQ125" s="4">
        <v>0.83026778229186826</v>
      </c>
      <c r="AR125" s="4"/>
      <c r="AS125" s="4">
        <v>1.4864081377151799</v>
      </c>
      <c r="AT125" s="4">
        <v>0.89648545818017678</v>
      </c>
      <c r="AU125" t="str">
        <f t="shared" si="112"/>
        <v/>
      </c>
      <c r="AV125">
        <f t="shared" si="113"/>
        <v>5.5907400292644016E-2</v>
      </c>
      <c r="AW125" t="str">
        <f t="shared" si="114"/>
        <v/>
      </c>
      <c r="AX125">
        <f t="shared" si="115"/>
        <v>-0.53559450252816299</v>
      </c>
      <c r="AY125" s="8" t="str">
        <f t="shared" si="116"/>
        <v/>
      </c>
      <c r="AZ125">
        <f t="shared" si="117"/>
        <v>-0.5899226795350031</v>
      </c>
    </row>
    <row r="126" spans="8:52">
      <c r="H126" s="27"/>
      <c r="I126" s="27"/>
      <c r="J126" s="27"/>
      <c r="L126" s="34"/>
      <c r="N126" s="8"/>
      <c r="O126" s="8"/>
      <c r="P126" s="8"/>
      <c r="S126" s="38"/>
      <c r="T126" s="38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L126" s="4"/>
      <c r="AM126" s="4">
        <v>0.18603833304026723</v>
      </c>
      <c r="AN126"/>
      <c r="AO126"/>
      <c r="AP126" s="4">
        <v>1.3935950413223139</v>
      </c>
      <c r="AQ126"/>
      <c r="AR126" s="4"/>
      <c r="AS126" s="4">
        <v>1.4696991676923978</v>
      </c>
      <c r="AT126"/>
      <c r="AU126" t="str">
        <f t="shared" si="112"/>
        <v/>
      </c>
      <c r="AV126" t="str">
        <f t="shared" si="113"/>
        <v/>
      </c>
      <c r="AW126" t="str">
        <f t="shared" si="114"/>
        <v/>
      </c>
      <c r="AX126" t="str">
        <f t="shared" si="115"/>
        <v/>
      </c>
      <c r="AY126" s="8" t="str">
        <f t="shared" si="116"/>
        <v/>
      </c>
      <c r="AZ126" t="str">
        <f t="shared" si="117"/>
        <v/>
      </c>
    </row>
    <row r="127" spans="8:52">
      <c r="H127" s="27"/>
      <c r="I127" s="27"/>
      <c r="J127" s="27"/>
      <c r="L127" s="34"/>
      <c r="N127" s="8"/>
      <c r="O127" s="8"/>
      <c r="P127" s="8"/>
      <c r="S127" s="38"/>
      <c r="T127" s="38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</row>
    <row r="128" spans="8:52" ht="15.75">
      <c r="H128" s="36"/>
      <c r="L128" s="34"/>
      <c r="N128" s="8"/>
      <c r="O128" s="8"/>
      <c r="P128" s="8"/>
      <c r="S128" s="38"/>
      <c r="T128" s="38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U128" s="8"/>
      <c r="AV128" s="8"/>
      <c r="AW128" s="8"/>
      <c r="AX128" s="8"/>
      <c r="AY128" s="8"/>
      <c r="AZ128" s="8"/>
    </row>
    <row r="129" spans="8:52" ht="15.75">
      <c r="H129" s="36"/>
      <c r="I129" s="36"/>
      <c r="J129" s="36"/>
      <c r="L129" s="34"/>
      <c r="N129" s="8"/>
      <c r="O129" s="8"/>
      <c r="P129" s="8"/>
      <c r="S129" s="38"/>
      <c r="T129" s="38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U129" s="8"/>
      <c r="AV129" s="8"/>
      <c r="AW129" s="8"/>
      <c r="AX129" s="8"/>
      <c r="AY129" s="8"/>
      <c r="AZ129" s="8"/>
    </row>
    <row r="130" spans="8:52" ht="15.75">
      <c r="H130" s="36"/>
      <c r="I130" s="36"/>
      <c r="J130" s="36"/>
      <c r="L130" s="34"/>
      <c r="N130" s="8"/>
      <c r="O130" s="8"/>
      <c r="P130" s="8"/>
      <c r="S130" s="38"/>
      <c r="T130" s="38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U130" s="8"/>
      <c r="AV130" s="8"/>
      <c r="AW130" s="8"/>
      <c r="AX130" s="8"/>
      <c r="AY130" s="8"/>
      <c r="AZ130" s="8"/>
    </row>
    <row r="131" spans="8:52" ht="15.75">
      <c r="H131" s="36"/>
      <c r="I131" s="36"/>
      <c r="J131" s="36"/>
      <c r="L131" s="34"/>
      <c r="N131" s="8"/>
      <c r="O131" s="8"/>
      <c r="P131" s="8"/>
      <c r="S131" s="38"/>
      <c r="T131" s="38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U131" s="8"/>
      <c r="AV131" s="8"/>
      <c r="AW131" s="8"/>
      <c r="AX131" s="8"/>
      <c r="AY131" s="8"/>
      <c r="AZ131" s="8"/>
    </row>
    <row r="132" spans="8:52" ht="15.75">
      <c r="H132" s="36"/>
      <c r="I132" s="36"/>
      <c r="J132" s="36"/>
      <c r="L132" s="34"/>
      <c r="N132" s="8"/>
      <c r="O132" s="8"/>
      <c r="P132" s="8"/>
      <c r="S132" s="38"/>
      <c r="T132" s="38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U132" s="8"/>
      <c r="AV132" s="8"/>
      <c r="AW132" s="8"/>
      <c r="AX132" s="8"/>
      <c r="AY132" s="8"/>
      <c r="AZ132" s="8"/>
    </row>
    <row r="133" spans="8:52" ht="15.75">
      <c r="H133" s="36"/>
      <c r="I133" s="36"/>
      <c r="J133" s="36"/>
      <c r="K133" s="34"/>
      <c r="L133" s="34"/>
      <c r="S133" s="38"/>
      <c r="T133" s="38"/>
      <c r="U133" s="27"/>
      <c r="V133" s="27"/>
      <c r="Y133" s="27"/>
      <c r="Z133" s="27"/>
      <c r="AA133" s="27"/>
      <c r="AB133" s="27"/>
      <c r="AC133" s="27"/>
      <c r="AD133" s="27"/>
      <c r="AE133" s="27"/>
      <c r="AF133" s="27"/>
      <c r="AU133" s="8"/>
      <c r="AV133" s="8"/>
      <c r="AW133" s="8"/>
      <c r="AX133" s="8"/>
      <c r="AY133" s="8"/>
      <c r="AZ133" s="8"/>
    </row>
    <row r="134" spans="8:52" ht="15.75">
      <c r="H134" s="36"/>
      <c r="I134" s="36"/>
      <c r="J134" s="36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27"/>
      <c r="Z134" s="27"/>
      <c r="AA134" s="27"/>
      <c r="AB134" s="27"/>
      <c r="AC134" s="27"/>
      <c r="AD134" s="27"/>
      <c r="AE134" s="27"/>
      <c r="AF134" s="27"/>
      <c r="AU134" s="8"/>
      <c r="AV134" s="8"/>
      <c r="AW134" s="8"/>
      <c r="AX134" s="8"/>
      <c r="AY134" s="8"/>
      <c r="AZ134" s="8"/>
    </row>
    <row r="135" spans="8:52" ht="15.75">
      <c r="H135" s="36"/>
      <c r="I135" s="36"/>
      <c r="J135" s="36"/>
      <c r="K135" s="34"/>
      <c r="L135" s="34"/>
      <c r="N135" s="34"/>
      <c r="S135" s="34"/>
      <c r="T135" s="34"/>
      <c r="U135" s="34"/>
      <c r="V135" s="34"/>
      <c r="W135" s="34"/>
      <c r="X135" s="34"/>
      <c r="Y135" s="27"/>
      <c r="Z135" s="27"/>
      <c r="AA135" s="27"/>
      <c r="AB135" s="27"/>
      <c r="AC135" s="27"/>
      <c r="AD135" s="27"/>
      <c r="AE135" s="27"/>
      <c r="AF135" s="27"/>
      <c r="AU135" s="8"/>
      <c r="AV135" s="8"/>
      <c r="AW135" s="8"/>
      <c r="AX135" s="8"/>
      <c r="AY135" s="8"/>
      <c r="AZ135" s="8"/>
    </row>
    <row r="136" spans="8:52" ht="15.75">
      <c r="H136" s="36"/>
      <c r="I136" s="36"/>
      <c r="J136" s="36"/>
      <c r="K136" s="34"/>
      <c r="L136" s="34"/>
      <c r="N136" s="34"/>
      <c r="S136" s="34"/>
      <c r="T136" s="34"/>
      <c r="U136" s="34"/>
      <c r="V136" s="34"/>
      <c r="W136" s="34"/>
      <c r="X136" s="34"/>
      <c r="Y136" s="27"/>
      <c r="Z136" s="27"/>
      <c r="AA136" s="27"/>
      <c r="AB136" s="27"/>
      <c r="AC136" s="27"/>
      <c r="AD136" s="27"/>
      <c r="AE136" s="27"/>
      <c r="AF136" s="27"/>
      <c r="AU136" s="8"/>
      <c r="AV136" s="8"/>
      <c r="AW136" s="8"/>
      <c r="AX136" s="8"/>
      <c r="AY136" s="8"/>
      <c r="AZ136" s="8"/>
    </row>
    <row r="137" spans="8:52" ht="15.75">
      <c r="H137" s="36"/>
      <c r="I137" s="36"/>
      <c r="J137" s="36"/>
      <c r="K137" s="34"/>
      <c r="L137" s="34"/>
      <c r="N137" s="34"/>
      <c r="S137" s="34"/>
      <c r="T137" s="34"/>
      <c r="U137" s="34"/>
      <c r="V137" s="34"/>
      <c r="W137" s="34"/>
      <c r="X137" s="34"/>
      <c r="Y137" s="27"/>
      <c r="Z137" s="27"/>
      <c r="AA137" s="27"/>
      <c r="AB137" s="27"/>
      <c r="AC137" s="27"/>
      <c r="AD137" s="27"/>
      <c r="AE137" s="27"/>
      <c r="AF137" s="27"/>
      <c r="AU137" s="8"/>
      <c r="AV137" s="8"/>
      <c r="AW137" s="8"/>
      <c r="AX137" s="8"/>
      <c r="AY137" s="8"/>
      <c r="AZ137" s="8"/>
    </row>
    <row r="138" spans="8:52" ht="15.75">
      <c r="H138" s="36"/>
      <c r="I138" s="36"/>
      <c r="J138" s="36"/>
      <c r="K138" s="34"/>
      <c r="L138" s="34"/>
      <c r="N138" s="34"/>
      <c r="S138" s="34"/>
      <c r="T138" s="34"/>
      <c r="U138" s="34"/>
      <c r="V138" s="34"/>
      <c r="W138" s="34"/>
      <c r="X138" s="34"/>
      <c r="Y138" s="27"/>
      <c r="Z138" s="27"/>
      <c r="AA138" s="27"/>
      <c r="AB138" s="27"/>
      <c r="AC138" s="27"/>
      <c r="AD138" s="27"/>
      <c r="AE138" s="27"/>
      <c r="AF138" s="27"/>
      <c r="AU138" s="8"/>
      <c r="AV138" s="8"/>
      <c r="AW138" s="8"/>
      <c r="AX138" s="8"/>
      <c r="AY138" s="8"/>
      <c r="AZ138" s="8"/>
    </row>
    <row r="139" spans="8:52" ht="15.75">
      <c r="H139" s="36"/>
      <c r="I139" s="36"/>
      <c r="J139" s="36"/>
      <c r="K139" s="34"/>
      <c r="L139" s="34"/>
      <c r="N139" s="34"/>
      <c r="S139" s="34"/>
      <c r="T139" s="34"/>
      <c r="U139" s="34"/>
      <c r="V139" s="34"/>
      <c r="W139" s="34"/>
      <c r="X139" s="34"/>
      <c r="AU139" s="8"/>
      <c r="AV139" s="8"/>
      <c r="AW139" s="8"/>
      <c r="AX139" s="8"/>
      <c r="AY139" s="8"/>
      <c r="AZ139" s="8"/>
    </row>
    <row r="140" spans="8:52" ht="15.75">
      <c r="H140" s="36"/>
      <c r="I140" s="36"/>
      <c r="J140" s="36"/>
      <c r="K140" s="34"/>
      <c r="L140" s="34"/>
      <c r="N140" s="34"/>
      <c r="S140" s="34"/>
      <c r="T140" s="34"/>
      <c r="U140" s="34"/>
      <c r="V140" s="34"/>
      <c r="W140" s="34"/>
      <c r="X140" s="34"/>
      <c r="AU140" s="8"/>
      <c r="AV140" s="8"/>
      <c r="AW140" s="8"/>
      <c r="AX140" s="8"/>
      <c r="AY140" s="8"/>
      <c r="AZ140" s="8"/>
    </row>
    <row r="141" spans="8:52" ht="15.75">
      <c r="H141" s="36"/>
      <c r="I141" s="36"/>
      <c r="J141" s="36"/>
      <c r="K141" s="34"/>
      <c r="L141" s="34"/>
      <c r="N141" s="34"/>
      <c r="S141" s="34"/>
      <c r="T141" s="34"/>
      <c r="U141" s="34"/>
      <c r="V141" s="34"/>
      <c r="W141" s="34"/>
      <c r="X141" s="34"/>
      <c r="AU141" s="8"/>
      <c r="AV141" s="8"/>
      <c r="AW141" s="8"/>
      <c r="AX141" s="8"/>
      <c r="AY141" s="8"/>
      <c r="AZ141" s="8"/>
    </row>
    <row r="142" spans="8:52" ht="15.75">
      <c r="H142" s="36"/>
      <c r="I142" s="36"/>
      <c r="J142" s="36"/>
      <c r="K142" s="34"/>
      <c r="L142" s="34"/>
      <c r="N142" s="34"/>
      <c r="S142" s="34"/>
      <c r="T142" s="34"/>
      <c r="U142" s="34"/>
      <c r="V142" s="34"/>
      <c r="W142" s="34"/>
      <c r="X142" s="34"/>
      <c r="AU142" s="8"/>
      <c r="AV142" s="8"/>
      <c r="AW142" s="8"/>
      <c r="AX142" s="8"/>
      <c r="AY142" s="8"/>
      <c r="AZ142" s="8"/>
    </row>
    <row r="143" spans="8:52" ht="15.75">
      <c r="H143" s="36"/>
      <c r="I143" s="36"/>
      <c r="J143" s="36"/>
      <c r="K143" s="34"/>
      <c r="L143" s="34"/>
      <c r="N143" s="34"/>
      <c r="S143" s="34"/>
      <c r="T143" s="34"/>
      <c r="U143" s="34"/>
      <c r="V143" s="34"/>
      <c r="W143" s="34"/>
      <c r="X143" s="34"/>
      <c r="AU143" s="8"/>
      <c r="AV143" s="8"/>
      <c r="AW143" s="8"/>
      <c r="AX143" s="8"/>
      <c r="AY143" s="8"/>
      <c r="AZ143" s="8"/>
    </row>
    <row r="144" spans="8:52" ht="15.75">
      <c r="H144" s="36"/>
      <c r="I144" s="36"/>
      <c r="J144" s="36"/>
      <c r="K144" s="34"/>
      <c r="L144" s="34"/>
      <c r="N144" s="34"/>
      <c r="S144" s="34"/>
      <c r="T144" s="34"/>
      <c r="U144" s="34"/>
      <c r="V144" s="34"/>
      <c r="W144" s="34"/>
      <c r="X144" s="34"/>
      <c r="AU144" s="8"/>
      <c r="AV144" s="8"/>
      <c r="AW144" s="8"/>
      <c r="AX144" s="8"/>
      <c r="AY144" s="8"/>
      <c r="AZ144" s="8"/>
    </row>
    <row r="145" spans="8:52" ht="15.75">
      <c r="H145" s="36"/>
      <c r="I145" s="36"/>
      <c r="J145" s="36"/>
      <c r="K145" s="34"/>
      <c r="L145" s="34"/>
      <c r="N145" s="34"/>
      <c r="S145" s="34"/>
      <c r="T145" s="34"/>
      <c r="U145" s="34"/>
      <c r="V145" s="34"/>
      <c r="W145" s="34"/>
      <c r="X145" s="34"/>
      <c r="AU145" s="8"/>
      <c r="AV145" s="8"/>
      <c r="AW145" s="8"/>
      <c r="AX145" s="8"/>
      <c r="AY145" s="8"/>
      <c r="AZ145" s="8"/>
    </row>
    <row r="146" spans="8:52" ht="15.75">
      <c r="H146" s="36"/>
      <c r="I146" s="36"/>
      <c r="J146" s="36"/>
      <c r="K146" s="34"/>
      <c r="L146" s="34"/>
      <c r="N146" s="34"/>
      <c r="S146" s="34"/>
      <c r="T146" s="34"/>
      <c r="U146" s="34"/>
      <c r="V146" s="34"/>
      <c r="W146" s="34"/>
      <c r="X146" s="34"/>
      <c r="AU146" s="8"/>
      <c r="AV146" s="8"/>
      <c r="AW146" s="8"/>
      <c r="AX146" s="8"/>
      <c r="AY146" s="8"/>
      <c r="AZ146" s="8"/>
    </row>
    <row r="147" spans="8:52" ht="15.75">
      <c r="H147" s="36"/>
      <c r="I147" s="36"/>
      <c r="J147" s="36"/>
      <c r="K147" s="34"/>
      <c r="L147" s="34"/>
      <c r="N147" s="34"/>
      <c r="S147" s="34"/>
      <c r="T147" s="34"/>
      <c r="U147" s="34"/>
      <c r="V147" s="34"/>
      <c r="W147" s="34"/>
      <c r="X147" s="34"/>
      <c r="AU147" s="8"/>
      <c r="AV147" s="8"/>
      <c r="AW147" s="8"/>
      <c r="AX147" s="8"/>
      <c r="AY147" s="8"/>
      <c r="AZ147" s="8"/>
    </row>
    <row r="148" spans="8:52" ht="15.75">
      <c r="H148" s="36"/>
      <c r="I148" s="36"/>
      <c r="J148" s="36"/>
      <c r="K148" s="34"/>
      <c r="L148" s="34"/>
      <c r="N148" s="34"/>
      <c r="S148" s="34"/>
      <c r="T148" s="34"/>
      <c r="U148" s="34"/>
      <c r="V148" s="34"/>
      <c r="W148" s="34"/>
      <c r="X148" s="34"/>
      <c r="AU148" s="8"/>
      <c r="AV148" s="8"/>
      <c r="AW148" s="8"/>
      <c r="AX148" s="8"/>
      <c r="AY148" s="8"/>
      <c r="AZ148" s="8"/>
    </row>
    <row r="149" spans="8:52" ht="15.75">
      <c r="H149" s="36"/>
      <c r="I149" s="36"/>
      <c r="J149" s="36"/>
      <c r="K149" s="34"/>
      <c r="L149" s="34"/>
      <c r="N149" s="34"/>
      <c r="S149" s="34"/>
      <c r="T149" s="34"/>
      <c r="U149" s="34"/>
      <c r="V149" s="34"/>
      <c r="W149" s="34"/>
      <c r="X149" s="34"/>
      <c r="AU149" s="8"/>
      <c r="AV149" s="8"/>
      <c r="AW149" s="8"/>
      <c r="AX149" s="8"/>
      <c r="AY149" s="8"/>
      <c r="AZ149" s="8"/>
    </row>
    <row r="150" spans="8:52" ht="15.75">
      <c r="H150" s="36"/>
      <c r="I150" s="36"/>
      <c r="J150" s="36"/>
      <c r="K150" s="34"/>
      <c r="L150" s="34"/>
      <c r="N150" s="34"/>
      <c r="S150" s="34"/>
      <c r="T150" s="34"/>
      <c r="U150" s="34"/>
      <c r="V150" s="34"/>
      <c r="W150" s="34"/>
      <c r="X150" s="34"/>
      <c r="AU150" s="8"/>
      <c r="AV150" s="8"/>
      <c r="AW150" s="8"/>
      <c r="AX150" s="8"/>
      <c r="AY150" s="8"/>
      <c r="AZ150" s="8"/>
    </row>
    <row r="151" spans="8:52" ht="15.75">
      <c r="H151" s="36"/>
      <c r="I151" s="36"/>
      <c r="J151" s="36"/>
      <c r="K151" s="34"/>
      <c r="L151" s="34"/>
      <c r="N151" s="34"/>
      <c r="S151" s="34"/>
      <c r="T151" s="34"/>
      <c r="U151" s="34"/>
      <c r="V151" s="34"/>
      <c r="W151" s="34"/>
      <c r="X151" s="34"/>
      <c r="AU151" s="8"/>
      <c r="AV151" s="8"/>
      <c r="AW151" s="8"/>
      <c r="AX151" s="8"/>
      <c r="AY151" s="8"/>
      <c r="AZ151" s="8"/>
    </row>
    <row r="152" spans="8:52" ht="15.75">
      <c r="H152" s="36"/>
      <c r="I152" s="36"/>
      <c r="J152" s="36"/>
      <c r="K152" s="34"/>
      <c r="L152" s="34"/>
      <c r="N152" s="34"/>
      <c r="S152" s="34"/>
      <c r="T152" s="34"/>
      <c r="U152" s="34"/>
      <c r="V152" s="34"/>
      <c r="W152" s="34"/>
      <c r="X152" s="34"/>
      <c r="AU152" s="8"/>
      <c r="AV152" s="8"/>
      <c r="AW152" s="8"/>
      <c r="AX152" s="8"/>
      <c r="AY152" s="8"/>
      <c r="AZ152" s="8"/>
    </row>
    <row r="153" spans="8:52" ht="15.75">
      <c r="H153" s="36"/>
      <c r="I153" s="36"/>
      <c r="J153" s="36"/>
      <c r="K153" s="34"/>
      <c r="L153" s="34"/>
      <c r="N153" s="34"/>
      <c r="S153" s="34"/>
      <c r="T153" s="34"/>
      <c r="U153" s="34"/>
      <c r="V153" s="34"/>
      <c r="W153" s="34"/>
      <c r="X153" s="34"/>
      <c r="AU153" s="8"/>
      <c r="AV153" s="8"/>
      <c r="AW153" s="8"/>
      <c r="AX153" s="8"/>
      <c r="AY153" s="8"/>
      <c r="AZ153" s="8"/>
    </row>
    <row r="154" spans="8:52" ht="15.75">
      <c r="H154" s="36"/>
      <c r="I154" s="36"/>
      <c r="J154" s="36"/>
      <c r="K154" s="34"/>
      <c r="L154" s="34"/>
      <c r="N154" s="34"/>
      <c r="S154" s="34"/>
      <c r="T154" s="34"/>
      <c r="U154" s="34"/>
      <c r="V154" s="34"/>
      <c r="W154" s="34"/>
      <c r="X154" s="34"/>
      <c r="AU154" s="8"/>
      <c r="AV154" s="8"/>
      <c r="AW154" s="8"/>
      <c r="AX154" s="8"/>
      <c r="AY154" s="8"/>
      <c r="AZ154" s="8"/>
    </row>
    <row r="155" spans="8:52" ht="15.75">
      <c r="H155" s="36"/>
      <c r="I155" s="36"/>
      <c r="J155" s="36"/>
      <c r="K155" s="34"/>
      <c r="L155" s="34"/>
      <c r="N155" s="34"/>
      <c r="S155" s="34"/>
      <c r="T155" s="34"/>
      <c r="U155" s="34"/>
      <c r="V155" s="34"/>
      <c r="W155" s="34"/>
      <c r="X155" s="34"/>
      <c r="AU155" s="8"/>
      <c r="AV155" s="8"/>
      <c r="AW155" s="8"/>
      <c r="AX155" s="8"/>
      <c r="AY155" s="8"/>
      <c r="AZ155" s="8"/>
    </row>
    <row r="156" spans="8:52" ht="15.75">
      <c r="H156" s="36"/>
      <c r="I156" s="36"/>
      <c r="J156" s="36"/>
      <c r="K156" s="34"/>
      <c r="L156" s="34"/>
      <c r="N156" s="34"/>
      <c r="S156" s="34"/>
      <c r="T156" s="34"/>
      <c r="U156" s="34"/>
      <c r="V156" s="34"/>
      <c r="W156" s="34"/>
      <c r="X156" s="34"/>
      <c r="AU156" s="8"/>
      <c r="AV156" s="8"/>
      <c r="AW156" s="8"/>
      <c r="AX156" s="8"/>
      <c r="AY156" s="8"/>
      <c r="AZ156" s="8"/>
    </row>
    <row r="157" spans="8:52" ht="15.75">
      <c r="H157" s="36"/>
      <c r="I157" s="36"/>
      <c r="J157" s="36"/>
      <c r="K157" s="34"/>
      <c r="L157" s="34"/>
      <c r="N157" s="34"/>
      <c r="S157" s="34"/>
      <c r="T157" s="34"/>
      <c r="U157" s="34"/>
      <c r="V157" s="34"/>
      <c r="W157" s="34"/>
      <c r="X157" s="34"/>
      <c r="AU157" s="8"/>
      <c r="AV157" s="8"/>
      <c r="AW157" s="8"/>
      <c r="AX157" s="8"/>
      <c r="AY157" s="8"/>
      <c r="AZ157" s="8"/>
    </row>
    <row r="158" spans="8:52" ht="15.75">
      <c r="H158" s="36"/>
      <c r="I158" s="36"/>
      <c r="J158" s="36"/>
      <c r="K158" s="34"/>
      <c r="L158" s="34"/>
      <c r="N158" s="34"/>
      <c r="S158" s="34"/>
      <c r="T158" s="34"/>
      <c r="U158" s="34"/>
      <c r="V158" s="34"/>
      <c r="W158" s="34"/>
      <c r="X158" s="34"/>
      <c r="AU158" s="8"/>
      <c r="AV158" s="8"/>
      <c r="AW158" s="8"/>
      <c r="AX158" s="8"/>
      <c r="AY158" s="8"/>
      <c r="AZ158" s="8"/>
    </row>
    <row r="159" spans="8:52" ht="15.75">
      <c r="H159" s="36"/>
      <c r="I159" s="36"/>
      <c r="J159" s="36"/>
      <c r="K159" s="34"/>
      <c r="L159" s="34"/>
      <c r="N159" s="34"/>
      <c r="S159" s="34"/>
      <c r="T159" s="34"/>
      <c r="U159" s="34"/>
      <c r="V159" s="34"/>
      <c r="W159" s="34"/>
      <c r="X159" s="34"/>
      <c r="AU159" s="8"/>
      <c r="AV159" s="8"/>
      <c r="AW159" s="8"/>
      <c r="AX159" s="8"/>
      <c r="AY159" s="8"/>
      <c r="AZ159" s="8"/>
    </row>
    <row r="160" spans="8:52" ht="15.75">
      <c r="H160" s="36"/>
      <c r="I160" s="36"/>
      <c r="J160" s="36"/>
      <c r="K160" s="34"/>
      <c r="L160" s="34"/>
      <c r="N160" s="34"/>
      <c r="S160" s="34"/>
      <c r="T160" s="34"/>
      <c r="U160" s="34"/>
      <c r="V160" s="34"/>
      <c r="W160" s="34"/>
      <c r="X160" s="34"/>
      <c r="AU160" s="8"/>
      <c r="AV160" s="8"/>
      <c r="AW160" s="8"/>
      <c r="AX160" s="8"/>
      <c r="AY160" s="8"/>
      <c r="AZ160" s="8"/>
    </row>
    <row r="161" spans="8:52" ht="15.75">
      <c r="H161" s="36"/>
      <c r="I161" s="36"/>
      <c r="J161" s="36"/>
      <c r="K161" s="34"/>
      <c r="L161" s="34"/>
      <c r="N161" s="34"/>
      <c r="S161" s="34"/>
      <c r="T161" s="34"/>
      <c r="U161" s="34"/>
      <c r="V161" s="34"/>
      <c r="W161" s="34"/>
      <c r="X161" s="34"/>
      <c r="AU161" s="8"/>
      <c r="AV161" s="8"/>
      <c r="AW161" s="8"/>
      <c r="AX161" s="8"/>
      <c r="AY161" s="8"/>
      <c r="AZ161" s="8"/>
    </row>
    <row r="162" spans="8:52" ht="15.75">
      <c r="H162" s="36"/>
      <c r="I162" s="36"/>
      <c r="J162" s="36"/>
      <c r="K162" s="34"/>
      <c r="L162" s="34"/>
      <c r="N162" s="34"/>
      <c r="S162" s="34"/>
      <c r="T162" s="34"/>
      <c r="U162" s="34"/>
      <c r="V162" s="34"/>
      <c r="W162" s="34"/>
      <c r="X162" s="34"/>
      <c r="AU162" s="8"/>
      <c r="AV162" s="8"/>
      <c r="AW162" s="8"/>
      <c r="AX162" s="8"/>
      <c r="AY162" s="8"/>
      <c r="AZ162" s="8"/>
    </row>
    <row r="163" spans="8:52" ht="15.75">
      <c r="H163" s="36"/>
      <c r="I163" s="36"/>
      <c r="J163" s="36"/>
      <c r="K163" s="34"/>
      <c r="L163" s="34"/>
      <c r="N163" s="34"/>
      <c r="S163" s="34"/>
      <c r="T163" s="34"/>
      <c r="U163" s="34"/>
      <c r="V163" s="34"/>
      <c r="W163" s="34"/>
      <c r="X163" s="34"/>
      <c r="AU163" s="8"/>
      <c r="AV163" s="8"/>
      <c r="AW163" s="8"/>
      <c r="AX163" s="8"/>
      <c r="AY163" s="8"/>
      <c r="AZ163" s="8"/>
    </row>
    <row r="164" spans="8:52" ht="15.75">
      <c r="H164" s="36"/>
      <c r="I164" s="36"/>
      <c r="J164" s="36"/>
      <c r="K164" s="34"/>
      <c r="L164" s="34"/>
      <c r="N164" s="34"/>
      <c r="S164" s="34"/>
      <c r="T164" s="34"/>
      <c r="U164" s="34"/>
      <c r="V164" s="34"/>
      <c r="W164" s="34"/>
      <c r="X164" s="34"/>
      <c r="AU164" s="8"/>
      <c r="AV164" s="8"/>
      <c r="AW164" s="8"/>
      <c r="AX164" s="8"/>
      <c r="AY164" s="8"/>
      <c r="AZ164" s="8"/>
    </row>
    <row r="165" spans="8:52" ht="15.75">
      <c r="H165" s="36"/>
      <c r="I165" s="36"/>
      <c r="J165" s="36"/>
      <c r="K165" s="34"/>
      <c r="L165" s="34"/>
      <c r="N165" s="34"/>
      <c r="S165" s="34"/>
      <c r="T165" s="34"/>
      <c r="U165" s="34"/>
      <c r="V165" s="34"/>
      <c r="W165" s="34"/>
      <c r="X165" s="34"/>
      <c r="AU165" s="8"/>
      <c r="AV165" s="8"/>
      <c r="AW165" s="8"/>
      <c r="AX165" s="8"/>
      <c r="AY165" s="8"/>
      <c r="AZ165" s="8"/>
    </row>
    <row r="166" spans="8:52" ht="15.75">
      <c r="H166" s="36"/>
      <c r="I166" s="36"/>
      <c r="J166" s="36"/>
      <c r="K166" s="34"/>
      <c r="L166" s="34"/>
      <c r="N166" s="34"/>
      <c r="S166" s="34"/>
      <c r="T166" s="34"/>
      <c r="U166" s="34"/>
      <c r="V166" s="34"/>
      <c r="W166" s="34"/>
      <c r="X166" s="34"/>
      <c r="AU166" s="8"/>
      <c r="AV166" s="8"/>
      <c r="AW166" s="8"/>
      <c r="AX166" s="8"/>
      <c r="AY166" s="8"/>
      <c r="AZ166" s="8"/>
    </row>
    <row r="167" spans="8:52" ht="15.75">
      <c r="H167" s="36"/>
      <c r="I167" s="36"/>
      <c r="J167" s="36"/>
      <c r="K167" s="34"/>
      <c r="L167" s="34"/>
      <c r="N167" s="34"/>
      <c r="S167" s="34"/>
      <c r="T167" s="34"/>
      <c r="U167" s="34"/>
      <c r="V167" s="34"/>
      <c r="W167" s="34"/>
      <c r="X167" s="34"/>
      <c r="AU167" s="8"/>
      <c r="AV167" s="8"/>
      <c r="AW167" s="8"/>
      <c r="AX167" s="8"/>
      <c r="AY167" s="8"/>
      <c r="AZ167" s="8"/>
    </row>
    <row r="168" spans="8:52" ht="15.75">
      <c r="H168" s="36"/>
      <c r="I168" s="36"/>
      <c r="J168" s="36"/>
      <c r="K168" s="34"/>
      <c r="L168" s="34"/>
      <c r="N168" s="34"/>
      <c r="S168" s="34"/>
      <c r="T168" s="34"/>
      <c r="U168" s="34"/>
      <c r="V168" s="34"/>
      <c r="W168" s="34"/>
      <c r="X168" s="34"/>
      <c r="AU168" s="8"/>
      <c r="AV168" s="8"/>
      <c r="AW168" s="8"/>
      <c r="AX168" s="8"/>
      <c r="AY168" s="8"/>
      <c r="AZ168" s="8"/>
    </row>
    <row r="169" spans="8:52" ht="15.75">
      <c r="H169" s="36"/>
      <c r="I169" s="36"/>
      <c r="J169" s="36"/>
      <c r="K169" s="34"/>
      <c r="L169" s="34"/>
      <c r="N169" s="34"/>
      <c r="S169" s="34"/>
      <c r="T169" s="34"/>
      <c r="U169" s="34"/>
      <c r="V169" s="34"/>
      <c r="W169" s="34"/>
      <c r="X169" s="34"/>
      <c r="AU169" s="8"/>
      <c r="AV169" s="8"/>
      <c r="AW169" s="8"/>
      <c r="AX169" s="8"/>
      <c r="AY169" s="8"/>
      <c r="AZ169" s="8"/>
    </row>
    <row r="170" spans="8:52" ht="15.75">
      <c r="H170" s="36"/>
      <c r="I170" s="36"/>
      <c r="J170" s="36"/>
      <c r="K170" s="34"/>
      <c r="L170" s="34"/>
      <c r="N170" s="34"/>
      <c r="S170" s="34"/>
      <c r="T170" s="34"/>
      <c r="U170" s="34"/>
      <c r="V170" s="34"/>
      <c r="W170" s="34"/>
      <c r="X170" s="34"/>
      <c r="AU170" s="8"/>
      <c r="AV170" s="8"/>
      <c r="AW170" s="8"/>
      <c r="AX170" s="8"/>
      <c r="AY170" s="8"/>
      <c r="AZ170" s="8"/>
    </row>
    <row r="171" spans="8:52" ht="15.75">
      <c r="H171" s="36"/>
      <c r="I171" s="36"/>
      <c r="J171" s="36"/>
      <c r="K171" s="34"/>
      <c r="L171" s="34"/>
      <c r="N171" s="34"/>
      <c r="S171" s="34"/>
      <c r="T171" s="34"/>
      <c r="U171" s="34"/>
      <c r="V171" s="34"/>
      <c r="W171" s="34"/>
      <c r="X171" s="34"/>
      <c r="AU171" s="8"/>
      <c r="AV171" s="8"/>
      <c r="AW171" s="8"/>
      <c r="AX171" s="8"/>
      <c r="AY171" s="8"/>
      <c r="AZ171" s="8"/>
    </row>
    <row r="172" spans="8:52" ht="15.75">
      <c r="H172" s="36"/>
      <c r="I172" s="36"/>
      <c r="J172" s="36"/>
      <c r="K172" s="34"/>
      <c r="L172" s="34"/>
      <c r="N172" s="34"/>
      <c r="S172" s="34"/>
      <c r="T172" s="34"/>
      <c r="U172" s="34"/>
      <c r="V172" s="34"/>
      <c r="W172" s="34"/>
      <c r="X172" s="34"/>
      <c r="AU172" s="8"/>
      <c r="AV172" s="8"/>
      <c r="AW172" s="8"/>
      <c r="AX172" s="8"/>
      <c r="AY172" s="8"/>
      <c r="AZ172" s="8"/>
    </row>
    <row r="173" spans="8:52" ht="15.75">
      <c r="H173" s="36"/>
      <c r="I173" s="36"/>
      <c r="J173" s="36"/>
      <c r="K173" s="34"/>
      <c r="L173" s="34"/>
      <c r="N173" s="34"/>
      <c r="S173" s="34"/>
      <c r="T173" s="34"/>
      <c r="U173" s="34"/>
      <c r="V173" s="34"/>
      <c r="W173" s="34"/>
      <c r="X173" s="34"/>
      <c r="AU173" s="8"/>
      <c r="AV173" s="8"/>
      <c r="AW173" s="8"/>
      <c r="AX173" s="8"/>
      <c r="AY173" s="8"/>
      <c r="AZ173" s="8"/>
    </row>
    <row r="174" spans="8:52" ht="15.75">
      <c r="H174" s="36"/>
      <c r="I174" s="36"/>
      <c r="J174" s="36"/>
      <c r="K174" s="34"/>
      <c r="L174" s="34"/>
      <c r="N174" s="34"/>
      <c r="S174" s="34"/>
      <c r="T174" s="34"/>
      <c r="U174" s="34"/>
      <c r="V174" s="34"/>
      <c r="W174" s="34"/>
      <c r="X174" s="34"/>
      <c r="AU174" s="8"/>
      <c r="AV174" s="8"/>
      <c r="AW174" s="8"/>
      <c r="AX174" s="8"/>
      <c r="AY174" s="8"/>
      <c r="AZ174" s="8"/>
    </row>
    <row r="175" spans="8:52" ht="15.75">
      <c r="H175" s="36"/>
      <c r="I175" s="36"/>
      <c r="J175" s="36"/>
      <c r="K175" s="34"/>
      <c r="L175" s="34"/>
      <c r="N175" s="34"/>
      <c r="S175" s="34"/>
      <c r="T175" s="34"/>
      <c r="U175" s="34"/>
      <c r="V175" s="34"/>
      <c r="W175" s="34"/>
      <c r="X175" s="34"/>
      <c r="AU175" s="8"/>
      <c r="AV175" s="8"/>
      <c r="AW175" s="8"/>
      <c r="AX175" s="8"/>
      <c r="AY175" s="8"/>
      <c r="AZ175" s="8"/>
    </row>
    <row r="176" spans="8:52" ht="15.75">
      <c r="H176" s="36"/>
      <c r="I176" s="36"/>
      <c r="J176" s="36"/>
      <c r="K176" s="34"/>
      <c r="L176" s="34"/>
      <c r="N176" s="34"/>
      <c r="S176" s="34"/>
      <c r="T176" s="34"/>
      <c r="U176" s="34"/>
      <c r="V176" s="34"/>
      <c r="W176" s="34"/>
      <c r="X176" s="34"/>
      <c r="AU176" s="8"/>
      <c r="AV176" s="8"/>
      <c r="AW176" s="8"/>
      <c r="AX176" s="8"/>
      <c r="AY176" s="8"/>
      <c r="AZ176" s="8"/>
    </row>
    <row r="177" spans="8:52" ht="15.75">
      <c r="H177" s="36"/>
      <c r="I177" s="36"/>
      <c r="J177" s="36"/>
      <c r="K177" s="34"/>
      <c r="L177" s="34"/>
      <c r="N177" s="34"/>
      <c r="S177" s="34"/>
      <c r="T177" s="34"/>
      <c r="U177" s="34"/>
      <c r="V177" s="34"/>
      <c r="W177" s="34"/>
      <c r="X177" s="34"/>
      <c r="AU177" s="8"/>
      <c r="AV177" s="8"/>
      <c r="AW177" s="8"/>
      <c r="AX177" s="8"/>
      <c r="AY177" s="8"/>
      <c r="AZ177" s="8"/>
    </row>
    <row r="178" spans="8:52" ht="15.75">
      <c r="H178" s="36"/>
      <c r="I178" s="36"/>
      <c r="J178" s="36"/>
      <c r="K178" s="34"/>
      <c r="L178" s="34"/>
      <c r="N178" s="34"/>
      <c r="S178" s="34"/>
      <c r="T178" s="34"/>
      <c r="U178" s="34"/>
      <c r="V178" s="34"/>
      <c r="W178" s="34"/>
      <c r="X178" s="34"/>
      <c r="AU178" s="8"/>
      <c r="AV178" s="8"/>
      <c r="AW178" s="8"/>
      <c r="AX178" s="8"/>
      <c r="AY178" s="8"/>
      <c r="AZ178" s="8"/>
    </row>
    <row r="179" spans="8:52" ht="15.75">
      <c r="H179" s="36"/>
      <c r="I179" s="36"/>
      <c r="J179" s="36"/>
      <c r="K179" s="34"/>
      <c r="L179" s="34"/>
      <c r="N179" s="34"/>
      <c r="S179" s="34"/>
      <c r="T179" s="34"/>
      <c r="U179" s="34"/>
      <c r="V179" s="34"/>
      <c r="W179" s="34"/>
      <c r="X179" s="34"/>
      <c r="AU179" s="8"/>
      <c r="AV179" s="8"/>
      <c r="AW179" s="8"/>
      <c r="AX179" s="8"/>
      <c r="AY179" s="8"/>
      <c r="AZ179" s="8"/>
    </row>
    <row r="180" spans="8:52" ht="15.75">
      <c r="H180" s="36"/>
      <c r="I180" s="36"/>
      <c r="J180" s="36"/>
      <c r="K180" s="34"/>
      <c r="L180" s="34"/>
      <c r="N180" s="34"/>
      <c r="S180" s="34"/>
      <c r="T180" s="34"/>
      <c r="U180" s="34"/>
      <c r="V180" s="34"/>
      <c r="W180" s="34"/>
      <c r="X180" s="34"/>
      <c r="AU180" s="8"/>
      <c r="AV180" s="8"/>
      <c r="AW180" s="8"/>
      <c r="AX180" s="8"/>
      <c r="AY180" s="8"/>
      <c r="AZ180" s="8"/>
    </row>
    <row r="181" spans="8:52" ht="15.75">
      <c r="H181" s="36"/>
      <c r="I181" s="36"/>
      <c r="J181" s="36"/>
      <c r="K181" s="34"/>
      <c r="L181" s="34"/>
      <c r="N181" s="34"/>
      <c r="S181" s="34"/>
      <c r="T181" s="34"/>
      <c r="U181" s="34"/>
      <c r="V181" s="34"/>
      <c r="W181" s="34"/>
      <c r="X181" s="34"/>
      <c r="AU181" s="8"/>
      <c r="AV181" s="8"/>
      <c r="AW181" s="8"/>
      <c r="AX181" s="8"/>
      <c r="AY181" s="8"/>
      <c r="AZ181" s="8"/>
    </row>
    <row r="182" spans="8:52" ht="15.75">
      <c r="H182" s="36"/>
      <c r="I182" s="36"/>
      <c r="J182" s="36"/>
      <c r="K182" s="34"/>
      <c r="L182" s="34"/>
      <c r="N182" s="34"/>
      <c r="S182" s="34"/>
      <c r="T182" s="34"/>
      <c r="U182" s="34"/>
      <c r="V182" s="34"/>
      <c r="W182" s="34"/>
      <c r="X182" s="34"/>
      <c r="AU182" s="8"/>
      <c r="AV182" s="8"/>
      <c r="AW182" s="8"/>
      <c r="AX182" s="8"/>
      <c r="AY182" s="8"/>
      <c r="AZ182" s="8"/>
    </row>
    <row r="183" spans="8:52" ht="15.75">
      <c r="H183" s="36"/>
      <c r="I183" s="36"/>
      <c r="J183" s="36"/>
      <c r="K183" s="34"/>
      <c r="L183" s="34"/>
      <c r="N183" s="34"/>
      <c r="S183" s="34"/>
      <c r="T183" s="34"/>
      <c r="U183" s="34"/>
      <c r="V183" s="34"/>
      <c r="W183" s="34"/>
      <c r="X183" s="34"/>
      <c r="AU183" s="8"/>
      <c r="AV183" s="8"/>
      <c r="AW183" s="8"/>
      <c r="AX183" s="8"/>
      <c r="AY183" s="8"/>
      <c r="AZ183" s="8"/>
    </row>
    <row r="184" spans="8:52" ht="15.75">
      <c r="H184" s="36"/>
      <c r="I184" s="36"/>
      <c r="J184" s="36"/>
      <c r="K184" s="34"/>
      <c r="L184" s="34"/>
      <c r="N184" s="34"/>
      <c r="S184" s="34"/>
      <c r="T184" s="34"/>
      <c r="U184" s="34"/>
      <c r="V184" s="34"/>
      <c r="W184" s="34"/>
      <c r="X184" s="34"/>
      <c r="AU184" s="8"/>
      <c r="AV184" s="8"/>
      <c r="AW184" s="8"/>
      <c r="AX184" s="8"/>
      <c r="AY184" s="8"/>
      <c r="AZ184" s="8"/>
    </row>
    <row r="185" spans="8:52" ht="15.75">
      <c r="H185" s="36"/>
      <c r="I185" s="36"/>
      <c r="J185" s="36"/>
      <c r="K185" s="34"/>
      <c r="L185" s="34"/>
      <c r="N185" s="34"/>
      <c r="S185" s="34"/>
      <c r="T185" s="34"/>
      <c r="U185" s="34"/>
      <c r="V185" s="34"/>
      <c r="W185" s="34"/>
      <c r="X185" s="34"/>
      <c r="AU185" s="8"/>
      <c r="AV185" s="8"/>
      <c r="AW185" s="8"/>
      <c r="AX185" s="8"/>
      <c r="AY185" s="8"/>
      <c r="AZ185" s="8"/>
    </row>
    <row r="186" spans="8:52" ht="15.75">
      <c r="H186" s="36"/>
      <c r="I186" s="36"/>
      <c r="J186" s="36"/>
      <c r="K186" s="34"/>
      <c r="L186" s="34"/>
      <c r="N186" s="34"/>
      <c r="S186" s="34"/>
      <c r="T186" s="34"/>
      <c r="U186" s="34"/>
      <c r="V186" s="34"/>
      <c r="W186" s="34"/>
      <c r="X186" s="34"/>
      <c r="AU186" s="8"/>
      <c r="AV186" s="8"/>
      <c r="AW186" s="8"/>
      <c r="AX186" s="8"/>
      <c r="AY186" s="8"/>
      <c r="AZ186" s="8"/>
    </row>
    <row r="187" spans="8:52" ht="15.75">
      <c r="H187" s="36"/>
      <c r="I187" s="36"/>
      <c r="J187" s="36"/>
      <c r="K187" s="34"/>
      <c r="L187" s="34"/>
      <c r="N187" s="34"/>
      <c r="S187" s="34"/>
      <c r="T187" s="34"/>
      <c r="U187" s="34"/>
      <c r="V187" s="34"/>
      <c r="W187" s="34"/>
      <c r="X187" s="34"/>
      <c r="AU187" s="8"/>
      <c r="AV187" s="8"/>
      <c r="AW187" s="8"/>
      <c r="AX187" s="8"/>
      <c r="AY187" s="8"/>
      <c r="AZ187" s="8"/>
    </row>
    <row r="188" spans="8:52" ht="15.75">
      <c r="H188" s="36"/>
      <c r="I188" s="36"/>
      <c r="J188" s="36"/>
      <c r="K188" s="34"/>
      <c r="L188" s="34"/>
      <c r="N188" s="34"/>
      <c r="S188" s="34"/>
      <c r="T188" s="34"/>
      <c r="U188" s="34"/>
      <c r="V188" s="34"/>
      <c r="W188" s="34"/>
      <c r="X188" s="34"/>
      <c r="AU188" s="8"/>
      <c r="AV188" s="8"/>
      <c r="AW188" s="8"/>
      <c r="AX188" s="8"/>
      <c r="AY188" s="8"/>
      <c r="AZ188" s="8"/>
    </row>
    <row r="189" spans="8:52" ht="15.75">
      <c r="H189" s="36"/>
      <c r="I189" s="36"/>
      <c r="J189" s="36"/>
      <c r="K189" s="34"/>
      <c r="L189" s="34"/>
      <c r="N189" s="34"/>
      <c r="S189" s="34"/>
      <c r="T189" s="34"/>
      <c r="U189" s="34"/>
      <c r="V189" s="34"/>
      <c r="W189" s="34"/>
      <c r="X189" s="34"/>
      <c r="AU189" s="8"/>
      <c r="AV189" s="8"/>
      <c r="AW189" s="8"/>
      <c r="AX189" s="8"/>
      <c r="AY189" s="8"/>
      <c r="AZ189" s="8"/>
    </row>
    <row r="190" spans="8:52" ht="15.75">
      <c r="H190" s="36"/>
      <c r="I190" s="36"/>
      <c r="J190" s="36"/>
      <c r="K190" s="34"/>
      <c r="L190" s="34"/>
      <c r="N190" s="34"/>
      <c r="S190" s="34"/>
      <c r="T190" s="34"/>
      <c r="U190" s="34"/>
      <c r="V190" s="34"/>
      <c r="W190" s="34"/>
      <c r="X190" s="34"/>
      <c r="AU190" s="8"/>
      <c r="AV190" s="8"/>
      <c r="AW190" s="8"/>
      <c r="AX190" s="8"/>
      <c r="AY190" s="8"/>
      <c r="AZ190" s="8"/>
    </row>
    <row r="191" spans="8:52" ht="15.75">
      <c r="H191" s="36"/>
      <c r="I191" s="36"/>
      <c r="J191" s="36"/>
      <c r="K191" s="34"/>
      <c r="L191" s="34"/>
      <c r="N191" s="34"/>
      <c r="S191" s="34"/>
      <c r="T191" s="34"/>
      <c r="U191" s="34"/>
      <c r="V191" s="34"/>
      <c r="W191" s="34"/>
      <c r="X191" s="34"/>
      <c r="AU191" s="8"/>
      <c r="AV191" s="8"/>
      <c r="AW191" s="8"/>
      <c r="AX191" s="8"/>
      <c r="AY191" s="8"/>
      <c r="AZ191" s="8"/>
    </row>
    <row r="192" spans="8:52" ht="15.75">
      <c r="H192" s="36"/>
      <c r="I192" s="36"/>
      <c r="J192" s="36"/>
      <c r="K192" s="34"/>
      <c r="L192" s="34"/>
      <c r="N192" s="34"/>
      <c r="S192" s="34"/>
      <c r="T192" s="34"/>
      <c r="U192" s="34"/>
      <c r="V192" s="34"/>
      <c r="W192" s="34"/>
      <c r="X192" s="34"/>
      <c r="AU192" s="8"/>
      <c r="AV192" s="8"/>
      <c r="AW192" s="8"/>
      <c r="AX192" s="8"/>
      <c r="AY192" s="8"/>
      <c r="AZ192" s="8"/>
    </row>
    <row r="193" spans="8:52" ht="15.75">
      <c r="H193" s="36"/>
      <c r="I193" s="36"/>
      <c r="J193" s="36"/>
      <c r="K193" s="34"/>
      <c r="L193" s="34"/>
      <c r="N193" s="34"/>
      <c r="S193" s="34"/>
      <c r="T193" s="34"/>
      <c r="U193" s="34"/>
      <c r="V193" s="34"/>
      <c r="W193" s="34"/>
      <c r="X193" s="34"/>
      <c r="AU193" s="8"/>
      <c r="AV193" s="8"/>
      <c r="AW193" s="8"/>
      <c r="AX193" s="8"/>
      <c r="AY193" s="8"/>
      <c r="AZ193" s="8"/>
    </row>
    <row r="194" spans="8:52" ht="15.75">
      <c r="H194" s="36"/>
      <c r="I194" s="36"/>
      <c r="J194" s="36"/>
      <c r="K194" s="34"/>
      <c r="L194" s="34"/>
      <c r="N194" s="34"/>
      <c r="S194" s="34"/>
      <c r="T194" s="34"/>
      <c r="U194" s="34"/>
      <c r="V194" s="34"/>
      <c r="W194" s="34"/>
      <c r="X194" s="34"/>
      <c r="AU194" s="8"/>
      <c r="AV194" s="8"/>
      <c r="AW194" s="8"/>
      <c r="AX194" s="8"/>
      <c r="AY194" s="8"/>
      <c r="AZ194" s="8"/>
    </row>
    <row r="195" spans="8:52" ht="15.75">
      <c r="H195" s="36"/>
      <c r="I195" s="36"/>
      <c r="J195" s="36"/>
      <c r="K195" s="34"/>
      <c r="L195" s="34"/>
      <c r="N195" s="34"/>
      <c r="S195" s="34"/>
      <c r="T195" s="34"/>
      <c r="U195" s="34"/>
      <c r="V195" s="34"/>
      <c r="W195" s="34"/>
      <c r="X195" s="34"/>
      <c r="AU195" s="8"/>
      <c r="AV195" s="8"/>
      <c r="AW195" s="8"/>
      <c r="AX195" s="8"/>
      <c r="AY195" s="8"/>
      <c r="AZ195" s="8"/>
    </row>
    <row r="196" spans="8:52" ht="15.75">
      <c r="H196" s="36"/>
      <c r="I196" s="36"/>
      <c r="J196" s="36"/>
      <c r="K196" s="34"/>
      <c r="L196" s="34"/>
      <c r="N196" s="34"/>
      <c r="S196" s="34"/>
      <c r="T196" s="34"/>
      <c r="U196" s="34"/>
      <c r="V196" s="34"/>
      <c r="W196" s="34"/>
      <c r="X196" s="34"/>
      <c r="AU196" s="8"/>
      <c r="AV196" s="8"/>
      <c r="AW196" s="8"/>
      <c r="AX196" s="8"/>
      <c r="AY196" s="8"/>
      <c r="AZ196" s="8"/>
    </row>
    <row r="197" spans="8:52" ht="15.75">
      <c r="H197" s="36"/>
      <c r="I197" s="36"/>
      <c r="J197" s="36"/>
      <c r="K197" s="34"/>
      <c r="L197" s="34"/>
      <c r="N197" s="34"/>
      <c r="S197" s="34"/>
      <c r="T197" s="34"/>
      <c r="U197" s="34"/>
      <c r="V197" s="34"/>
      <c r="W197" s="34"/>
      <c r="X197" s="34"/>
      <c r="AU197" s="8"/>
      <c r="AV197" s="8"/>
      <c r="AW197" s="8"/>
      <c r="AX197" s="8"/>
      <c r="AY197" s="8"/>
      <c r="AZ197" s="8"/>
    </row>
    <row r="198" spans="8:52" ht="15.75">
      <c r="H198" s="36"/>
      <c r="I198" s="36"/>
      <c r="J198" s="36"/>
      <c r="K198" s="34"/>
      <c r="L198" s="34"/>
      <c r="N198" s="34"/>
      <c r="S198" s="34"/>
      <c r="T198" s="34"/>
      <c r="U198" s="34"/>
      <c r="V198" s="34"/>
      <c r="W198" s="34"/>
      <c r="X198" s="34"/>
      <c r="AU198" s="8"/>
      <c r="AV198" s="8"/>
      <c r="AW198" s="8"/>
      <c r="AX198" s="8"/>
      <c r="AY198" s="8"/>
      <c r="AZ198" s="8"/>
    </row>
    <row r="199" spans="8:52" ht="15.75">
      <c r="H199" s="36"/>
      <c r="I199" s="36"/>
      <c r="J199" s="36"/>
    </row>
    <row r="200" spans="8:52" ht="15.75">
      <c r="H200" s="36"/>
      <c r="I200" s="36"/>
      <c r="J200" s="36"/>
    </row>
  </sheetData>
  <mergeCells count="5">
    <mergeCell ref="S3:T3"/>
    <mergeCell ref="U3:V3"/>
    <mergeCell ref="Y3:AH3"/>
    <mergeCell ref="BA3:BQ3"/>
    <mergeCell ref="BR3:BV3"/>
  </mergeCells>
  <conditionalFormatting sqref="M5:M59 M61:M64">
    <cfRule type="cellIs" dxfId="8" priority="11" operator="equal">
      <formula>$M$63</formula>
    </cfRule>
    <cfRule type="cellIs" dxfId="7" priority="12" operator="greaterThan">
      <formula>1.95</formula>
    </cfRule>
    <cfRule type="cellIs" dxfId="6" priority="13" operator="lessThan">
      <formula>0.95</formula>
    </cfRule>
  </conditionalFormatting>
  <conditionalFormatting sqref="N5:N64">
    <cfRule type="cellIs" dxfId="5" priority="14" operator="equal">
      <formula>$N$54</formula>
    </cfRule>
    <cfRule type="cellIs" dxfId="4" priority="15" operator="lessThan">
      <formula>$N$68</formula>
    </cfRule>
    <cfRule type="cellIs" dxfId="3" priority="16" operator="greaterThan">
      <formula>$N$69</formula>
    </cfRule>
  </conditionalFormatting>
  <conditionalFormatting sqref="N73:N132">
    <cfRule type="cellIs" dxfId="2" priority="4" operator="equal">
      <formula>$M$54</formula>
    </cfRule>
    <cfRule type="cellIs" dxfId="1" priority="5" operator="lessThan">
      <formula>$M$68</formula>
    </cfRule>
    <cfRule type="cellIs" dxfId="0" priority="6" operator="greaterThan">
      <formula>$M$69</formula>
    </cfRule>
  </conditionalFormatting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X59"/>
  <sheetViews>
    <sheetView topLeftCell="A25" workbookViewId="0">
      <selection activeCell="V53" sqref="V53"/>
    </sheetView>
  </sheetViews>
  <sheetFormatPr defaultRowHeight="15"/>
  <cols>
    <col min="1" max="1" width="13.140625" style="14" bestFit="1" customWidth="1"/>
    <col min="2" max="6" width="9.140625" style="14"/>
    <col min="7" max="7" width="7.28515625" style="14" customWidth="1"/>
    <col min="8" max="9" width="9.140625" style="14"/>
    <col min="10" max="10" width="9.140625" style="16"/>
    <col min="11" max="11" width="10.85546875" style="14" customWidth="1"/>
    <col min="12" max="16384" width="9.140625" style="14"/>
  </cols>
  <sheetData>
    <row r="1" spans="1:50">
      <c r="B1" s="15" t="s">
        <v>64</v>
      </c>
      <c r="C1" s="15"/>
      <c r="AG1" s="14">
        <v>0.22850000000000001</v>
      </c>
      <c r="AH1" s="14">
        <v>0.13719999999999999</v>
      </c>
      <c r="AL1" s="17"/>
      <c r="AM1" s="17"/>
      <c r="AN1" s="17">
        <v>0.23760000000000001</v>
      </c>
      <c r="AO1" s="17">
        <v>0.17369999999999999</v>
      </c>
      <c r="AP1" s="17"/>
    </row>
    <row r="2" spans="1:50">
      <c r="AG2" s="14">
        <v>-0.157</v>
      </c>
      <c r="AH2" s="14">
        <v>0.1454</v>
      </c>
      <c r="AL2" s="17"/>
      <c r="AM2" s="17"/>
      <c r="AN2" s="17">
        <v>-0.17199999999999999</v>
      </c>
      <c r="AO2" s="17">
        <v>8.4000000000000005E-2</v>
      </c>
      <c r="AP2" s="17"/>
    </row>
    <row r="3" spans="1:50" ht="63.75">
      <c r="A3" s="14" t="s">
        <v>65</v>
      </c>
      <c r="B3" s="18" t="s">
        <v>66</v>
      </c>
      <c r="C3" s="18" t="s">
        <v>67</v>
      </c>
      <c r="D3" s="18" t="s">
        <v>68</v>
      </c>
      <c r="E3" s="18" t="s">
        <v>69</v>
      </c>
      <c r="F3" s="18" t="s">
        <v>70</v>
      </c>
      <c r="G3" s="18" t="s">
        <v>71</v>
      </c>
      <c r="H3" s="18" t="s">
        <v>72</v>
      </c>
      <c r="I3" s="18" t="s">
        <v>73</v>
      </c>
      <c r="J3" s="19" t="s">
        <v>74</v>
      </c>
      <c r="K3" s="18" t="s">
        <v>75</v>
      </c>
      <c r="L3" s="18" t="s">
        <v>76</v>
      </c>
      <c r="Y3" s="14" t="s">
        <v>77</v>
      </c>
      <c r="AE3" s="14" t="s">
        <v>78</v>
      </c>
      <c r="AL3" s="17" t="s">
        <v>79</v>
      </c>
      <c r="AM3" s="17"/>
      <c r="AN3" s="17"/>
      <c r="AO3" s="17"/>
      <c r="AP3" s="17"/>
    </row>
    <row r="4" spans="1:50">
      <c r="A4" s="14">
        <v>0</v>
      </c>
      <c r="B4" s="16">
        <v>0.2989</v>
      </c>
      <c r="C4" s="20"/>
      <c r="D4" s="20">
        <f>F4*0.2651-0.2092+F4</f>
        <v>1.2077120000000001</v>
      </c>
      <c r="E4" s="21">
        <f>1-D4/2.65</f>
        <v>0.5442596226415094</v>
      </c>
      <c r="F4" s="14">
        <v>1.1200000000000001</v>
      </c>
      <c r="G4" s="22">
        <f>IFERROR(IF(OR(E4="",B4=""),"",E4-B4),"")</f>
        <v>0.2453596226415094</v>
      </c>
      <c r="H4" s="21">
        <f t="shared" ref="H4:H10" si="0">1-F4/2.65</f>
        <v>0.57735849056603761</v>
      </c>
      <c r="I4" s="22">
        <f>IFERROR(IF(OR(B4="",H4=""),"",H4-B4),"")</f>
        <v>0.27845849056603761</v>
      </c>
      <c r="J4" s="16">
        <v>0.1363</v>
      </c>
      <c r="K4" s="23">
        <f>IF(J4="","",H4-J4)</f>
        <v>0.44105849056603763</v>
      </c>
      <c r="L4" s="15"/>
      <c r="M4" s="23">
        <f>K4-I4</f>
        <v>0.16260000000000002</v>
      </c>
      <c r="Z4" s="14" t="s">
        <v>31</v>
      </c>
      <c r="AA4" s="14" t="s">
        <v>74</v>
      </c>
      <c r="AB4" s="14" t="s">
        <v>16</v>
      </c>
      <c r="AC4" s="14" t="s">
        <v>17</v>
      </c>
      <c r="AE4" s="14" t="s">
        <v>80</v>
      </c>
      <c r="AF4" s="14" t="s">
        <v>31</v>
      </c>
      <c r="AG4" s="14" t="s">
        <v>74</v>
      </c>
      <c r="AH4" s="14" t="s">
        <v>16</v>
      </c>
      <c r="AI4" s="14" t="s">
        <v>17</v>
      </c>
      <c r="AL4" s="17" t="s">
        <v>80</v>
      </c>
      <c r="AM4" s="17" t="s">
        <v>31</v>
      </c>
      <c r="AN4" s="17" t="s">
        <v>74</v>
      </c>
      <c r="AO4" s="17" t="s">
        <v>16</v>
      </c>
      <c r="AP4" s="17" t="s">
        <v>17</v>
      </c>
    </row>
    <row r="5" spans="1:50">
      <c r="A5" s="14">
        <v>8</v>
      </c>
      <c r="B5" s="16">
        <v>0.36979999999999996</v>
      </c>
      <c r="C5" s="14">
        <v>1.4</v>
      </c>
      <c r="D5" s="14">
        <v>1.4</v>
      </c>
      <c r="E5" s="21">
        <f t="shared" ref="E5:E10" si="1">1-D5/2.65</f>
        <v>0.47169811320754718</v>
      </c>
      <c r="F5" s="14">
        <v>1.26</v>
      </c>
      <c r="G5" s="22">
        <f t="shared" ref="G5:G59" si="2">IFERROR(IF(OR(E5="",B5=""),"",E5-B5),"")</f>
        <v>0.10189811320754721</v>
      </c>
      <c r="H5" s="21">
        <f t="shared" si="0"/>
        <v>0.52452830188679245</v>
      </c>
      <c r="I5" s="22">
        <f t="shared" ref="I5:I59" si="3">IFERROR(IF(OR(B5="",H5=""),"",H5-B5),"")</f>
        <v>0.15472830188679249</v>
      </c>
      <c r="J5" s="16">
        <v>0.19789999999999999</v>
      </c>
      <c r="K5" s="23">
        <f t="shared" ref="K5:K53" si="4">IF(J5="","",H5-J5)</f>
        <v>0.32662830188679248</v>
      </c>
      <c r="L5" s="15">
        <f>AVERAGE(0.58,1.68)</f>
        <v>1.1299999999999999</v>
      </c>
      <c r="M5" s="23">
        <f t="shared" ref="M5:M59" si="5">K5-I5</f>
        <v>0.1719</v>
      </c>
      <c r="N5" s="14">
        <f>L5*2.54</f>
        <v>2.8701999999999996</v>
      </c>
      <c r="Y5" s="14">
        <v>1</v>
      </c>
      <c r="Z5" s="14">
        <f>1-Y5/2.65</f>
        <v>0.62264150943396224</v>
      </c>
      <c r="AA5" s="14">
        <f>Y5*0.2933-0.2118</f>
        <v>8.1500000000000017E-2</v>
      </c>
      <c r="AB5" s="14">
        <f>MIN(0.2417*Y5+0.0174,Z5-0.03)</f>
        <v>0.2591</v>
      </c>
      <c r="AC5" s="14">
        <f>AB5-AA5</f>
        <v>0.17759999999999998</v>
      </c>
      <c r="AE5" s="14">
        <v>1</v>
      </c>
      <c r="AF5" s="14">
        <f>1-AE5/2.65</f>
        <v>0.62264150943396224</v>
      </c>
      <c r="AG5" s="14">
        <f>AE5*0.2285-0.157</f>
        <v>7.1500000000000008E-2</v>
      </c>
      <c r="AH5" s="14">
        <f>MIN(AF5-0.03,0.1372*AE5+0.1454)</f>
        <v>0.28259999999999996</v>
      </c>
      <c r="AI5" s="14">
        <f>AH5-AG5</f>
        <v>0.21109999999999995</v>
      </c>
      <c r="AL5" s="17">
        <v>1</v>
      </c>
      <c r="AM5" s="17">
        <f>1-AL5/2.65</f>
        <v>0.62264150943396224</v>
      </c>
      <c r="AN5" s="17">
        <f>AL5*AN$1+AN$2</f>
        <v>6.5600000000000019E-2</v>
      </c>
      <c r="AO5" s="17">
        <f>MIN(AM5-0.03,AO$1*AL5+AO$2)</f>
        <v>0.25769999999999998</v>
      </c>
      <c r="AP5" s="17">
        <f>AO5-AN5</f>
        <v>0.19209999999999997</v>
      </c>
      <c r="AV5" s="14">
        <v>1.24</v>
      </c>
      <c r="AW5" s="14">
        <v>1.37</v>
      </c>
      <c r="AX5" s="14">
        <f>AW5-AV5</f>
        <v>0.13000000000000012</v>
      </c>
    </row>
    <row r="6" spans="1:50">
      <c r="A6" s="14">
        <v>24</v>
      </c>
      <c r="B6" s="16">
        <v>0.40509999999999996</v>
      </c>
      <c r="C6" s="14">
        <v>1.47</v>
      </c>
      <c r="D6" s="14">
        <v>1.47</v>
      </c>
      <c r="E6" s="21">
        <f t="shared" si="1"/>
        <v>0.44528301886792454</v>
      </c>
      <c r="F6" s="14">
        <v>1.37</v>
      </c>
      <c r="G6" s="22">
        <f t="shared" si="2"/>
        <v>4.018301886792458E-2</v>
      </c>
      <c r="H6" s="21">
        <f t="shared" si="0"/>
        <v>0.48301886792452819</v>
      </c>
      <c r="I6" s="22">
        <f t="shared" si="3"/>
        <v>7.7918867924528235E-2</v>
      </c>
      <c r="J6" s="16">
        <v>0.17760000000000001</v>
      </c>
      <c r="K6" s="23">
        <f t="shared" si="4"/>
        <v>0.30541886792452821</v>
      </c>
      <c r="L6" s="15">
        <v>0.38</v>
      </c>
      <c r="M6" s="23">
        <f t="shared" si="5"/>
        <v>0.22749999999999998</v>
      </c>
      <c r="N6" s="14">
        <f t="shared" ref="N6:N59" si="6">L6*2.54</f>
        <v>0.96520000000000006</v>
      </c>
      <c r="Y6" s="14">
        <v>1.1000000000000001</v>
      </c>
      <c r="Z6" s="14">
        <f t="shared" ref="Z6:Z12" si="7">1-Y6/2.65</f>
        <v>0.58490566037735836</v>
      </c>
      <c r="AA6" s="14">
        <f t="shared" ref="AA6:AA12" si="8">Y6*0.2933-0.2118</f>
        <v>0.11083000000000004</v>
      </c>
      <c r="AB6" s="14">
        <f t="shared" ref="AB6:AB12" si="9">MIN(0.2417*Y6+0.0174,Z6-0.03)</f>
        <v>0.28327000000000002</v>
      </c>
      <c r="AC6" s="14">
        <f t="shared" ref="AC6:AC12" si="10">AB6-AA6</f>
        <v>0.17243999999999998</v>
      </c>
      <c r="AE6" s="14">
        <v>1.1000000000000001</v>
      </c>
      <c r="AF6" s="14">
        <f t="shared" ref="AF6:AF12" si="11">1-AE6/2.65</f>
        <v>0.58490566037735836</v>
      </c>
      <c r="AG6" s="14">
        <f t="shared" ref="AG6:AG12" si="12">AE6*0.2285-0.157</f>
        <v>9.4350000000000017E-2</v>
      </c>
      <c r="AH6" s="14">
        <f t="shared" ref="AH6:AH12" si="13">MIN(AF6-0.03,0.1372*AE6+0.1454)</f>
        <v>0.29632000000000003</v>
      </c>
      <c r="AI6" s="14">
        <f t="shared" ref="AI6:AI12" si="14">AH6-AG6</f>
        <v>0.20197000000000001</v>
      </c>
      <c r="AL6" s="17">
        <v>1.1000000000000001</v>
      </c>
      <c r="AM6" s="17">
        <f t="shared" ref="AM6:AM12" si="15">1-AL6/2.65</f>
        <v>0.58490566037735836</v>
      </c>
      <c r="AN6" s="17">
        <f t="shared" ref="AN6:AN12" si="16">AL6*AN$1+AN$2</f>
        <v>8.9360000000000051E-2</v>
      </c>
      <c r="AO6" s="17">
        <f t="shared" ref="AO6:AO12" si="17">MIN(AM6-0.03,AO$1*AL6+AO$2)</f>
        <v>0.27507000000000004</v>
      </c>
      <c r="AP6" s="17">
        <f t="shared" ref="AP6:AP12" si="18">AO6-AN6</f>
        <v>0.18570999999999999</v>
      </c>
      <c r="AV6" s="14">
        <v>1.26</v>
      </c>
      <c r="AW6" s="14">
        <v>1.4</v>
      </c>
      <c r="AX6" s="14">
        <f>AW6-AV6</f>
        <v>0.1399999999999999</v>
      </c>
    </row>
    <row r="7" spans="1:50" s="15" customFormat="1">
      <c r="A7" s="15">
        <v>29</v>
      </c>
      <c r="B7" s="24">
        <v>0.35590000000000005</v>
      </c>
      <c r="C7" s="15">
        <v>1.5</v>
      </c>
      <c r="D7" s="15">
        <v>1.5</v>
      </c>
      <c r="E7" s="25">
        <f t="shared" si="1"/>
        <v>0.43396226415094341</v>
      </c>
      <c r="F7" s="15">
        <v>1.43</v>
      </c>
      <c r="G7" s="22">
        <f t="shared" si="2"/>
        <v>7.8062264150943361E-2</v>
      </c>
      <c r="H7" s="25">
        <f t="shared" si="0"/>
        <v>0.46037735849056605</v>
      </c>
      <c r="I7" s="22">
        <f t="shared" si="3"/>
        <v>0.104477358490566</v>
      </c>
      <c r="J7" s="16">
        <v>7.85E-2</v>
      </c>
      <c r="K7" s="23">
        <f t="shared" si="4"/>
        <v>0.38187735849056603</v>
      </c>
      <c r="L7" s="15">
        <v>0.18</v>
      </c>
      <c r="M7" s="23">
        <f t="shared" si="5"/>
        <v>0.27740000000000004</v>
      </c>
      <c r="N7" s="14">
        <f t="shared" si="6"/>
        <v>0.4572</v>
      </c>
      <c r="Y7" s="14">
        <v>1.2</v>
      </c>
      <c r="Z7" s="14">
        <f t="shared" si="7"/>
        <v>0.54716981132075471</v>
      </c>
      <c r="AA7" s="14">
        <f t="shared" si="8"/>
        <v>0.14016000000000001</v>
      </c>
      <c r="AB7" s="14">
        <f t="shared" si="9"/>
        <v>0.30743999999999994</v>
      </c>
      <c r="AC7" s="14">
        <f t="shared" si="10"/>
        <v>0.16727999999999993</v>
      </c>
      <c r="AE7" s="14">
        <v>1.2</v>
      </c>
      <c r="AF7" s="14">
        <f t="shared" si="11"/>
        <v>0.54716981132075471</v>
      </c>
      <c r="AG7" s="14">
        <f t="shared" si="12"/>
        <v>0.1172</v>
      </c>
      <c r="AH7" s="14">
        <f t="shared" si="13"/>
        <v>0.31003999999999998</v>
      </c>
      <c r="AI7" s="14">
        <f t="shared" si="14"/>
        <v>0.19283999999999998</v>
      </c>
      <c r="AL7" s="17">
        <v>1.2</v>
      </c>
      <c r="AM7" s="17">
        <f t="shared" si="15"/>
        <v>0.54716981132075471</v>
      </c>
      <c r="AN7" s="17">
        <f t="shared" si="16"/>
        <v>0.11312</v>
      </c>
      <c r="AO7" s="17">
        <f t="shared" si="17"/>
        <v>0.29243999999999998</v>
      </c>
      <c r="AP7" s="17">
        <f t="shared" si="18"/>
        <v>0.17931999999999998</v>
      </c>
      <c r="AV7" s="14">
        <v>1.26</v>
      </c>
      <c r="AW7" s="14">
        <v>1.37</v>
      </c>
      <c r="AX7" s="14">
        <f t="shared" ref="AX7:AX38" si="19">AW7-AV7</f>
        <v>0.1100000000000001</v>
      </c>
    </row>
    <row r="8" spans="1:50">
      <c r="A8" s="14">
        <v>34</v>
      </c>
      <c r="B8" s="16">
        <v>0.39789999999999998</v>
      </c>
      <c r="C8" s="14">
        <v>1.66</v>
      </c>
      <c r="D8" s="14">
        <v>1.66</v>
      </c>
      <c r="E8" s="21">
        <f t="shared" si="1"/>
        <v>0.37358490566037739</v>
      </c>
      <c r="F8" s="14">
        <v>1.47</v>
      </c>
      <c r="G8" s="22">
        <f t="shared" si="2"/>
        <v>-2.4315094339622589E-2</v>
      </c>
      <c r="H8" s="21">
        <f t="shared" si="0"/>
        <v>0.44528301886792454</v>
      </c>
      <c r="I8" s="22">
        <f t="shared" si="3"/>
        <v>4.7383018867924565E-2</v>
      </c>
      <c r="J8" s="16">
        <v>0.27149999999999996</v>
      </c>
      <c r="K8" s="23">
        <f t="shared" si="4"/>
        <v>0.17378301886792458</v>
      </c>
      <c r="L8" s="15">
        <v>0</v>
      </c>
      <c r="M8" s="23">
        <f t="shared" si="5"/>
        <v>0.12640000000000001</v>
      </c>
      <c r="N8" s="14">
        <f t="shared" si="6"/>
        <v>0</v>
      </c>
      <c r="Y8" s="14">
        <v>1.3</v>
      </c>
      <c r="Z8" s="14">
        <f t="shared" si="7"/>
        <v>0.50943396226415083</v>
      </c>
      <c r="AA8" s="14">
        <f t="shared" si="8"/>
        <v>0.16949000000000003</v>
      </c>
      <c r="AB8" s="14">
        <f t="shared" si="9"/>
        <v>0.33160999999999996</v>
      </c>
      <c r="AC8" s="14">
        <f t="shared" si="10"/>
        <v>0.16211999999999993</v>
      </c>
      <c r="AE8" s="14">
        <v>1.3</v>
      </c>
      <c r="AF8" s="14">
        <f t="shared" si="11"/>
        <v>0.50943396226415083</v>
      </c>
      <c r="AG8" s="14">
        <f t="shared" si="12"/>
        <v>0.14005000000000004</v>
      </c>
      <c r="AH8" s="14">
        <f t="shared" si="13"/>
        <v>0.32375999999999999</v>
      </c>
      <c r="AI8" s="14">
        <f t="shared" si="14"/>
        <v>0.18370999999999996</v>
      </c>
      <c r="AL8" s="17">
        <v>1.3</v>
      </c>
      <c r="AM8" s="17">
        <f t="shared" si="15"/>
        <v>0.50943396226415083</v>
      </c>
      <c r="AN8" s="17">
        <f t="shared" si="16"/>
        <v>0.13688000000000006</v>
      </c>
      <c r="AO8" s="17">
        <f t="shared" si="17"/>
        <v>0.30981000000000003</v>
      </c>
      <c r="AP8" s="17">
        <f t="shared" si="18"/>
        <v>0.17292999999999997</v>
      </c>
      <c r="AV8" s="14">
        <v>1.27</v>
      </c>
      <c r="AW8" s="14">
        <v>1.4</v>
      </c>
      <c r="AX8" s="14">
        <f t="shared" si="19"/>
        <v>0.12999999999999989</v>
      </c>
    </row>
    <row r="9" spans="1:50">
      <c r="A9" s="14">
        <v>38</v>
      </c>
      <c r="B9" s="16">
        <v>0.39909999999999995</v>
      </c>
      <c r="C9" s="14">
        <v>1.71</v>
      </c>
      <c r="D9" s="14">
        <v>1.71</v>
      </c>
      <c r="E9" s="21">
        <f t="shared" si="1"/>
        <v>0.3547169811320755</v>
      </c>
      <c r="F9" s="14">
        <v>1.54</v>
      </c>
      <c r="G9" s="22">
        <f t="shared" si="2"/>
        <v>-4.4383018867924451E-2</v>
      </c>
      <c r="H9" s="21">
        <f t="shared" si="0"/>
        <v>0.4188679245283019</v>
      </c>
      <c r="I9" s="22">
        <f t="shared" si="3"/>
        <v>1.976792452830195E-2</v>
      </c>
      <c r="J9" s="16">
        <v>0.309</v>
      </c>
      <c r="K9" s="23">
        <f t="shared" si="4"/>
        <v>0.10986792452830191</v>
      </c>
      <c r="L9" s="15">
        <v>7.0000000000000007E-2</v>
      </c>
      <c r="M9" s="23">
        <f t="shared" si="5"/>
        <v>9.0099999999999958E-2</v>
      </c>
      <c r="N9" s="14">
        <f t="shared" si="6"/>
        <v>0.17780000000000001</v>
      </c>
      <c r="Y9" s="14">
        <v>1.4</v>
      </c>
      <c r="Z9" s="14">
        <f t="shared" si="7"/>
        <v>0.47169811320754718</v>
      </c>
      <c r="AA9" s="14">
        <f t="shared" si="8"/>
        <v>0.19882</v>
      </c>
      <c r="AB9" s="14">
        <f t="shared" si="9"/>
        <v>0.35577999999999999</v>
      </c>
      <c r="AC9" s="14">
        <f t="shared" si="10"/>
        <v>0.15695999999999999</v>
      </c>
      <c r="AE9" s="14">
        <v>1.4</v>
      </c>
      <c r="AF9" s="14">
        <f t="shared" si="11"/>
        <v>0.47169811320754718</v>
      </c>
      <c r="AG9" s="14">
        <f t="shared" si="12"/>
        <v>0.16290000000000002</v>
      </c>
      <c r="AH9" s="14">
        <f t="shared" si="13"/>
        <v>0.33748</v>
      </c>
      <c r="AI9" s="14">
        <f t="shared" si="14"/>
        <v>0.17457999999999999</v>
      </c>
      <c r="AJ9" s="26"/>
      <c r="AL9" s="17">
        <v>1.4</v>
      </c>
      <c r="AM9" s="17">
        <f t="shared" si="15"/>
        <v>0.47169811320754718</v>
      </c>
      <c r="AN9" s="17">
        <f t="shared" si="16"/>
        <v>0.16064000000000001</v>
      </c>
      <c r="AO9" s="17">
        <f t="shared" si="17"/>
        <v>0.32717999999999997</v>
      </c>
      <c r="AP9" s="17">
        <f t="shared" si="18"/>
        <v>0.16653999999999997</v>
      </c>
      <c r="AQ9" s="26"/>
      <c r="AV9" s="14">
        <v>1.27</v>
      </c>
      <c r="AW9" s="14">
        <v>1.43</v>
      </c>
      <c r="AX9" s="14">
        <f t="shared" si="19"/>
        <v>0.15999999999999992</v>
      </c>
    </row>
    <row r="10" spans="1:50">
      <c r="A10" s="14">
        <v>51</v>
      </c>
      <c r="B10" s="16">
        <v>0.32350000000000001</v>
      </c>
      <c r="C10" s="14">
        <v>1.66</v>
      </c>
      <c r="D10" s="14">
        <v>1.66</v>
      </c>
      <c r="E10" s="21">
        <f t="shared" si="1"/>
        <v>0.37358490566037739</v>
      </c>
      <c r="F10" s="14">
        <v>1.46</v>
      </c>
      <c r="G10" s="22">
        <f t="shared" si="2"/>
        <v>5.0084905660377377E-2</v>
      </c>
      <c r="H10" s="21">
        <f t="shared" si="0"/>
        <v>0.44905660377358492</v>
      </c>
      <c r="I10" s="22">
        <f t="shared" si="3"/>
        <v>0.12555660377358491</v>
      </c>
      <c r="J10" s="16">
        <v>0.27399999999999997</v>
      </c>
      <c r="K10" s="23">
        <f t="shared" si="4"/>
        <v>0.17505660377358495</v>
      </c>
      <c r="L10" s="15">
        <v>0.12</v>
      </c>
      <c r="M10" s="23">
        <f t="shared" si="5"/>
        <v>4.9500000000000044E-2</v>
      </c>
      <c r="N10" s="14">
        <f t="shared" si="6"/>
        <v>0.30480000000000002</v>
      </c>
      <c r="Y10" s="14">
        <v>1.5</v>
      </c>
      <c r="Z10" s="14">
        <f t="shared" si="7"/>
        <v>0.43396226415094341</v>
      </c>
      <c r="AA10" s="14">
        <f t="shared" si="8"/>
        <v>0.22815000000000002</v>
      </c>
      <c r="AB10" s="14">
        <f t="shared" si="9"/>
        <v>0.37995000000000001</v>
      </c>
      <c r="AC10" s="14">
        <f t="shared" si="10"/>
        <v>0.15179999999999999</v>
      </c>
      <c r="AE10" s="14">
        <v>1.5</v>
      </c>
      <c r="AF10" s="14">
        <f t="shared" si="11"/>
        <v>0.43396226415094341</v>
      </c>
      <c r="AG10" s="14">
        <f t="shared" si="12"/>
        <v>0.18575</v>
      </c>
      <c r="AH10" s="14">
        <f t="shared" si="13"/>
        <v>0.35119999999999996</v>
      </c>
      <c r="AI10" s="26">
        <f t="shared" si="14"/>
        <v>0.16544999999999996</v>
      </c>
      <c r="AL10" s="17">
        <v>1.5</v>
      </c>
      <c r="AM10" s="17">
        <f t="shared" si="15"/>
        <v>0.43396226415094341</v>
      </c>
      <c r="AN10" s="17">
        <f t="shared" si="16"/>
        <v>0.18440000000000001</v>
      </c>
      <c r="AO10" s="17">
        <f t="shared" si="17"/>
        <v>0.34455000000000002</v>
      </c>
      <c r="AP10" s="17">
        <f t="shared" si="18"/>
        <v>0.16015000000000001</v>
      </c>
      <c r="AV10" s="14">
        <v>1.28</v>
      </c>
      <c r="AW10" s="14">
        <v>1.38</v>
      </c>
      <c r="AX10" s="14">
        <f t="shared" si="19"/>
        <v>9.9999999999999867E-2</v>
      </c>
    </row>
    <row r="11" spans="1:50">
      <c r="B11" s="16" t="s">
        <v>25</v>
      </c>
      <c r="G11" s="22" t="str">
        <f t="shared" si="2"/>
        <v/>
      </c>
      <c r="I11" s="22" t="str">
        <f t="shared" si="3"/>
        <v/>
      </c>
      <c r="K11" s="23" t="str">
        <f t="shared" si="4"/>
        <v/>
      </c>
      <c r="M11" s="23" t="e">
        <f t="shared" si="5"/>
        <v>#VALUE!</v>
      </c>
      <c r="N11" s="14">
        <f t="shared" si="6"/>
        <v>0</v>
      </c>
      <c r="Y11" s="14">
        <v>1.6</v>
      </c>
      <c r="Z11" s="14">
        <f t="shared" si="7"/>
        <v>0.39622641509433953</v>
      </c>
      <c r="AA11" s="14">
        <f t="shared" si="8"/>
        <v>0.25748000000000004</v>
      </c>
      <c r="AB11" s="14">
        <f t="shared" si="9"/>
        <v>0.36622641509433951</v>
      </c>
      <c r="AC11" s="14">
        <f t="shared" si="10"/>
        <v>0.10874641509433947</v>
      </c>
      <c r="AE11" s="14">
        <v>1.6</v>
      </c>
      <c r="AF11" s="14">
        <f t="shared" si="11"/>
        <v>0.39622641509433953</v>
      </c>
      <c r="AG11" s="14">
        <f t="shared" si="12"/>
        <v>0.20860000000000004</v>
      </c>
      <c r="AH11" s="14">
        <f t="shared" si="13"/>
        <v>0.36492000000000002</v>
      </c>
      <c r="AI11" s="14">
        <f t="shared" si="14"/>
        <v>0.15631999999999999</v>
      </c>
      <c r="AL11" s="17">
        <v>1.6</v>
      </c>
      <c r="AM11" s="17">
        <f t="shared" si="15"/>
        <v>0.39622641509433953</v>
      </c>
      <c r="AN11" s="17">
        <f t="shared" si="16"/>
        <v>0.20816000000000007</v>
      </c>
      <c r="AO11" s="17">
        <f t="shared" si="17"/>
        <v>0.36192000000000002</v>
      </c>
      <c r="AP11" s="17">
        <f t="shared" si="18"/>
        <v>0.15375999999999995</v>
      </c>
      <c r="AV11" s="14">
        <v>1.29</v>
      </c>
      <c r="AW11" s="14">
        <v>1.43</v>
      </c>
      <c r="AX11" s="14">
        <f t="shared" si="19"/>
        <v>0.1399999999999999</v>
      </c>
    </row>
    <row r="12" spans="1:50">
      <c r="A12" s="16" t="s">
        <v>81</v>
      </c>
      <c r="G12" s="22" t="str">
        <f>IFERROR(IF(OR(E12="",A12=""),"",E12-A12),"")</f>
        <v/>
      </c>
      <c r="I12" s="22" t="str">
        <f>IFERROR(IF(OR(A12="",H12=""),"",H12-A12),"")</f>
        <v/>
      </c>
      <c r="K12" s="23" t="str">
        <f t="shared" si="4"/>
        <v/>
      </c>
      <c r="M12" s="23" t="e">
        <f t="shared" si="5"/>
        <v>#VALUE!</v>
      </c>
      <c r="N12" s="14">
        <f t="shared" si="6"/>
        <v>0</v>
      </c>
      <c r="Y12" s="14">
        <v>1.7</v>
      </c>
      <c r="Z12" s="14">
        <f t="shared" si="7"/>
        <v>0.35849056603773588</v>
      </c>
      <c r="AA12" s="14">
        <f t="shared" si="8"/>
        <v>0.28681000000000001</v>
      </c>
      <c r="AB12" s="14">
        <f t="shared" si="9"/>
        <v>0.32849056603773585</v>
      </c>
      <c r="AC12" s="14">
        <f t="shared" si="10"/>
        <v>4.1680566037735844E-2</v>
      </c>
      <c r="AE12" s="14">
        <v>1.7</v>
      </c>
      <c r="AF12" s="14">
        <f t="shared" si="11"/>
        <v>0.35849056603773588</v>
      </c>
      <c r="AG12" s="14">
        <f t="shared" si="12"/>
        <v>0.23145000000000002</v>
      </c>
      <c r="AH12" s="14">
        <f t="shared" si="13"/>
        <v>0.32849056603773585</v>
      </c>
      <c r="AI12" s="14">
        <f t="shared" si="14"/>
        <v>9.7040566037735837E-2</v>
      </c>
      <c r="AL12" s="17">
        <v>1.7</v>
      </c>
      <c r="AM12" s="17">
        <f t="shared" si="15"/>
        <v>0.35849056603773588</v>
      </c>
      <c r="AN12" s="17">
        <f t="shared" si="16"/>
        <v>0.23192000000000002</v>
      </c>
      <c r="AO12" s="17">
        <f t="shared" si="17"/>
        <v>0.32849056603773585</v>
      </c>
      <c r="AP12" s="17">
        <f t="shared" si="18"/>
        <v>9.6570566037735839E-2</v>
      </c>
      <c r="AV12" s="14">
        <v>1.34</v>
      </c>
      <c r="AW12" s="14">
        <v>1.48</v>
      </c>
      <c r="AX12" s="14">
        <f t="shared" si="19"/>
        <v>0.1399999999999999</v>
      </c>
    </row>
    <row r="13" spans="1:50">
      <c r="A13" s="14">
        <v>0</v>
      </c>
      <c r="B13" s="16">
        <v>0.3407</v>
      </c>
      <c r="C13" s="14">
        <v>1.37</v>
      </c>
      <c r="D13" s="14">
        <v>1.37</v>
      </c>
      <c r="E13" s="16">
        <v>0.48299999999999998</v>
      </c>
      <c r="F13" s="14">
        <v>1.24</v>
      </c>
      <c r="G13" s="22">
        <f t="shared" si="2"/>
        <v>0.14229999999999998</v>
      </c>
      <c r="H13" s="21">
        <f t="shared" ref="H13:H20" si="20">1-F13/2.65</f>
        <v>0.5320754716981132</v>
      </c>
      <c r="I13" s="22">
        <f t="shared" si="3"/>
        <v>0.1913754716981132</v>
      </c>
      <c r="J13" s="16">
        <v>0.1593</v>
      </c>
      <c r="K13" s="23">
        <f t="shared" si="4"/>
        <v>0.3727754716981132</v>
      </c>
      <c r="L13" s="14">
        <f>AVERAGE(0.42,1.1)</f>
        <v>0.76</v>
      </c>
      <c r="M13" s="23">
        <f t="shared" si="5"/>
        <v>0.18140000000000001</v>
      </c>
      <c r="N13" s="14">
        <f t="shared" si="6"/>
        <v>1.9304000000000001</v>
      </c>
      <c r="AV13" s="14">
        <v>1.34</v>
      </c>
      <c r="AW13" s="14">
        <v>1.51</v>
      </c>
      <c r="AX13" s="14">
        <f t="shared" si="19"/>
        <v>0.16999999999999993</v>
      </c>
    </row>
    <row r="14" spans="1:50">
      <c r="A14" s="14">
        <v>6</v>
      </c>
      <c r="B14" s="16">
        <v>0.36030000000000001</v>
      </c>
      <c r="C14" s="14">
        <v>1.38</v>
      </c>
      <c r="D14" s="14">
        <v>1.38</v>
      </c>
      <c r="E14" s="16">
        <v>0.47920000000000001</v>
      </c>
      <c r="F14" s="14">
        <v>1.28</v>
      </c>
      <c r="G14" s="22">
        <f t="shared" si="2"/>
        <v>0.11890000000000001</v>
      </c>
      <c r="H14" s="21">
        <f t="shared" si="20"/>
        <v>0.51698113207547169</v>
      </c>
      <c r="I14" s="22">
        <f t="shared" si="3"/>
        <v>0.15668113207547169</v>
      </c>
      <c r="J14" s="16">
        <v>0.15839999999999999</v>
      </c>
      <c r="K14" s="23">
        <f t="shared" si="4"/>
        <v>0.35858113207547171</v>
      </c>
      <c r="L14" s="14">
        <f>AVERAGE(0.41,0.74)</f>
        <v>0.57499999999999996</v>
      </c>
      <c r="M14" s="23">
        <f t="shared" si="5"/>
        <v>0.20190000000000002</v>
      </c>
      <c r="N14" s="14">
        <f t="shared" si="6"/>
        <v>1.4604999999999999</v>
      </c>
      <c r="AV14" s="14">
        <v>1.35</v>
      </c>
      <c r="AW14" s="14">
        <v>1.49</v>
      </c>
      <c r="AX14" s="14">
        <f t="shared" si="19"/>
        <v>0.1399999999999999</v>
      </c>
    </row>
    <row r="15" spans="1:50">
      <c r="A15" s="14">
        <v>12</v>
      </c>
      <c r="B15" s="16">
        <v>0.35070000000000001</v>
      </c>
      <c r="C15" s="14">
        <v>1.37</v>
      </c>
      <c r="D15" s="14">
        <v>1.37</v>
      </c>
      <c r="E15" s="16">
        <v>0.48299999999999998</v>
      </c>
      <c r="F15" s="14">
        <v>1.26</v>
      </c>
      <c r="G15" s="22">
        <f t="shared" si="2"/>
        <v>0.13229999999999997</v>
      </c>
      <c r="H15" s="21">
        <f t="shared" si="20"/>
        <v>0.52452830188679245</v>
      </c>
      <c r="I15" s="22">
        <f t="shared" si="3"/>
        <v>0.17382830188679244</v>
      </c>
      <c r="J15" s="16">
        <v>0.1575</v>
      </c>
      <c r="K15" s="23">
        <f t="shared" si="4"/>
        <v>0.36702830188679247</v>
      </c>
      <c r="L15" s="14">
        <f>AVERAGE(0.58,1.76)</f>
        <v>1.17</v>
      </c>
      <c r="M15" s="23">
        <f t="shared" si="5"/>
        <v>0.19320000000000004</v>
      </c>
      <c r="N15" s="14">
        <f t="shared" si="6"/>
        <v>2.9718</v>
      </c>
      <c r="AV15" s="14">
        <v>1.37</v>
      </c>
      <c r="AW15" s="14">
        <v>1.47</v>
      </c>
      <c r="AX15" s="14">
        <f t="shared" si="19"/>
        <v>9.9999999999999867E-2</v>
      </c>
    </row>
    <row r="16" spans="1:50">
      <c r="A16" s="14">
        <v>19</v>
      </c>
      <c r="B16" s="16">
        <v>0.3836</v>
      </c>
      <c r="C16" s="14">
        <v>1.51</v>
      </c>
      <c r="D16" s="14">
        <v>1.51</v>
      </c>
      <c r="E16" s="16">
        <v>0.43020000000000003</v>
      </c>
      <c r="F16" s="14">
        <v>1.42</v>
      </c>
      <c r="G16" s="22">
        <f t="shared" si="2"/>
        <v>4.660000000000003E-2</v>
      </c>
      <c r="H16" s="21">
        <f t="shared" si="20"/>
        <v>0.46415094339622642</v>
      </c>
      <c r="I16" s="22">
        <f t="shared" si="3"/>
        <v>8.0550943396226427E-2</v>
      </c>
      <c r="J16" s="16">
        <v>0.17670000000000002</v>
      </c>
      <c r="K16" s="23">
        <f t="shared" si="4"/>
        <v>0.2874509433962264</v>
      </c>
      <c r="L16" s="14">
        <v>7.0000000000000007E-2</v>
      </c>
      <c r="M16" s="23">
        <f t="shared" si="5"/>
        <v>0.20689999999999997</v>
      </c>
      <c r="N16" s="14">
        <f t="shared" si="6"/>
        <v>0.17780000000000001</v>
      </c>
      <c r="AV16" s="14">
        <v>1.39</v>
      </c>
      <c r="AW16" s="14">
        <v>1.53</v>
      </c>
      <c r="AX16" s="14">
        <f t="shared" si="19"/>
        <v>0.14000000000000012</v>
      </c>
    </row>
    <row r="17" spans="1:50">
      <c r="A17" s="14">
        <v>27</v>
      </c>
      <c r="B17" s="16">
        <v>0.37270000000000003</v>
      </c>
      <c r="C17" s="14">
        <v>1.53</v>
      </c>
      <c r="D17" s="14">
        <v>1.53</v>
      </c>
      <c r="E17" s="16">
        <v>0.42259999999999998</v>
      </c>
      <c r="F17" s="14">
        <v>1.39</v>
      </c>
      <c r="G17" s="22">
        <f t="shared" si="2"/>
        <v>4.9899999999999944E-2</v>
      </c>
      <c r="H17" s="21">
        <f t="shared" si="20"/>
        <v>0.47547169811320755</v>
      </c>
      <c r="I17" s="22">
        <f t="shared" si="3"/>
        <v>0.10277169811320752</v>
      </c>
      <c r="J17" s="16">
        <v>0.17510000000000001</v>
      </c>
      <c r="K17" s="23">
        <f t="shared" si="4"/>
        <v>0.30037169811320752</v>
      </c>
      <c r="L17" s="14">
        <v>0.15</v>
      </c>
      <c r="M17" s="23">
        <f t="shared" si="5"/>
        <v>0.1976</v>
      </c>
      <c r="N17" s="14">
        <f t="shared" si="6"/>
        <v>0.38100000000000001</v>
      </c>
      <c r="AE17" s="15"/>
      <c r="AF17" s="15"/>
      <c r="AV17" s="14">
        <v>1.39</v>
      </c>
      <c r="AW17" s="14">
        <v>1.55</v>
      </c>
      <c r="AX17" s="14">
        <f t="shared" si="19"/>
        <v>0.16000000000000014</v>
      </c>
    </row>
    <row r="18" spans="1:50">
      <c r="A18" s="14">
        <v>35</v>
      </c>
      <c r="B18" s="16">
        <v>0.4108</v>
      </c>
      <c r="C18" s="14">
        <v>1.68</v>
      </c>
      <c r="D18" s="14">
        <v>1.68</v>
      </c>
      <c r="E18" s="16">
        <v>0.36599999999999999</v>
      </c>
      <c r="F18" s="14">
        <v>1.5</v>
      </c>
      <c r="G18" s="22">
        <f t="shared" si="2"/>
        <v>-4.4800000000000006E-2</v>
      </c>
      <c r="H18" s="21">
        <f t="shared" si="20"/>
        <v>0.43396226415094341</v>
      </c>
      <c r="I18" s="22">
        <f t="shared" si="3"/>
        <v>2.3162264150943412E-2</v>
      </c>
      <c r="J18" s="16">
        <v>0.19570000000000001</v>
      </c>
      <c r="K18" s="23">
        <f t="shared" si="4"/>
        <v>0.2382622641509434</v>
      </c>
      <c r="L18" s="14">
        <v>0.02</v>
      </c>
      <c r="M18" s="23">
        <f t="shared" si="5"/>
        <v>0.21509999999999999</v>
      </c>
      <c r="N18" s="14">
        <f t="shared" si="6"/>
        <v>5.0800000000000005E-2</v>
      </c>
      <c r="AV18" s="14">
        <v>1.41</v>
      </c>
      <c r="AW18" s="14">
        <v>1.56</v>
      </c>
      <c r="AX18" s="14">
        <f t="shared" si="19"/>
        <v>0.15000000000000013</v>
      </c>
    </row>
    <row r="19" spans="1:50">
      <c r="A19" s="14">
        <v>40</v>
      </c>
      <c r="B19" s="16">
        <v>0.42119999999999996</v>
      </c>
      <c r="C19" s="14">
        <v>1.65</v>
      </c>
      <c r="D19" s="14">
        <v>1.65</v>
      </c>
      <c r="E19" s="16">
        <v>0.37740000000000001</v>
      </c>
      <c r="F19" s="14">
        <v>1.49</v>
      </c>
      <c r="G19" s="22">
        <f t="shared" si="2"/>
        <v>-4.379999999999995E-2</v>
      </c>
      <c r="H19" s="21">
        <f t="shared" si="20"/>
        <v>0.43773584905660379</v>
      </c>
      <c r="I19" s="22">
        <f t="shared" si="3"/>
        <v>1.6535849056603824E-2</v>
      </c>
      <c r="J19" s="16">
        <v>0.25650000000000001</v>
      </c>
      <c r="K19" s="23">
        <f t="shared" si="4"/>
        <v>0.18123584905660378</v>
      </c>
      <c r="L19" s="14">
        <v>0</v>
      </c>
      <c r="M19" s="23">
        <f t="shared" si="5"/>
        <v>0.16469999999999996</v>
      </c>
      <c r="N19" s="14">
        <f t="shared" si="6"/>
        <v>0</v>
      </c>
      <c r="AV19" s="14">
        <v>1.42</v>
      </c>
      <c r="AW19" s="14">
        <v>1.51</v>
      </c>
      <c r="AX19" s="14">
        <f t="shared" si="19"/>
        <v>9.000000000000008E-2</v>
      </c>
    </row>
    <row r="20" spans="1:50">
      <c r="A20" s="14">
        <v>49</v>
      </c>
      <c r="B20" s="16">
        <v>0.40639999999999998</v>
      </c>
      <c r="C20" s="14">
        <v>1.67</v>
      </c>
      <c r="D20" s="14">
        <v>1.67</v>
      </c>
      <c r="E20" s="16">
        <v>0.36979999999999996</v>
      </c>
      <c r="F20" s="14">
        <v>1.51</v>
      </c>
      <c r="G20" s="22">
        <f t="shared" si="2"/>
        <v>-3.6600000000000021E-2</v>
      </c>
      <c r="H20" s="21">
        <f t="shared" si="20"/>
        <v>0.43018867924528303</v>
      </c>
      <c r="I20" s="22">
        <f t="shared" si="3"/>
        <v>2.3788679245283051E-2</v>
      </c>
      <c r="J20" s="16">
        <v>0.26250000000000001</v>
      </c>
      <c r="K20" s="23">
        <f t="shared" si="4"/>
        <v>0.16768867924528302</v>
      </c>
      <c r="L20" s="14">
        <v>0</v>
      </c>
      <c r="M20" s="23">
        <f t="shared" si="5"/>
        <v>0.14389999999999997</v>
      </c>
      <c r="N20" s="14">
        <f t="shared" si="6"/>
        <v>0</v>
      </c>
      <c r="Y20" s="14" t="s">
        <v>82</v>
      </c>
      <c r="AV20" s="15">
        <v>1.43</v>
      </c>
      <c r="AW20" s="15">
        <v>1.5</v>
      </c>
      <c r="AX20" s="14">
        <f t="shared" si="19"/>
        <v>7.0000000000000062E-2</v>
      </c>
    </row>
    <row r="21" spans="1:50">
      <c r="B21" s="16" t="s">
        <v>25</v>
      </c>
      <c r="E21" s="16"/>
      <c r="G21" s="22" t="str">
        <f t="shared" si="2"/>
        <v/>
      </c>
      <c r="I21" s="22" t="str">
        <f t="shared" si="3"/>
        <v/>
      </c>
      <c r="K21" s="23" t="str">
        <f t="shared" si="4"/>
        <v/>
      </c>
      <c r="M21" s="23" t="e">
        <f t="shared" si="5"/>
        <v>#VALUE!</v>
      </c>
      <c r="N21" s="14">
        <f t="shared" si="6"/>
        <v>0</v>
      </c>
      <c r="AV21" s="14">
        <v>1.43</v>
      </c>
      <c r="AW21" s="14">
        <v>1.61</v>
      </c>
      <c r="AX21" s="14">
        <f t="shared" si="19"/>
        <v>0.18000000000000016</v>
      </c>
    </row>
    <row r="22" spans="1:50">
      <c r="B22" s="16" t="s">
        <v>25</v>
      </c>
      <c r="E22" s="16"/>
      <c r="G22" s="22" t="str">
        <f t="shared" si="2"/>
        <v/>
      </c>
      <c r="I22" s="22" t="str">
        <f t="shared" si="3"/>
        <v/>
      </c>
      <c r="K22" s="23" t="str">
        <f t="shared" si="4"/>
        <v/>
      </c>
      <c r="M22" s="23" t="e">
        <f t="shared" si="5"/>
        <v>#VALUE!</v>
      </c>
      <c r="N22" s="14">
        <f t="shared" si="6"/>
        <v>0</v>
      </c>
      <c r="AV22" s="14">
        <v>1.46</v>
      </c>
      <c r="AW22" s="14">
        <v>1.66</v>
      </c>
      <c r="AX22" s="14">
        <f t="shared" si="19"/>
        <v>0.19999999999999996</v>
      </c>
    </row>
    <row r="23" spans="1:50">
      <c r="A23" s="16" t="s">
        <v>83</v>
      </c>
      <c r="E23" s="16"/>
      <c r="G23" s="22" t="str">
        <f>IFERROR(IF(OR(E23="",A23=""),"",E23-A23),"")</f>
        <v/>
      </c>
      <c r="I23" s="22" t="str">
        <f>IFERROR(IF(OR(A23="",H23=""),"",H23-A23),"")</f>
        <v/>
      </c>
      <c r="K23" s="23" t="str">
        <f t="shared" si="4"/>
        <v/>
      </c>
      <c r="M23" s="23" t="e">
        <f t="shared" si="5"/>
        <v>#VALUE!</v>
      </c>
      <c r="N23" s="14">
        <f t="shared" si="6"/>
        <v>0</v>
      </c>
      <c r="AV23" s="14">
        <v>1.46</v>
      </c>
      <c r="AW23" s="14">
        <v>1.81</v>
      </c>
      <c r="AX23" s="14">
        <f t="shared" si="19"/>
        <v>0.35000000000000009</v>
      </c>
    </row>
    <row r="24" spans="1:50">
      <c r="A24" s="14">
        <v>0</v>
      </c>
      <c r="B24" s="16">
        <v>0.31329999999999997</v>
      </c>
      <c r="C24" s="14">
        <v>1.56</v>
      </c>
      <c r="D24" s="14">
        <v>1.56</v>
      </c>
      <c r="E24" s="16">
        <v>0.4113</v>
      </c>
      <c r="F24" s="14">
        <v>1.41</v>
      </c>
      <c r="G24" s="22">
        <f t="shared" si="2"/>
        <v>9.8000000000000032E-2</v>
      </c>
      <c r="H24" s="21">
        <f t="shared" ref="H24:H27" si="21">1-F24/2.65</f>
        <v>0.4679245283018868</v>
      </c>
      <c r="I24" s="22">
        <f t="shared" si="3"/>
        <v>0.15462452830188683</v>
      </c>
      <c r="J24" s="16">
        <v>0.1449</v>
      </c>
      <c r="K24" s="23">
        <f t="shared" si="4"/>
        <v>0.32302452830188677</v>
      </c>
      <c r="L24" s="14">
        <f>AVERAGE(0.34,0.7)</f>
        <v>0.52</v>
      </c>
      <c r="M24" s="23">
        <f t="shared" si="5"/>
        <v>0.16839999999999994</v>
      </c>
      <c r="N24" s="14">
        <f t="shared" si="6"/>
        <v>1.3208</v>
      </c>
      <c r="AV24" s="14">
        <v>1.46</v>
      </c>
      <c r="AW24" s="14">
        <v>1.6</v>
      </c>
      <c r="AX24" s="14">
        <f t="shared" si="19"/>
        <v>0.14000000000000012</v>
      </c>
    </row>
    <row r="25" spans="1:50">
      <c r="A25" s="14">
        <v>6</v>
      </c>
      <c r="B25" s="16">
        <v>0.40029999999999999</v>
      </c>
      <c r="C25" s="14">
        <v>1.81</v>
      </c>
      <c r="D25" s="14">
        <v>1.81</v>
      </c>
      <c r="E25" s="16">
        <v>0.317</v>
      </c>
      <c r="F25" s="14">
        <v>1.46</v>
      </c>
      <c r="G25" s="22">
        <f t="shared" si="2"/>
        <v>-8.3299999999999985E-2</v>
      </c>
      <c r="H25" s="21">
        <f t="shared" si="21"/>
        <v>0.44905660377358492</v>
      </c>
      <c r="I25" s="22">
        <f t="shared" si="3"/>
        <v>4.8756603773584928E-2</v>
      </c>
      <c r="J25" s="16">
        <v>0.24109999999999998</v>
      </c>
      <c r="K25" s="23">
        <f t="shared" si="4"/>
        <v>0.20795660377358494</v>
      </c>
      <c r="L25" s="14">
        <v>0</v>
      </c>
      <c r="M25" s="23">
        <f t="shared" si="5"/>
        <v>0.15920000000000001</v>
      </c>
      <c r="N25" s="14">
        <f t="shared" si="6"/>
        <v>0</v>
      </c>
      <c r="AV25" s="14">
        <v>1.46</v>
      </c>
      <c r="AW25" s="14">
        <v>1.63</v>
      </c>
      <c r="AX25" s="14">
        <f t="shared" si="19"/>
        <v>0.16999999999999993</v>
      </c>
    </row>
    <row r="26" spans="1:50">
      <c r="A26" s="14">
        <v>27</v>
      </c>
      <c r="B26" s="16">
        <v>0.3926</v>
      </c>
      <c r="C26" s="14">
        <v>1.71</v>
      </c>
      <c r="D26" s="14">
        <v>1.71</v>
      </c>
      <c r="E26" s="16">
        <v>0.35470000000000002</v>
      </c>
      <c r="F26" s="14">
        <v>1.58</v>
      </c>
      <c r="G26" s="22">
        <f t="shared" si="2"/>
        <v>-3.7899999999999989E-2</v>
      </c>
      <c r="H26" s="21">
        <f t="shared" si="21"/>
        <v>0.40377358490566029</v>
      </c>
      <c r="I26" s="22">
        <f t="shared" si="3"/>
        <v>1.1173584905660283E-2</v>
      </c>
      <c r="J26" s="16">
        <v>0.24299999999999999</v>
      </c>
      <c r="K26" s="23">
        <f t="shared" si="4"/>
        <v>0.16077358490566029</v>
      </c>
      <c r="L26" s="14">
        <v>0</v>
      </c>
      <c r="M26" s="23">
        <f t="shared" si="5"/>
        <v>0.14960000000000001</v>
      </c>
      <c r="N26" s="14">
        <f t="shared" si="6"/>
        <v>0</v>
      </c>
      <c r="AV26" s="14">
        <v>1.47</v>
      </c>
      <c r="AW26" s="14">
        <v>1.66</v>
      </c>
      <c r="AX26" s="14">
        <f t="shared" si="19"/>
        <v>0.18999999999999995</v>
      </c>
    </row>
    <row r="27" spans="1:50">
      <c r="A27" s="14">
        <v>47</v>
      </c>
      <c r="B27" s="16">
        <v>0.35220000000000001</v>
      </c>
      <c r="C27" s="14">
        <v>1.55</v>
      </c>
      <c r="D27" s="14">
        <v>1.55</v>
      </c>
      <c r="E27" s="16">
        <v>0.41509999999999997</v>
      </c>
      <c r="F27" s="14">
        <v>1.39</v>
      </c>
      <c r="G27" s="22">
        <f t="shared" si="2"/>
        <v>6.2899999999999956E-2</v>
      </c>
      <c r="H27" s="21">
        <f t="shared" si="21"/>
        <v>0.47547169811320755</v>
      </c>
      <c r="I27" s="22">
        <f t="shared" si="3"/>
        <v>0.12327169811320754</v>
      </c>
      <c r="J27" s="16">
        <v>0.21030000000000001</v>
      </c>
      <c r="K27" s="23">
        <f t="shared" si="4"/>
        <v>0.26517169811320751</v>
      </c>
      <c r="L27" s="14">
        <v>0</v>
      </c>
      <c r="M27" s="23">
        <f t="shared" si="5"/>
        <v>0.14189999999999997</v>
      </c>
      <c r="N27" s="14">
        <f t="shared" si="6"/>
        <v>0</v>
      </c>
      <c r="AV27" s="14">
        <v>1.48</v>
      </c>
      <c r="AW27" s="14">
        <v>1.69</v>
      </c>
      <c r="AX27" s="14">
        <f t="shared" si="19"/>
        <v>0.20999999999999996</v>
      </c>
    </row>
    <row r="28" spans="1:50">
      <c r="B28" s="16" t="s">
        <v>25</v>
      </c>
      <c r="E28" s="16"/>
      <c r="G28" s="22" t="str">
        <f t="shared" si="2"/>
        <v/>
      </c>
      <c r="I28" s="22" t="str">
        <f t="shared" si="3"/>
        <v/>
      </c>
      <c r="K28" s="23" t="str">
        <f t="shared" si="4"/>
        <v/>
      </c>
      <c r="M28" s="23" t="e">
        <f t="shared" si="5"/>
        <v>#VALUE!</v>
      </c>
      <c r="N28" s="14">
        <f t="shared" si="6"/>
        <v>0</v>
      </c>
      <c r="AV28" s="14">
        <v>1.49</v>
      </c>
      <c r="AW28" s="14">
        <v>1.65</v>
      </c>
      <c r="AX28" s="14">
        <f t="shared" si="19"/>
        <v>0.15999999999999992</v>
      </c>
    </row>
    <row r="29" spans="1:50">
      <c r="A29" s="16" t="s">
        <v>83</v>
      </c>
      <c r="E29" s="16"/>
      <c r="G29" s="22" t="str">
        <f>IFERROR(IF(OR(E29="",A29=""),"",E29-A29),"")</f>
        <v/>
      </c>
      <c r="I29" s="22" t="str">
        <f>IFERROR(IF(OR(A29="",H29=""),"",H29-A29),"")</f>
        <v/>
      </c>
      <c r="K29" s="23" t="str">
        <f t="shared" si="4"/>
        <v/>
      </c>
      <c r="M29" s="23" t="e">
        <f t="shared" si="5"/>
        <v>#VALUE!</v>
      </c>
      <c r="N29" s="14">
        <f t="shared" si="6"/>
        <v>0</v>
      </c>
      <c r="AV29" s="14">
        <v>1.49</v>
      </c>
      <c r="AW29" s="14">
        <v>1.77</v>
      </c>
      <c r="AX29" s="14">
        <f t="shared" si="19"/>
        <v>0.28000000000000003</v>
      </c>
    </row>
    <row r="30" spans="1:50">
      <c r="A30" s="14">
        <v>0</v>
      </c>
      <c r="B30" s="16">
        <v>0.33189999999999997</v>
      </c>
      <c r="C30" s="20"/>
      <c r="D30" s="20">
        <f>F30*0.2651-0.2092+F30</f>
        <v>1.5239870000000002</v>
      </c>
      <c r="E30" s="16"/>
      <c r="F30" s="14">
        <v>1.37</v>
      </c>
      <c r="G30" s="22" t="str">
        <f t="shared" si="2"/>
        <v/>
      </c>
      <c r="H30" s="21">
        <f t="shared" ref="H30:H32" si="22">1-F30/2.65</f>
        <v>0.48301886792452819</v>
      </c>
      <c r="I30" s="22">
        <f t="shared" si="3"/>
        <v>0.15111886792452822</v>
      </c>
      <c r="J30" s="16">
        <v>0.17300000000000001</v>
      </c>
      <c r="K30" s="23">
        <f t="shared" si="4"/>
        <v>0.31001886792452815</v>
      </c>
      <c r="M30" s="23">
        <f t="shared" si="5"/>
        <v>0.15889999999999993</v>
      </c>
      <c r="N30" s="14">
        <f t="shared" si="6"/>
        <v>0</v>
      </c>
      <c r="AV30" s="14">
        <v>1.5</v>
      </c>
      <c r="AW30" s="14">
        <v>1.68</v>
      </c>
      <c r="AX30" s="14">
        <f t="shared" si="19"/>
        <v>0.17999999999999994</v>
      </c>
    </row>
    <row r="31" spans="1:50">
      <c r="A31" s="14">
        <v>9</v>
      </c>
      <c r="B31" s="16">
        <v>0.36280000000000001</v>
      </c>
      <c r="C31" s="14">
        <v>1.77</v>
      </c>
      <c r="D31" s="14">
        <v>1.77</v>
      </c>
      <c r="E31" s="16">
        <v>0.33210000000000001</v>
      </c>
      <c r="F31" s="14">
        <v>1.49</v>
      </c>
      <c r="G31" s="22">
        <f t="shared" si="2"/>
        <v>-3.0700000000000005E-2</v>
      </c>
      <c r="H31" s="21">
        <f t="shared" si="22"/>
        <v>0.43773584905660379</v>
      </c>
      <c r="I31" s="22">
        <f t="shared" si="3"/>
        <v>7.4935849056603776E-2</v>
      </c>
      <c r="J31" s="16">
        <v>0.22640000000000002</v>
      </c>
      <c r="K31" s="23">
        <f t="shared" si="4"/>
        <v>0.21133584905660377</v>
      </c>
      <c r="L31" s="14">
        <v>0</v>
      </c>
      <c r="M31" s="23">
        <f t="shared" si="5"/>
        <v>0.13639999999999999</v>
      </c>
      <c r="N31" s="14">
        <f t="shared" si="6"/>
        <v>0</v>
      </c>
      <c r="AV31" s="14">
        <v>1.51</v>
      </c>
      <c r="AW31" s="14">
        <v>1.67</v>
      </c>
      <c r="AX31" s="14">
        <f t="shared" si="19"/>
        <v>0.15999999999999992</v>
      </c>
    </row>
    <row r="32" spans="1:50">
      <c r="A32" s="14">
        <v>30</v>
      </c>
      <c r="B32" s="16">
        <v>0.3705</v>
      </c>
      <c r="C32" s="14">
        <v>1.73</v>
      </c>
      <c r="D32" s="14">
        <v>1.73</v>
      </c>
      <c r="E32" s="16">
        <v>0.34720000000000001</v>
      </c>
      <c r="F32" s="14">
        <v>1.54</v>
      </c>
      <c r="G32" s="22">
        <f t="shared" si="2"/>
        <v>-2.3299999999999987E-2</v>
      </c>
      <c r="H32" s="21">
        <f t="shared" si="22"/>
        <v>0.4188679245283019</v>
      </c>
      <c r="I32" s="22">
        <f t="shared" si="3"/>
        <v>4.8367924528301909E-2</v>
      </c>
      <c r="J32" s="16">
        <v>0.23329999999999998</v>
      </c>
      <c r="K32" s="23">
        <f t="shared" si="4"/>
        <v>0.18556792452830193</v>
      </c>
      <c r="L32" s="14">
        <v>0.08</v>
      </c>
      <c r="M32" s="23">
        <f t="shared" si="5"/>
        <v>0.13720000000000002</v>
      </c>
      <c r="N32" s="14">
        <f t="shared" si="6"/>
        <v>0.20320000000000002</v>
      </c>
      <c r="AV32" s="14">
        <v>1.51</v>
      </c>
      <c r="AW32" s="14">
        <v>1.67</v>
      </c>
      <c r="AX32" s="14">
        <f t="shared" si="19"/>
        <v>0.15999999999999992</v>
      </c>
    </row>
    <row r="33" spans="1:50">
      <c r="B33" s="16" t="s">
        <v>25</v>
      </c>
      <c r="E33" s="16"/>
      <c r="G33" s="22" t="str">
        <f t="shared" si="2"/>
        <v/>
      </c>
      <c r="I33" s="22" t="str">
        <f t="shared" si="3"/>
        <v/>
      </c>
      <c r="K33" s="23" t="str">
        <f t="shared" si="4"/>
        <v/>
      </c>
      <c r="M33" s="23" t="e">
        <f t="shared" si="5"/>
        <v>#VALUE!</v>
      </c>
      <c r="N33" s="14">
        <f t="shared" si="6"/>
        <v>0</v>
      </c>
      <c r="AV33" s="14">
        <v>1.51</v>
      </c>
      <c r="AW33" s="14">
        <v>1.77</v>
      </c>
      <c r="AX33" s="14">
        <f t="shared" si="19"/>
        <v>0.26</v>
      </c>
    </row>
    <row r="34" spans="1:50">
      <c r="A34" s="16" t="s">
        <v>84</v>
      </c>
      <c r="E34" s="16"/>
      <c r="G34" s="22" t="str">
        <f>IFERROR(IF(OR(E34="",A34=""),"",E34-A34),"")</f>
        <v/>
      </c>
      <c r="I34" s="22" t="str">
        <f>IFERROR(IF(OR(A34="",H34=""),"",H34-A34),"")</f>
        <v/>
      </c>
      <c r="K34" s="23" t="str">
        <f t="shared" si="4"/>
        <v/>
      </c>
      <c r="M34" s="23" t="e">
        <f t="shared" si="5"/>
        <v>#VALUE!</v>
      </c>
      <c r="N34" s="14">
        <f t="shared" si="6"/>
        <v>0</v>
      </c>
      <c r="AV34" s="14">
        <v>1.51</v>
      </c>
      <c r="AW34" s="14">
        <v>1.8</v>
      </c>
      <c r="AX34" s="14">
        <f t="shared" si="19"/>
        <v>0.29000000000000004</v>
      </c>
    </row>
    <row r="35" spans="1:50">
      <c r="A35" s="14">
        <v>0</v>
      </c>
      <c r="B35" s="16">
        <v>0.28300000000000003</v>
      </c>
      <c r="C35" s="20"/>
      <c r="D35" s="20">
        <f>F35*0.2651-0.2092+F35</f>
        <v>1.1824100000000002</v>
      </c>
      <c r="E35" s="16"/>
      <c r="F35" s="14">
        <v>1.1000000000000001</v>
      </c>
      <c r="G35" s="22" t="str">
        <f t="shared" si="2"/>
        <v/>
      </c>
      <c r="H35" s="21">
        <f t="shared" ref="H35:H39" si="23">1-F35/2.65</f>
        <v>0.58490566037735836</v>
      </c>
      <c r="I35" s="22">
        <f t="shared" si="3"/>
        <v>0.30190566037735833</v>
      </c>
      <c r="J35" s="16">
        <v>9.8000000000000004E-2</v>
      </c>
      <c r="K35" s="23">
        <f t="shared" si="4"/>
        <v>0.48690566037735838</v>
      </c>
      <c r="M35" s="23">
        <f t="shared" si="5"/>
        <v>0.18500000000000005</v>
      </c>
      <c r="N35" s="14">
        <f t="shared" si="6"/>
        <v>0</v>
      </c>
      <c r="AV35" s="14">
        <v>1.54</v>
      </c>
      <c r="AW35" s="14">
        <v>1.71</v>
      </c>
      <c r="AX35" s="14">
        <f t="shared" si="19"/>
        <v>0.16999999999999993</v>
      </c>
    </row>
    <row r="36" spans="1:50">
      <c r="A36" s="14">
        <v>9</v>
      </c>
      <c r="B36" s="16">
        <v>0.2999</v>
      </c>
      <c r="C36" s="14">
        <v>1.49</v>
      </c>
      <c r="D36" s="14">
        <v>1.49</v>
      </c>
      <c r="E36" s="16">
        <v>0.43770000000000003</v>
      </c>
      <c r="F36" s="14">
        <v>1.35</v>
      </c>
      <c r="G36" s="22">
        <f t="shared" si="2"/>
        <v>0.13780000000000003</v>
      </c>
      <c r="H36" s="21">
        <f t="shared" si="23"/>
        <v>0.49056603773584906</v>
      </c>
      <c r="I36" s="22">
        <f t="shared" si="3"/>
        <v>0.19066603773584906</v>
      </c>
      <c r="J36" s="16">
        <v>0.17010000000000003</v>
      </c>
      <c r="K36" s="23">
        <f t="shared" si="4"/>
        <v>0.32046603773584903</v>
      </c>
      <c r="L36" s="14">
        <v>0.17</v>
      </c>
      <c r="M36" s="23">
        <f t="shared" si="5"/>
        <v>0.12979999999999997</v>
      </c>
      <c r="N36" s="14">
        <f t="shared" si="6"/>
        <v>0.43180000000000002</v>
      </c>
      <c r="AV36" s="14">
        <v>1.54</v>
      </c>
      <c r="AW36" s="14">
        <v>1.73</v>
      </c>
      <c r="AX36" s="14">
        <f t="shared" si="19"/>
        <v>0.18999999999999995</v>
      </c>
    </row>
    <row r="37" spans="1:50">
      <c r="A37" s="14">
        <v>18</v>
      </c>
      <c r="B37" s="16">
        <v>0.3332</v>
      </c>
      <c r="C37" s="14">
        <v>1.48</v>
      </c>
      <c r="D37" s="14">
        <v>1.48</v>
      </c>
      <c r="E37" s="16">
        <v>0.4415</v>
      </c>
      <c r="F37" s="14">
        <v>1.34</v>
      </c>
      <c r="G37" s="22">
        <f t="shared" si="2"/>
        <v>0.10830000000000001</v>
      </c>
      <c r="H37" s="21">
        <f t="shared" si="23"/>
        <v>0.49433962264150944</v>
      </c>
      <c r="I37" s="22">
        <f t="shared" si="3"/>
        <v>0.16113962264150944</v>
      </c>
      <c r="J37" s="16">
        <v>0.1736</v>
      </c>
      <c r="K37" s="23">
        <f t="shared" si="4"/>
        <v>0.32073962264150946</v>
      </c>
      <c r="L37" s="14">
        <v>0.43</v>
      </c>
      <c r="M37" s="23">
        <f t="shared" si="5"/>
        <v>0.15960000000000002</v>
      </c>
      <c r="N37" s="14">
        <f t="shared" si="6"/>
        <v>1.0922000000000001</v>
      </c>
      <c r="AV37" s="14">
        <v>1.58</v>
      </c>
      <c r="AW37" s="14">
        <v>1.71</v>
      </c>
      <c r="AX37" s="14">
        <f t="shared" si="19"/>
        <v>0.12999999999999989</v>
      </c>
    </row>
    <row r="38" spans="1:50">
      <c r="A38" s="14">
        <v>29</v>
      </c>
      <c r="B38" s="16">
        <v>0.36820000000000003</v>
      </c>
      <c r="C38" s="14">
        <v>1.67</v>
      </c>
      <c r="D38" s="14">
        <v>1.67</v>
      </c>
      <c r="E38" s="16">
        <v>0.36979999999999996</v>
      </c>
      <c r="F38" s="14">
        <v>1.51</v>
      </c>
      <c r="G38" s="22">
        <f t="shared" si="2"/>
        <v>1.5999999999999348E-3</v>
      </c>
      <c r="H38" s="21">
        <f t="shared" si="23"/>
        <v>0.43018867924528303</v>
      </c>
      <c r="I38" s="22">
        <f t="shared" si="3"/>
        <v>6.1988679245283007E-2</v>
      </c>
      <c r="J38" s="16">
        <v>0.19079999999999997</v>
      </c>
      <c r="K38" s="23">
        <f t="shared" si="4"/>
        <v>0.23938867924528306</v>
      </c>
      <c r="L38" s="14">
        <v>0.13</v>
      </c>
      <c r="M38" s="23">
        <f t="shared" si="5"/>
        <v>0.17740000000000006</v>
      </c>
      <c r="N38" s="14">
        <f t="shared" si="6"/>
        <v>0.33019999999999999</v>
      </c>
      <c r="AV38" s="14">
        <v>1.59</v>
      </c>
      <c r="AW38" s="14">
        <v>1.79</v>
      </c>
      <c r="AX38" s="14">
        <f t="shared" si="19"/>
        <v>0.19999999999999996</v>
      </c>
    </row>
    <row r="39" spans="1:50">
      <c r="A39" s="14">
        <v>42</v>
      </c>
      <c r="B39" s="16">
        <v>0.37340000000000001</v>
      </c>
      <c r="C39" s="14">
        <v>1.6</v>
      </c>
      <c r="D39" s="14">
        <v>1.6</v>
      </c>
      <c r="E39" s="16">
        <v>0.3962</v>
      </c>
      <c r="F39" s="14">
        <v>1.46</v>
      </c>
      <c r="G39" s="22">
        <f t="shared" si="2"/>
        <v>2.2799999999999987E-2</v>
      </c>
      <c r="H39" s="21">
        <f t="shared" si="23"/>
        <v>0.44905660377358492</v>
      </c>
      <c r="I39" s="22">
        <f t="shared" si="3"/>
        <v>7.5656603773584907E-2</v>
      </c>
      <c r="J39" s="16">
        <v>0.1956</v>
      </c>
      <c r="K39" s="23">
        <f t="shared" si="4"/>
        <v>0.25345660377358492</v>
      </c>
      <c r="L39" s="14">
        <v>0.09</v>
      </c>
      <c r="M39" s="23">
        <f t="shared" si="5"/>
        <v>0.17780000000000001</v>
      </c>
      <c r="N39" s="14">
        <f t="shared" si="6"/>
        <v>0.2286</v>
      </c>
    </row>
    <row r="40" spans="1:50">
      <c r="B40" s="16" t="s">
        <v>25</v>
      </c>
      <c r="E40" s="16"/>
      <c r="G40" s="22" t="str">
        <f t="shared" si="2"/>
        <v/>
      </c>
      <c r="I40" s="22" t="str">
        <f t="shared" si="3"/>
        <v/>
      </c>
      <c r="K40" s="23" t="str">
        <f t="shared" si="4"/>
        <v/>
      </c>
      <c r="M40" s="23" t="e">
        <f t="shared" si="5"/>
        <v>#VALUE!</v>
      </c>
      <c r="N40" s="14">
        <f t="shared" si="6"/>
        <v>0</v>
      </c>
    </row>
    <row r="41" spans="1:50">
      <c r="A41" s="16" t="s">
        <v>84</v>
      </c>
      <c r="E41" s="16"/>
      <c r="G41" s="22" t="str">
        <f>IFERROR(IF(OR(E41="",A41=""),"",E41-A41),"")</f>
        <v/>
      </c>
      <c r="I41" s="22" t="str">
        <f>IFERROR(IF(OR(A41="",H41=""),"",H41-A41),"")</f>
        <v/>
      </c>
      <c r="K41" s="23" t="str">
        <f t="shared" si="4"/>
        <v/>
      </c>
      <c r="M41" s="23" t="e">
        <f t="shared" si="5"/>
        <v>#VALUE!</v>
      </c>
      <c r="N41" s="14">
        <f t="shared" si="6"/>
        <v>0</v>
      </c>
    </row>
    <row r="42" spans="1:50">
      <c r="A42" s="14">
        <v>0</v>
      </c>
      <c r="B42" s="16">
        <v>0.3054</v>
      </c>
      <c r="C42" s="20"/>
      <c r="D42" s="20">
        <f>F42*0.2651-0.2092+F42</f>
        <v>1.2077120000000001</v>
      </c>
      <c r="E42" s="16"/>
      <c r="F42" s="14">
        <v>1.1200000000000001</v>
      </c>
      <c r="G42" s="22" t="str">
        <f t="shared" si="2"/>
        <v/>
      </c>
      <c r="H42" s="21">
        <f t="shared" ref="H42:H46" si="24">1-F42/2.65</f>
        <v>0.57735849056603761</v>
      </c>
      <c r="I42" s="22">
        <f t="shared" si="3"/>
        <v>0.2719584905660376</v>
      </c>
      <c r="J42" s="16">
        <v>0.13189999999999999</v>
      </c>
      <c r="K42" s="23">
        <f t="shared" si="4"/>
        <v>0.44545849056603759</v>
      </c>
      <c r="M42" s="23">
        <f t="shared" si="5"/>
        <v>0.17349999999999999</v>
      </c>
      <c r="N42" s="14">
        <f t="shared" si="6"/>
        <v>0</v>
      </c>
    </row>
    <row r="43" spans="1:50">
      <c r="A43" s="14">
        <v>7</v>
      </c>
      <c r="B43" s="16">
        <v>0.31370000000000003</v>
      </c>
      <c r="C43" s="20"/>
      <c r="D43" s="20">
        <f>F43*0.2651-0.2092+F43</f>
        <v>1.270967</v>
      </c>
      <c r="E43" s="16"/>
      <c r="F43" s="14">
        <v>1.17</v>
      </c>
      <c r="G43" s="22" t="str">
        <f t="shared" si="2"/>
        <v/>
      </c>
      <c r="H43" s="21">
        <f t="shared" si="24"/>
        <v>0.55849056603773584</v>
      </c>
      <c r="I43" s="22">
        <f t="shared" si="3"/>
        <v>0.2447905660377358</v>
      </c>
      <c r="J43" s="16">
        <v>0.1386</v>
      </c>
      <c r="K43" s="23">
        <f t="shared" si="4"/>
        <v>0.41989056603773584</v>
      </c>
      <c r="M43" s="23">
        <f t="shared" si="5"/>
        <v>0.17510000000000003</v>
      </c>
      <c r="N43" s="14">
        <f t="shared" si="6"/>
        <v>0</v>
      </c>
    </row>
    <row r="44" spans="1:50">
      <c r="A44" s="14">
        <v>14</v>
      </c>
      <c r="B44" s="16">
        <v>0.3725</v>
      </c>
      <c r="C44" s="14">
        <v>1.63</v>
      </c>
      <c r="D44" s="14">
        <v>1.63</v>
      </c>
      <c r="E44" s="16">
        <v>0.38490000000000002</v>
      </c>
      <c r="F44" s="14">
        <v>1.46</v>
      </c>
      <c r="G44" s="22">
        <f t="shared" si="2"/>
        <v>1.2400000000000022E-2</v>
      </c>
      <c r="H44" s="21">
        <f t="shared" si="24"/>
        <v>0.44905660377358492</v>
      </c>
      <c r="I44" s="22">
        <f t="shared" si="3"/>
        <v>7.6556603773584919E-2</v>
      </c>
      <c r="J44" s="16">
        <v>0.21899999999999997</v>
      </c>
      <c r="K44" s="23">
        <f t="shared" si="4"/>
        <v>0.23005660377358494</v>
      </c>
      <c r="L44" s="14">
        <v>0.23</v>
      </c>
      <c r="M44" s="23">
        <f t="shared" si="5"/>
        <v>0.15350000000000003</v>
      </c>
      <c r="N44" s="14">
        <f t="shared" si="6"/>
        <v>0.58420000000000005</v>
      </c>
      <c r="T44" s="14" t="s">
        <v>85</v>
      </c>
    </row>
    <row r="45" spans="1:50">
      <c r="A45" s="14">
        <v>24</v>
      </c>
      <c r="B45" s="16">
        <v>0.37060000000000004</v>
      </c>
      <c r="C45" s="14">
        <v>1.61</v>
      </c>
      <c r="D45" s="14">
        <v>1.61</v>
      </c>
      <c r="E45" s="16">
        <v>0.39250000000000002</v>
      </c>
      <c r="F45" s="14">
        <v>1.43</v>
      </c>
      <c r="G45" s="22">
        <f t="shared" si="2"/>
        <v>2.1899999999999975E-2</v>
      </c>
      <c r="H45" s="21">
        <f t="shared" si="24"/>
        <v>0.46037735849056605</v>
      </c>
      <c r="I45" s="22">
        <f t="shared" si="3"/>
        <v>8.9777358490566006E-2</v>
      </c>
      <c r="J45" s="16">
        <v>0.2213</v>
      </c>
      <c r="K45" s="23">
        <f t="shared" si="4"/>
        <v>0.23907735849056605</v>
      </c>
      <c r="L45" s="14">
        <v>0.12</v>
      </c>
      <c r="M45" s="23">
        <f t="shared" si="5"/>
        <v>0.14930000000000004</v>
      </c>
      <c r="N45" s="14">
        <f t="shared" si="6"/>
        <v>0.30480000000000002</v>
      </c>
    </row>
    <row r="46" spans="1:50">
      <c r="A46" s="14">
        <v>40</v>
      </c>
      <c r="B46" s="16">
        <v>0.34189999999999998</v>
      </c>
      <c r="C46" s="14">
        <v>1.51</v>
      </c>
      <c r="D46" s="14">
        <v>1.51</v>
      </c>
      <c r="E46" s="16">
        <v>0.43020000000000003</v>
      </c>
      <c r="F46" s="14">
        <v>1.34</v>
      </c>
      <c r="G46" s="22">
        <f t="shared" si="2"/>
        <v>8.8300000000000045E-2</v>
      </c>
      <c r="H46" s="21">
        <f t="shared" si="24"/>
        <v>0.49433962264150944</v>
      </c>
      <c r="I46" s="22">
        <f t="shared" si="3"/>
        <v>0.15243962264150945</v>
      </c>
      <c r="J46" s="16">
        <v>0.18230000000000002</v>
      </c>
      <c r="K46" s="23">
        <f t="shared" si="4"/>
        <v>0.31203962264150942</v>
      </c>
      <c r="L46" s="14">
        <v>0.23</v>
      </c>
      <c r="M46" s="23">
        <f t="shared" si="5"/>
        <v>0.15959999999999996</v>
      </c>
      <c r="N46" s="14">
        <f t="shared" si="6"/>
        <v>0.58420000000000005</v>
      </c>
      <c r="AW46" s="20"/>
    </row>
    <row r="47" spans="1:50">
      <c r="B47" s="16" t="s">
        <v>25</v>
      </c>
      <c r="E47" s="16"/>
      <c r="G47" s="22" t="str">
        <f t="shared" si="2"/>
        <v/>
      </c>
      <c r="I47" s="22" t="str">
        <f t="shared" si="3"/>
        <v/>
      </c>
      <c r="K47" s="23" t="str">
        <f t="shared" si="4"/>
        <v/>
      </c>
      <c r="M47" s="23" t="e">
        <f t="shared" si="5"/>
        <v>#VALUE!</v>
      </c>
      <c r="N47" s="14">
        <f t="shared" si="6"/>
        <v>0</v>
      </c>
    </row>
    <row r="48" spans="1:50">
      <c r="A48" s="16" t="s">
        <v>86</v>
      </c>
      <c r="E48" s="16"/>
      <c r="G48" s="22" t="str">
        <f>IFERROR(IF(OR(E48="",A48=""),"",E48-A48),"")</f>
        <v/>
      </c>
      <c r="I48" s="22" t="str">
        <f>IFERROR(IF(OR(A48="",H48=""),"",H48-A48),"")</f>
        <v/>
      </c>
      <c r="K48" s="23" t="str">
        <f t="shared" si="4"/>
        <v/>
      </c>
      <c r="M48" s="23" t="e">
        <f t="shared" si="5"/>
        <v>#VALUE!</v>
      </c>
      <c r="N48" s="14">
        <f t="shared" si="6"/>
        <v>0</v>
      </c>
    </row>
    <row r="49" spans="1:49">
      <c r="A49" s="14">
        <v>0</v>
      </c>
      <c r="B49" s="16">
        <v>0.31170000000000003</v>
      </c>
      <c r="C49" s="14">
        <v>1.4</v>
      </c>
      <c r="D49" s="14">
        <v>1.4</v>
      </c>
      <c r="E49" s="16">
        <v>0.47170000000000001</v>
      </c>
      <c r="F49" s="14">
        <v>1.27</v>
      </c>
      <c r="G49" s="22">
        <f t="shared" si="2"/>
        <v>0.15999999999999998</v>
      </c>
      <c r="H49" s="21">
        <f t="shared" ref="H49:H53" si="25">1-F49/2.65</f>
        <v>0.52075471698113207</v>
      </c>
      <c r="I49" s="22">
        <f t="shared" si="3"/>
        <v>0.20905471698113204</v>
      </c>
      <c r="J49" s="16">
        <v>0.13200000000000001</v>
      </c>
      <c r="K49" s="23">
        <f t="shared" si="4"/>
        <v>0.38875471698113206</v>
      </c>
      <c r="L49" s="14">
        <v>0.51</v>
      </c>
      <c r="M49" s="23">
        <f t="shared" si="5"/>
        <v>0.17970000000000003</v>
      </c>
      <c r="N49" s="14">
        <f t="shared" si="6"/>
        <v>1.2954000000000001</v>
      </c>
      <c r="AW49" s="20"/>
    </row>
    <row r="50" spans="1:49">
      <c r="A50" s="14">
        <v>9</v>
      </c>
      <c r="B50" s="16">
        <v>0.2848</v>
      </c>
      <c r="C50" s="14">
        <v>1.43</v>
      </c>
      <c r="D50" s="14">
        <v>1.43</v>
      </c>
      <c r="E50" s="16">
        <v>0.46039999999999998</v>
      </c>
      <c r="F50" s="14">
        <v>1.27</v>
      </c>
      <c r="G50" s="22">
        <f t="shared" si="2"/>
        <v>0.17559999999999998</v>
      </c>
      <c r="H50" s="21">
        <f t="shared" si="25"/>
        <v>0.52075471698113207</v>
      </c>
      <c r="I50" s="22">
        <f t="shared" si="3"/>
        <v>0.23595471698113207</v>
      </c>
      <c r="J50" s="16">
        <v>0.1736</v>
      </c>
      <c r="K50" s="23">
        <f t="shared" si="4"/>
        <v>0.34715471698113209</v>
      </c>
      <c r="L50" s="14">
        <v>0.5</v>
      </c>
      <c r="M50" s="23">
        <f t="shared" si="5"/>
        <v>0.11120000000000002</v>
      </c>
      <c r="N50" s="14">
        <f t="shared" si="6"/>
        <v>1.27</v>
      </c>
    </row>
    <row r="51" spans="1:49">
      <c r="A51" s="14">
        <v>18</v>
      </c>
      <c r="B51" s="16">
        <v>0.35220000000000001</v>
      </c>
      <c r="C51" s="14">
        <v>1.77</v>
      </c>
      <c r="D51" s="14">
        <v>1.77</v>
      </c>
      <c r="E51" s="16">
        <v>0.33210000000000001</v>
      </c>
      <c r="F51" s="14">
        <v>1.51</v>
      </c>
      <c r="G51" s="22">
        <f t="shared" si="2"/>
        <v>-2.0100000000000007E-2</v>
      </c>
      <c r="H51" s="21">
        <f t="shared" si="25"/>
        <v>0.43018867924528303</v>
      </c>
      <c r="I51" s="22">
        <f t="shared" si="3"/>
        <v>7.7988679245283021E-2</v>
      </c>
      <c r="J51" s="16">
        <v>0.23760000000000001</v>
      </c>
      <c r="K51" s="23">
        <f t="shared" si="4"/>
        <v>0.19258867924528303</v>
      </c>
      <c r="L51" s="14">
        <v>7.0000000000000007E-2</v>
      </c>
      <c r="M51" s="23">
        <f t="shared" si="5"/>
        <v>0.11460000000000001</v>
      </c>
      <c r="N51" s="14">
        <f t="shared" si="6"/>
        <v>0.17780000000000001</v>
      </c>
    </row>
    <row r="52" spans="1:49">
      <c r="A52" s="14">
        <v>33</v>
      </c>
      <c r="B52" s="16">
        <v>0.37390000000000001</v>
      </c>
      <c r="C52" s="14">
        <v>1.79</v>
      </c>
      <c r="D52" s="14">
        <v>1.79</v>
      </c>
      <c r="E52" s="16">
        <v>0.32450000000000001</v>
      </c>
      <c r="F52" s="14">
        <v>1.59</v>
      </c>
      <c r="G52" s="22">
        <f t="shared" si="2"/>
        <v>-4.9399999999999999E-2</v>
      </c>
      <c r="H52" s="21">
        <f t="shared" si="25"/>
        <v>0.39999999999999991</v>
      </c>
      <c r="I52" s="22">
        <f t="shared" si="3"/>
        <v>2.6099999999999901E-2</v>
      </c>
      <c r="J52" s="16">
        <v>0.22949999999999998</v>
      </c>
      <c r="K52" s="23">
        <f t="shared" si="4"/>
        <v>0.17049999999999993</v>
      </c>
      <c r="L52" s="14">
        <v>0.04</v>
      </c>
      <c r="M52" s="23">
        <f t="shared" si="5"/>
        <v>0.14440000000000003</v>
      </c>
      <c r="N52" s="14">
        <f t="shared" si="6"/>
        <v>0.10160000000000001</v>
      </c>
      <c r="AW52" s="20"/>
    </row>
    <row r="53" spans="1:49">
      <c r="A53" s="14">
        <v>47</v>
      </c>
      <c r="B53" s="16">
        <v>0.26679999999999998</v>
      </c>
      <c r="C53" s="20"/>
      <c r="D53" s="20">
        <f>F53*0.2651-0.2092+F53</f>
        <v>1.4607320000000001</v>
      </c>
      <c r="E53" s="16"/>
      <c r="F53" s="14">
        <v>1.32</v>
      </c>
      <c r="G53" s="22" t="str">
        <f t="shared" si="2"/>
        <v/>
      </c>
      <c r="H53" s="21">
        <f t="shared" si="25"/>
        <v>0.50188679245283008</v>
      </c>
      <c r="I53" s="22">
        <f t="shared" si="3"/>
        <v>0.2350867924528301</v>
      </c>
      <c r="J53" s="16">
        <v>0.17309999999999998</v>
      </c>
      <c r="K53" s="23">
        <f t="shared" si="4"/>
        <v>0.3287867924528301</v>
      </c>
      <c r="M53" s="23">
        <f t="shared" si="5"/>
        <v>9.3700000000000006E-2</v>
      </c>
      <c r="N53" s="14">
        <f t="shared" si="6"/>
        <v>0</v>
      </c>
      <c r="P53" t="s">
        <v>46</v>
      </c>
      <c r="Q53"/>
      <c r="R53"/>
      <c r="AW53" s="20"/>
    </row>
    <row r="54" spans="1:49">
      <c r="B54" s="16" t="s">
        <v>25</v>
      </c>
      <c r="E54" s="16"/>
      <c r="G54" s="22" t="str">
        <f t="shared" si="2"/>
        <v/>
      </c>
      <c r="I54" s="22" t="str">
        <f t="shared" si="3"/>
        <v/>
      </c>
      <c r="K54" s="23"/>
      <c r="M54" s="23" t="e">
        <f t="shared" si="5"/>
        <v>#VALUE!</v>
      </c>
      <c r="N54" s="14">
        <f t="shared" si="6"/>
        <v>0</v>
      </c>
      <c r="P54"/>
      <c r="Q54"/>
      <c r="R54"/>
    </row>
    <row r="55" spans="1:49">
      <c r="A55" s="16" t="s">
        <v>86</v>
      </c>
      <c r="E55" s="16"/>
      <c r="G55" s="22" t="str">
        <f>IFERROR(IF(OR(E55="",A55=""),"",E55-A55),"")</f>
        <v/>
      </c>
      <c r="I55" s="22" t="str">
        <f>IFERROR(IF(OR(A55="",H55=""),"",H55-A55),"")</f>
        <v/>
      </c>
      <c r="K55" s="23"/>
      <c r="M55" s="23" t="e">
        <f t="shared" si="5"/>
        <v>#VALUE!</v>
      </c>
      <c r="N55" s="14">
        <f t="shared" si="6"/>
        <v>0</v>
      </c>
      <c r="P55" t="s">
        <v>47</v>
      </c>
      <c r="Q55"/>
      <c r="R55"/>
    </row>
    <row r="56" spans="1:49">
      <c r="A56" s="14">
        <v>0</v>
      </c>
      <c r="B56" s="16">
        <v>0.2427</v>
      </c>
      <c r="C56" s="20"/>
      <c r="D56" s="20">
        <f>F56*0.2651-0.2092+F56</f>
        <v>1.1950610000000002</v>
      </c>
      <c r="E56" s="16"/>
      <c r="F56" s="14">
        <v>1.1100000000000001</v>
      </c>
      <c r="G56" s="22" t="str">
        <f t="shared" si="2"/>
        <v/>
      </c>
      <c r="H56" s="21">
        <f t="shared" ref="H56:H59" si="26">1-F56/2.65</f>
        <v>0.58113207547169798</v>
      </c>
      <c r="I56" s="22">
        <f t="shared" si="3"/>
        <v>0.33843207547169796</v>
      </c>
      <c r="J56" s="16">
        <v>0.1124</v>
      </c>
      <c r="K56" s="23">
        <f t="shared" ref="K56:K59" si="27">H56-J56</f>
        <v>0.46873207547169798</v>
      </c>
      <c r="M56" s="23">
        <f t="shared" si="5"/>
        <v>0.13030000000000003</v>
      </c>
      <c r="N56" s="14">
        <f t="shared" si="6"/>
        <v>0</v>
      </c>
      <c r="P56" t="s">
        <v>48</v>
      </c>
      <c r="Q56" s="13" t="s">
        <v>49</v>
      </c>
      <c r="R56" s="9" t="s">
        <v>50</v>
      </c>
      <c r="AW56" s="20"/>
    </row>
    <row r="57" spans="1:49">
      <c r="A57" s="14">
        <v>6</v>
      </c>
      <c r="B57" s="16">
        <v>0.29160000000000003</v>
      </c>
      <c r="C57" s="14">
        <v>1.43</v>
      </c>
      <c r="D57" s="14">
        <v>1.43</v>
      </c>
      <c r="E57" s="16">
        <v>0.46039999999999998</v>
      </c>
      <c r="F57" s="14">
        <v>1.29</v>
      </c>
      <c r="G57" s="22">
        <f t="shared" si="2"/>
        <v>0.16879999999999995</v>
      </c>
      <c r="H57" s="21">
        <f t="shared" si="26"/>
        <v>0.51320754716981132</v>
      </c>
      <c r="I57" s="22">
        <f t="shared" si="3"/>
        <v>0.22160754716981129</v>
      </c>
      <c r="J57" s="16">
        <v>0.17460000000000001</v>
      </c>
      <c r="K57" s="23">
        <f t="shared" si="27"/>
        <v>0.33860754716981134</v>
      </c>
      <c r="L57" s="14">
        <v>0.86</v>
      </c>
      <c r="M57" s="23">
        <f t="shared" si="5"/>
        <v>0.11700000000000005</v>
      </c>
      <c r="N57" s="14">
        <f t="shared" si="6"/>
        <v>2.1844000000000001</v>
      </c>
      <c r="P57" t="s">
        <v>51</v>
      </c>
      <c r="Q57">
        <v>0.308</v>
      </c>
      <c r="R57"/>
    </row>
    <row r="58" spans="1:49">
      <c r="A58" s="14">
        <v>18</v>
      </c>
      <c r="B58" s="16">
        <v>0.38380000000000003</v>
      </c>
      <c r="C58" s="14">
        <v>1.8</v>
      </c>
      <c r="D58" s="14">
        <v>1.8</v>
      </c>
      <c r="E58" s="16">
        <v>0.32079999999999997</v>
      </c>
      <c r="F58" s="14">
        <v>1.51</v>
      </c>
      <c r="G58" s="22">
        <f t="shared" si="2"/>
        <v>-6.3000000000000056E-2</v>
      </c>
      <c r="H58" s="21">
        <f t="shared" si="26"/>
        <v>0.43018867924528303</v>
      </c>
      <c r="I58" s="22">
        <f t="shared" si="3"/>
        <v>4.6388679245283004E-2</v>
      </c>
      <c r="J58" s="16">
        <v>0.2515</v>
      </c>
      <c r="K58" s="23">
        <f t="shared" si="27"/>
        <v>0.17868867924528303</v>
      </c>
      <c r="L58" s="14">
        <v>0.17</v>
      </c>
      <c r="M58" s="23">
        <f t="shared" si="5"/>
        <v>0.13230000000000003</v>
      </c>
      <c r="N58" s="14">
        <f t="shared" si="6"/>
        <v>0.43180000000000002</v>
      </c>
      <c r="P58" t="s">
        <v>52</v>
      </c>
      <c r="Q58">
        <v>0.16600000000000001</v>
      </c>
      <c r="R58"/>
    </row>
    <row r="59" spans="1:49">
      <c r="A59" s="14">
        <v>48</v>
      </c>
      <c r="B59" s="16">
        <v>0.40429999999999999</v>
      </c>
      <c r="C59" s="14">
        <v>1.69</v>
      </c>
      <c r="D59" s="14">
        <v>1.69</v>
      </c>
      <c r="E59" s="16">
        <v>0.36229999999999996</v>
      </c>
      <c r="F59" s="14">
        <v>1.48</v>
      </c>
      <c r="G59" s="22">
        <f t="shared" si="2"/>
        <v>-4.2000000000000037E-2</v>
      </c>
      <c r="H59" s="21">
        <f t="shared" si="26"/>
        <v>0.44150943396226416</v>
      </c>
      <c r="I59" s="22">
        <f t="shared" si="3"/>
        <v>3.7209433962264171E-2</v>
      </c>
      <c r="J59" s="16">
        <v>0.25819999999999999</v>
      </c>
      <c r="K59" s="23">
        <f t="shared" si="27"/>
        <v>0.18330943396226418</v>
      </c>
      <c r="L59" s="14">
        <v>0.17</v>
      </c>
      <c r="M59" s="23">
        <f t="shared" si="5"/>
        <v>0.14610000000000001</v>
      </c>
      <c r="N59" s="14">
        <f t="shared" si="6"/>
        <v>0.43180000000000002</v>
      </c>
      <c r="P59" t="s">
        <v>53</v>
      </c>
      <c r="Q59">
        <v>0.18</v>
      </c>
      <c r="R59"/>
      <c r="AW59" s="2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3:AC46"/>
  <sheetViews>
    <sheetView topLeftCell="A4" workbookViewId="0">
      <selection activeCell="H43" sqref="H43"/>
    </sheetView>
  </sheetViews>
  <sheetFormatPr defaultRowHeight="15"/>
  <cols>
    <col min="3" max="3" width="8.140625" customWidth="1"/>
    <col min="4" max="4" width="13" customWidth="1"/>
    <col min="5" max="5" width="11.42578125" customWidth="1"/>
    <col min="8" max="8" width="10.28515625" customWidth="1"/>
    <col min="9" max="9" width="11.140625" customWidth="1"/>
    <col min="10" max="10" width="11" customWidth="1"/>
    <col min="11" max="11" width="10" customWidth="1"/>
    <col min="18" max="18" width="11.5703125" customWidth="1"/>
    <col min="19" max="20" width="11.7109375" customWidth="1"/>
    <col min="21" max="21" width="12" customWidth="1"/>
    <col min="28" max="28" width="10.5703125" customWidth="1"/>
  </cols>
  <sheetData>
    <row r="3" spans="1:29">
      <c r="A3" t="s">
        <v>21</v>
      </c>
      <c r="B3" t="s">
        <v>18</v>
      </c>
      <c r="C3" t="s">
        <v>5</v>
      </c>
      <c r="D3" t="s">
        <v>20</v>
      </c>
      <c r="E3" t="s">
        <v>22</v>
      </c>
      <c r="H3" s="3"/>
      <c r="I3" s="3"/>
      <c r="J3" s="3"/>
      <c r="K3" s="3"/>
      <c r="R3" s="3"/>
      <c r="S3" s="3"/>
      <c r="T3" s="3"/>
      <c r="U3" s="3"/>
      <c r="AB3" s="3"/>
      <c r="AC3" s="3"/>
    </row>
    <row r="4" spans="1:29">
      <c r="A4">
        <v>2013</v>
      </c>
      <c r="B4" t="s">
        <v>1</v>
      </c>
      <c r="C4">
        <v>1</v>
      </c>
      <c r="D4" s="4">
        <v>5337.5865000000003</v>
      </c>
      <c r="E4" s="4">
        <v>12.3</v>
      </c>
      <c r="H4" s="4"/>
      <c r="I4" s="4"/>
      <c r="J4" s="4"/>
      <c r="K4" s="4"/>
      <c r="R4" s="4"/>
      <c r="S4" s="4"/>
      <c r="T4" s="4"/>
      <c r="U4" s="4"/>
      <c r="AB4" s="4"/>
      <c r="AC4" s="4"/>
    </row>
    <row r="5" spans="1:29">
      <c r="A5">
        <v>2013</v>
      </c>
      <c r="B5" t="s">
        <v>1</v>
      </c>
      <c r="C5">
        <v>2</v>
      </c>
      <c r="D5" s="4">
        <v>3274.3740000000003</v>
      </c>
      <c r="E5" s="4">
        <v>12.9</v>
      </c>
      <c r="H5" s="4"/>
      <c r="I5" s="4"/>
      <c r="J5" s="4"/>
      <c r="K5" s="4"/>
      <c r="R5" s="4"/>
      <c r="S5" s="4"/>
      <c r="T5" s="4"/>
      <c r="U5" s="4"/>
      <c r="AB5" s="4"/>
      <c r="AC5" s="4"/>
    </row>
    <row r="6" spans="1:29">
      <c r="A6">
        <v>2013</v>
      </c>
      <c r="B6" t="s">
        <v>1</v>
      </c>
      <c r="C6">
        <v>3</v>
      </c>
      <c r="D6" s="4">
        <v>5868.4455000000007</v>
      </c>
      <c r="E6" s="4">
        <v>13.6</v>
      </c>
      <c r="H6" s="4"/>
      <c r="I6" s="4"/>
      <c r="J6" s="4"/>
      <c r="K6" s="4"/>
      <c r="R6" s="4"/>
      <c r="S6" s="4"/>
      <c r="T6" s="4"/>
      <c r="U6" s="4"/>
      <c r="AB6" s="4"/>
      <c r="AC6" s="4"/>
    </row>
    <row r="7" spans="1:29">
      <c r="A7">
        <v>2013</v>
      </c>
      <c r="B7" t="s">
        <v>1</v>
      </c>
      <c r="C7">
        <v>4</v>
      </c>
      <c r="D7" s="4">
        <v>4568.0640000000003</v>
      </c>
      <c r="E7" s="4">
        <v>12</v>
      </c>
      <c r="H7" s="4"/>
      <c r="I7" s="4"/>
      <c r="J7" s="4"/>
      <c r="K7" s="4"/>
      <c r="R7" s="4"/>
      <c r="S7" s="4"/>
      <c r="T7" s="4"/>
      <c r="U7" s="4"/>
      <c r="AB7" s="4"/>
      <c r="AC7" s="4"/>
    </row>
    <row r="8" spans="1:29">
      <c r="A8">
        <v>2013</v>
      </c>
      <c r="B8" t="s">
        <v>1</v>
      </c>
      <c r="C8">
        <v>5</v>
      </c>
      <c r="D8" s="4">
        <v>2924.1855</v>
      </c>
      <c r="E8" s="4">
        <v>14.2</v>
      </c>
      <c r="H8" s="4"/>
      <c r="I8" s="4"/>
      <c r="J8" s="4"/>
      <c r="K8" s="4"/>
      <c r="R8" s="4"/>
      <c r="S8" s="4"/>
      <c r="T8" s="4"/>
      <c r="U8" s="4"/>
      <c r="AB8" s="4"/>
      <c r="AC8" s="4"/>
    </row>
    <row r="9" spans="1:29">
      <c r="A9">
        <v>2013</v>
      </c>
      <c r="B9" t="s">
        <v>1</v>
      </c>
      <c r="C9">
        <v>6</v>
      </c>
      <c r="D9" s="4">
        <v>4255.7939999999999</v>
      </c>
      <c r="E9" s="4">
        <v>12.5</v>
      </c>
      <c r="H9" s="4"/>
      <c r="I9" s="4"/>
      <c r="J9" s="4"/>
      <c r="K9" s="4"/>
      <c r="R9" s="4"/>
      <c r="S9" s="4"/>
      <c r="T9" s="4"/>
      <c r="U9" s="4"/>
      <c r="AB9" s="4"/>
      <c r="AC9" s="4"/>
    </row>
    <row r="10" spans="1:29">
      <c r="A10">
        <v>2013</v>
      </c>
      <c r="B10" t="s">
        <v>1</v>
      </c>
      <c r="C10">
        <v>7</v>
      </c>
      <c r="D10" s="4">
        <v>3528.6510000000003</v>
      </c>
      <c r="E10" s="4">
        <v>12.2</v>
      </c>
      <c r="H10" s="4"/>
      <c r="I10" s="4"/>
      <c r="J10" s="4"/>
      <c r="K10" s="4"/>
      <c r="R10" s="4"/>
      <c r="S10" s="4"/>
      <c r="T10" s="4"/>
      <c r="U10" s="4"/>
      <c r="AB10" s="4"/>
      <c r="AC10" s="4"/>
    </row>
    <row r="11" spans="1:29">
      <c r="A11">
        <v>2013</v>
      </c>
      <c r="B11" t="s">
        <v>1</v>
      </c>
      <c r="C11">
        <v>8</v>
      </c>
      <c r="D11" s="4">
        <v>3205.2285000000002</v>
      </c>
      <c r="E11" s="4">
        <v>11.7</v>
      </c>
      <c r="H11" s="4"/>
      <c r="I11" s="4"/>
      <c r="J11" s="4"/>
      <c r="K11" s="4"/>
      <c r="R11" s="4"/>
      <c r="S11" s="4"/>
      <c r="T11" s="4"/>
      <c r="U11" s="4"/>
      <c r="AB11" s="4"/>
      <c r="AC11" s="4"/>
    </row>
    <row r="12" spans="1:29">
      <c r="A12">
        <v>2013</v>
      </c>
      <c r="B12" t="s">
        <v>1</v>
      </c>
      <c r="C12">
        <v>9</v>
      </c>
      <c r="D12" s="4">
        <v>3825.3075000000003</v>
      </c>
      <c r="E12" s="4">
        <v>13.6</v>
      </c>
      <c r="H12" s="4"/>
      <c r="I12" s="4"/>
      <c r="J12" s="4"/>
      <c r="K12" s="4"/>
      <c r="R12" s="4"/>
      <c r="S12" s="4"/>
      <c r="T12" s="4"/>
      <c r="U12" s="4"/>
      <c r="AB12" s="4"/>
      <c r="AC12" s="4"/>
    </row>
    <row r="13" spans="1:29">
      <c r="A13">
        <v>2013</v>
      </c>
      <c r="B13" t="s">
        <v>1</v>
      </c>
      <c r="C13">
        <v>10</v>
      </c>
      <c r="D13" s="4">
        <v>2466.933</v>
      </c>
      <c r="E13" s="4">
        <v>11.8</v>
      </c>
      <c r="H13" s="4"/>
      <c r="I13" s="4"/>
      <c r="J13" s="4"/>
      <c r="K13" s="4"/>
      <c r="R13" s="4"/>
      <c r="S13" s="4"/>
      <c r="T13" s="4"/>
      <c r="U13" s="4"/>
      <c r="AB13" s="4"/>
      <c r="AC13" s="4"/>
    </row>
    <row r="14" spans="1:29">
      <c r="A14">
        <v>2013</v>
      </c>
      <c r="B14" t="s">
        <v>1</v>
      </c>
      <c r="C14">
        <v>11</v>
      </c>
      <c r="D14" s="4">
        <v>6356.9250000000002</v>
      </c>
      <c r="E14" s="4">
        <v>12.9</v>
      </c>
      <c r="H14" s="4"/>
      <c r="I14" s="4"/>
      <c r="J14" s="4"/>
      <c r="K14" s="4"/>
      <c r="R14" s="4"/>
      <c r="S14" s="4"/>
      <c r="T14" s="4"/>
      <c r="U14" s="4"/>
      <c r="AB14" s="4"/>
      <c r="AC14" s="4"/>
    </row>
    <row r="15" spans="1:29">
      <c r="A15">
        <v>2013</v>
      </c>
      <c r="B15" t="s">
        <v>1</v>
      </c>
      <c r="C15">
        <v>12</v>
      </c>
      <c r="D15" s="4">
        <v>2587.38</v>
      </c>
      <c r="E15" s="4">
        <v>12.1</v>
      </c>
      <c r="H15" s="4"/>
      <c r="I15" s="4"/>
      <c r="J15" s="4"/>
      <c r="K15" s="4"/>
      <c r="R15" s="4"/>
      <c r="S15" s="4"/>
      <c r="T15" s="4"/>
      <c r="U15" s="4"/>
      <c r="AB15" s="4"/>
      <c r="AC15" s="4"/>
    </row>
    <row r="16" spans="1:29">
      <c r="A16">
        <v>2012</v>
      </c>
      <c r="B16" t="s">
        <v>0</v>
      </c>
      <c r="C16">
        <v>1</v>
      </c>
      <c r="D16" s="4"/>
      <c r="E16" s="4"/>
    </row>
    <row r="17" spans="1:5">
      <c r="A17">
        <v>2012</v>
      </c>
      <c r="B17" t="s">
        <v>0</v>
      </c>
      <c r="C17">
        <v>2</v>
      </c>
      <c r="D17" s="4">
        <v>3254.5473333333334</v>
      </c>
      <c r="E17" s="4">
        <v>14.5</v>
      </c>
    </row>
    <row r="18" spans="1:5">
      <c r="A18">
        <v>2012</v>
      </c>
      <c r="B18" t="s">
        <v>0</v>
      </c>
      <c r="C18">
        <v>3</v>
      </c>
      <c r="D18" s="4">
        <v>5324.2034999999987</v>
      </c>
      <c r="E18" s="4">
        <v>15</v>
      </c>
    </row>
    <row r="19" spans="1:5">
      <c r="A19">
        <v>2012</v>
      </c>
      <c r="B19" t="s">
        <v>0</v>
      </c>
      <c r="C19">
        <v>4</v>
      </c>
      <c r="D19" s="4">
        <v>3796.558833333334</v>
      </c>
      <c r="E19" s="4">
        <v>15.099999999999998</v>
      </c>
    </row>
    <row r="20" spans="1:5">
      <c r="A20">
        <v>2012</v>
      </c>
      <c r="B20" t="s">
        <v>0</v>
      </c>
      <c r="C20">
        <v>5</v>
      </c>
      <c r="D20" s="4">
        <v>2968.4768571428572</v>
      </c>
      <c r="E20" s="4">
        <v>16.5</v>
      </c>
    </row>
    <row r="21" spans="1:5">
      <c r="A21">
        <v>2012</v>
      </c>
      <c r="B21" t="s">
        <v>0</v>
      </c>
      <c r="C21">
        <v>6</v>
      </c>
      <c r="D21" s="4">
        <v>4566.9487500000014</v>
      </c>
      <c r="E21" s="4">
        <v>14.400000000000002</v>
      </c>
    </row>
    <row r="22" spans="1:5">
      <c r="A22">
        <v>2012</v>
      </c>
      <c r="B22" t="s">
        <v>0</v>
      </c>
      <c r="C22">
        <v>7</v>
      </c>
      <c r="D22" s="4">
        <v>4483.3050000000021</v>
      </c>
      <c r="E22" s="4">
        <v>16.099999999999998</v>
      </c>
    </row>
    <row r="23" spans="1:5">
      <c r="A23">
        <v>2012</v>
      </c>
      <c r="B23" t="s">
        <v>0</v>
      </c>
      <c r="C23">
        <v>8</v>
      </c>
      <c r="D23" s="4">
        <v>3847.6125000000006</v>
      </c>
      <c r="E23" s="4">
        <v>15</v>
      </c>
    </row>
    <row r="24" spans="1:5">
      <c r="A24">
        <v>2012</v>
      </c>
      <c r="B24" t="s">
        <v>0</v>
      </c>
      <c r="C24">
        <v>9</v>
      </c>
      <c r="D24" s="4">
        <v>3300.0247500000005</v>
      </c>
      <c r="E24" s="4">
        <v>15</v>
      </c>
    </row>
    <row r="25" spans="1:5">
      <c r="A25">
        <v>2012</v>
      </c>
      <c r="B25" t="s">
        <v>0</v>
      </c>
      <c r="C25">
        <v>10</v>
      </c>
      <c r="D25" s="4">
        <v>2199.8306250000001</v>
      </c>
      <c r="E25" s="4">
        <v>14.799999999999999</v>
      </c>
    </row>
    <row r="26" spans="1:5">
      <c r="A26">
        <v>2012</v>
      </c>
      <c r="B26" t="s">
        <v>0</v>
      </c>
      <c r="C26">
        <v>11</v>
      </c>
      <c r="D26" s="4">
        <v>4924.9439999999995</v>
      </c>
      <c r="E26" s="4">
        <v>15.599999999999998</v>
      </c>
    </row>
    <row r="27" spans="1:5">
      <c r="A27">
        <v>2012</v>
      </c>
      <c r="B27" t="s">
        <v>0</v>
      </c>
      <c r="C27">
        <v>12</v>
      </c>
      <c r="D27" s="4">
        <v>2347.6012500000002</v>
      </c>
      <c r="E27" s="4">
        <v>14.400000000000002</v>
      </c>
    </row>
    <row r="33" spans="1:7">
      <c r="D33" t="s">
        <v>124</v>
      </c>
    </row>
    <row r="34" spans="1:7">
      <c r="B34" t="s">
        <v>5</v>
      </c>
      <c r="C34" t="s">
        <v>121</v>
      </c>
      <c r="D34" t="s">
        <v>122</v>
      </c>
      <c r="E34" t="s">
        <v>123</v>
      </c>
    </row>
    <row r="35" spans="1:7">
      <c r="A35">
        <v>2014</v>
      </c>
      <c r="B35" t="s">
        <v>19</v>
      </c>
      <c r="C35" s="5">
        <v>1</v>
      </c>
      <c r="D35" s="4">
        <v>1925.5906500000001</v>
      </c>
      <c r="E35" s="4">
        <v>1458.52395</v>
      </c>
      <c r="F35" s="4"/>
      <c r="G35" s="4"/>
    </row>
    <row r="36" spans="1:7">
      <c r="A36">
        <v>2014</v>
      </c>
      <c r="B36" t="s">
        <v>19</v>
      </c>
      <c r="C36" s="5">
        <v>2</v>
      </c>
      <c r="D36" s="4">
        <v>1117.4805000000001</v>
      </c>
      <c r="E36" s="4">
        <v>1038.9669000000001</v>
      </c>
      <c r="F36" s="4"/>
      <c r="G36" s="4"/>
    </row>
    <row r="37" spans="1:7">
      <c r="A37">
        <v>2014</v>
      </c>
      <c r="B37" t="s">
        <v>19</v>
      </c>
      <c r="C37" s="5">
        <v>3</v>
      </c>
      <c r="D37" s="4">
        <v>2005.4425500000002</v>
      </c>
      <c r="E37" s="4">
        <v>2148.1945500000002</v>
      </c>
      <c r="F37" s="4"/>
      <c r="G37" s="4"/>
    </row>
    <row r="38" spans="1:7">
      <c r="A38">
        <v>2014</v>
      </c>
      <c r="B38" t="s">
        <v>19</v>
      </c>
      <c r="C38" s="5">
        <v>4</v>
      </c>
      <c r="D38" s="4">
        <v>1213.16895</v>
      </c>
      <c r="E38" s="4">
        <v>1107.6663000000001</v>
      </c>
      <c r="F38" s="4"/>
      <c r="G38" s="4"/>
    </row>
    <row r="39" spans="1:7">
      <c r="A39">
        <v>2014</v>
      </c>
      <c r="B39" t="s">
        <v>19</v>
      </c>
      <c r="C39" s="5">
        <v>5</v>
      </c>
      <c r="D39" s="4">
        <v>651.9751500000001</v>
      </c>
      <c r="E39" s="4">
        <v>1346.7759000000001</v>
      </c>
      <c r="F39" s="4"/>
      <c r="G39" s="4"/>
    </row>
    <row r="40" spans="1:7">
      <c r="A40">
        <v>2014</v>
      </c>
      <c r="B40" t="s">
        <v>19</v>
      </c>
      <c r="C40" s="5">
        <v>6</v>
      </c>
      <c r="D40" s="4">
        <v>1250.8643999999999</v>
      </c>
      <c r="E40" s="4">
        <v>1972.2081000000003</v>
      </c>
      <c r="F40" s="4"/>
      <c r="G40" s="4"/>
    </row>
    <row r="41" spans="1:7">
      <c r="A41">
        <v>2014</v>
      </c>
      <c r="B41" t="s">
        <v>19</v>
      </c>
      <c r="C41" s="5">
        <v>7</v>
      </c>
      <c r="D41" s="4">
        <v>2077.9338000000002</v>
      </c>
      <c r="E41" s="4">
        <v>2871.3226500000001</v>
      </c>
      <c r="F41" s="4"/>
      <c r="G41" s="4"/>
    </row>
    <row r="42" spans="1:7">
      <c r="A42">
        <v>2014</v>
      </c>
      <c r="B42" t="s">
        <v>19</v>
      </c>
      <c r="C42" s="5">
        <v>8</v>
      </c>
      <c r="D42" s="4">
        <v>1212.0536999999999</v>
      </c>
      <c r="E42" s="4">
        <v>1306.1808000000001</v>
      </c>
      <c r="F42" s="4"/>
      <c r="G42" s="4"/>
    </row>
    <row r="43" spans="1:7">
      <c r="A43">
        <v>2014</v>
      </c>
      <c r="B43" t="s">
        <v>19</v>
      </c>
      <c r="C43" s="5">
        <v>9</v>
      </c>
      <c r="D43" s="4">
        <v>1041.6435000000001</v>
      </c>
      <c r="E43" s="4">
        <v>1327.81665</v>
      </c>
      <c r="F43" s="4"/>
      <c r="G43" s="4"/>
    </row>
    <row r="44" spans="1:7">
      <c r="A44">
        <v>2014</v>
      </c>
      <c r="B44" t="s">
        <v>19</v>
      </c>
      <c r="C44" s="5">
        <v>10</v>
      </c>
      <c r="D44" s="4">
        <v>598.44315000000006</v>
      </c>
      <c r="E44" s="4">
        <v>838.66800000000001</v>
      </c>
      <c r="F44" s="4"/>
      <c r="G44" s="4"/>
    </row>
    <row r="45" spans="1:7">
      <c r="A45">
        <v>2014</v>
      </c>
      <c r="B45" t="s">
        <v>19</v>
      </c>
      <c r="C45" s="5">
        <v>11</v>
      </c>
      <c r="D45" s="4">
        <v>2236.2993000000001</v>
      </c>
      <c r="E45" s="4">
        <v>2136.3728999999998</v>
      </c>
      <c r="F45" s="4"/>
      <c r="G45" s="4"/>
    </row>
    <row r="46" spans="1:7">
      <c r="A46">
        <v>2014</v>
      </c>
      <c r="B46" t="s">
        <v>19</v>
      </c>
      <c r="C46" s="5">
        <v>12</v>
      </c>
      <c r="D46" s="4" t="e">
        <v>#VALUE!</v>
      </c>
      <c r="E46" s="4">
        <v>802.31085000000007</v>
      </c>
      <c r="F46" s="4"/>
      <c r="G4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3:AT91"/>
  <sheetViews>
    <sheetView topLeftCell="S1" workbookViewId="0">
      <selection activeCell="AI4" sqref="AI4"/>
    </sheetView>
  </sheetViews>
  <sheetFormatPr defaultRowHeight="15"/>
  <cols>
    <col min="3" max="3" width="15.7109375" customWidth="1"/>
    <col min="4" max="4" width="11.42578125" customWidth="1"/>
    <col min="16" max="16" width="9.140625" style="8"/>
    <col min="17" max="17" width="13.85546875" style="8" customWidth="1"/>
    <col min="19" max="19" width="11.28515625" customWidth="1"/>
    <col min="31" max="31" width="9.140625" style="8"/>
    <col min="34" max="34" width="12" customWidth="1"/>
  </cols>
  <sheetData>
    <row r="3" spans="3:46" ht="26.25">
      <c r="E3" s="44" t="s">
        <v>205</v>
      </c>
      <c r="T3" s="44" t="s">
        <v>236</v>
      </c>
      <c r="AI3" s="44" t="s">
        <v>237</v>
      </c>
    </row>
    <row r="4" spans="3:46"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AE4"/>
    </row>
    <row r="5" spans="3:46">
      <c r="C5" t="s">
        <v>203</v>
      </c>
      <c r="D5" t="s">
        <v>202</v>
      </c>
      <c r="E5" t="s">
        <v>87</v>
      </c>
      <c r="F5" t="s">
        <v>88</v>
      </c>
      <c r="G5" t="s">
        <v>89</v>
      </c>
      <c r="H5" t="s">
        <v>90</v>
      </c>
      <c r="I5" t="s">
        <v>91</v>
      </c>
      <c r="J5" t="s">
        <v>92</v>
      </c>
      <c r="K5" t="s">
        <v>93</v>
      </c>
      <c r="L5" t="s">
        <v>94</v>
      </c>
      <c r="M5" t="s">
        <v>95</v>
      </c>
      <c r="N5" t="s">
        <v>96</v>
      </c>
      <c r="O5" t="s">
        <v>97</v>
      </c>
      <c r="P5" t="s">
        <v>98</v>
      </c>
      <c r="Q5"/>
      <c r="R5" t="s">
        <v>203</v>
      </c>
      <c r="S5" t="s">
        <v>202</v>
      </c>
      <c r="T5" t="s">
        <v>87</v>
      </c>
      <c r="U5" t="s">
        <v>88</v>
      </c>
      <c r="V5" t="s">
        <v>89</v>
      </c>
      <c r="W5" t="s">
        <v>90</v>
      </c>
      <c r="X5" t="s">
        <v>91</v>
      </c>
      <c r="Y5" t="s">
        <v>92</v>
      </c>
      <c r="Z5" t="s">
        <v>93</v>
      </c>
      <c r="AA5" t="s">
        <v>94</v>
      </c>
      <c r="AB5" t="s">
        <v>95</v>
      </c>
      <c r="AC5" t="s">
        <v>96</v>
      </c>
      <c r="AD5" t="s">
        <v>97</v>
      </c>
      <c r="AE5" t="s">
        <v>98</v>
      </c>
      <c r="AF5" s="8"/>
      <c r="AG5" t="s">
        <v>203</v>
      </c>
      <c r="AH5" t="s">
        <v>202</v>
      </c>
      <c r="AI5" t="s">
        <v>87</v>
      </c>
      <c r="AJ5" t="s">
        <v>88</v>
      </c>
      <c r="AK5" t="s">
        <v>89</v>
      </c>
      <c r="AL5" t="s">
        <v>90</v>
      </c>
      <c r="AM5" t="s">
        <v>91</v>
      </c>
      <c r="AN5" t="s">
        <v>92</v>
      </c>
      <c r="AO5" t="s">
        <v>93</v>
      </c>
      <c r="AP5" t="s">
        <v>94</v>
      </c>
      <c r="AQ5" t="s">
        <v>95</v>
      </c>
      <c r="AR5" t="s">
        <v>96</v>
      </c>
      <c r="AS5" t="s">
        <v>97</v>
      </c>
      <c r="AT5" t="s">
        <v>98</v>
      </c>
    </row>
    <row r="6" spans="3:46">
      <c r="C6" s="42">
        <v>1</v>
      </c>
      <c r="D6" s="1">
        <v>40830</v>
      </c>
      <c r="E6" s="4">
        <v>0.13965513102167931</v>
      </c>
      <c r="F6" s="4"/>
      <c r="G6" s="4">
        <v>0.1292178788064583</v>
      </c>
      <c r="H6" s="4">
        <v>0.13855489681486824</v>
      </c>
      <c r="I6" s="4">
        <v>0.157717098764353</v>
      </c>
      <c r="J6" s="4">
        <v>0.14417830302570833</v>
      </c>
      <c r="K6" s="4">
        <v>0.14127178672368099</v>
      </c>
      <c r="L6" s="4"/>
      <c r="M6" s="4">
        <v>0.10698056069627344</v>
      </c>
      <c r="N6" s="4">
        <v>0.14095271372860999</v>
      </c>
      <c r="O6" s="4">
        <v>0.14799003476495201</v>
      </c>
      <c r="P6" s="4">
        <v>0.15481067739678969</v>
      </c>
      <c r="Q6" s="4"/>
      <c r="R6" s="42">
        <v>1</v>
      </c>
      <c r="S6" s="1">
        <v>40830</v>
      </c>
      <c r="T6">
        <f t="shared" ref="T6:T37" si="0">IFERROR(LOOKUP(E$4,$E$76:$P$76,IF($C6=1,$E$77:$P$77,IF($C6=2,$E$78:$P$78,IF($C6=3,$E$79:$P$79,IF($C7=4,$E$80:$P$80,$E$81:$P$81)))))*IF(E6="","",E6),"")</f>
        <v>0.20378651329487216</v>
      </c>
      <c r="U6" t="str">
        <f t="shared" ref="U6:U37" si="1">IFERROR(LOOKUP(F$4,$E$76:$P$76,IF($C6=1,$E$77:$P$77,IF($C6=2,$E$78:$P$78,IF($C6=3,$E$79:$P$79,IF($C7=4,$E$80:$P$80,$E$81:$P$81)))))*IF(F6="","",F6),"")</f>
        <v/>
      </c>
      <c r="V6">
        <f t="shared" ref="V6:V37" si="2">IFERROR(LOOKUP(G$4,$E$76:$P$76,IF($C6=1,$E$77:$P$77,IF($C6=2,$E$78:$P$78,IF($C6=3,$E$79:$P$79,IF($C7=4,$E$80:$P$80,$E$81:$P$81)))))*IF(G6="","",G6),"")</f>
        <v>0.19169540240708069</v>
      </c>
      <c r="W6">
        <f t="shared" ref="W6:W37" si="3">IFERROR(LOOKUP(H$4,$E$76:$P$76,IF($C6=1,$E$77:$P$77,IF($C6=2,$E$78:$P$78,IF($C6=3,$E$79:$P$79,IF($C7=4,$E$80:$P$80,$E$81:$P$81)))))*IF(H6="","",H6),"")</f>
        <v>0.18073221820236499</v>
      </c>
      <c r="X6">
        <f t="shared" ref="X6:X37" si="4">IFERROR(LOOKUP(I$4,$E$76:$P$76,IF($C6=1,$E$77:$P$77,IF($C6=2,$E$78:$P$78,IF($C6=3,$E$79:$P$79,IF($C7=4,$E$80:$P$80,$E$81:$P$81)))))*IF(I6="","",I6),"")</f>
        <v>0.25056120007296967</v>
      </c>
      <c r="Y6">
        <f t="shared" ref="Y6:Y37" si="5">IFERROR(LOOKUP(J$4,$E$76:$P$76,IF($C6=1,$E$77:$P$77,IF($C6=2,$E$78:$P$78,IF($C6=3,$E$79:$P$79,IF($C7=4,$E$80:$P$80,$E$81:$P$81)))))*IF(J6="","",J6),"")</f>
        <v>0.2075632926900198</v>
      </c>
      <c r="Z6">
        <f t="shared" ref="Z6:Z37" si="6">IFERROR(LOOKUP(K$4,$E$76:$P$76,IF($C6=1,$E$77:$P$77,IF($C6=2,$E$78:$P$78,IF($C6=3,$E$79:$P$79,IF($C7=4,$E$80:$P$80,$E$81:$P$81)))))*IF(K6="","",K6),"")</f>
        <v>0.19479139615294583</v>
      </c>
      <c r="AA6" t="str">
        <f t="shared" ref="AA6:AA37" si="7">IFERROR(LOOKUP(L$4,$E$76:$P$76,IF($C6=1,$E$77:$P$77,IF($C6=2,$E$78:$P$78,IF($C6=3,$E$79:$P$79,IF($C7=4,$E$80:$P$80,$E$81:$P$81)))))*IF(L6="","",L6),"")</f>
        <v/>
      </c>
      <c r="AB6">
        <f t="shared" ref="AB6:AB37" si="8">IFERROR(LOOKUP(M$4,$E$76:$P$76,IF($C6=1,$E$77:$P$77,IF($C6=2,$E$78:$P$78,IF($C6=3,$E$79:$P$79,IF($C7=4,$E$80:$P$80,$E$81:$P$81)))))*IF(M6="","",M6),"")</f>
        <v>0.15774210942208172</v>
      </c>
      <c r="AC6">
        <f t="shared" ref="AC6:AC37" si="9">IFERROR(LOOKUP(N$4,$E$76:$P$76,IF($C6=1,$E$77:$P$77,IF($C6=2,$E$78:$P$78,IF($C6=3,$E$79:$P$79,IF($C7=4,$E$80:$P$80,$E$81:$P$81)))))*IF(N6="","",N6),"")</f>
        <v>0.18509065972201208</v>
      </c>
      <c r="AD6">
        <f t="shared" ref="AD6:AD37" si="10">IFERROR(LOOKUP(O$4,$E$76:$P$76,IF($C6=1,$E$77:$P$77,IF($C6=2,$E$78:$P$78,IF($C6=3,$E$79:$P$79,IF($C7=4,$E$80:$P$80,$E$81:$P$81)))))*IF(O6="","",O6),"")</f>
        <v>0.22119924503269756</v>
      </c>
      <c r="AE6">
        <f t="shared" ref="AE6:AE37" si="11">IFERROR(LOOKUP(P$4,$E$76:$P$76,IF($C6=1,$E$77:$P$77,IF($C6=2,$E$78:$P$78,IF($C6=3,$E$79:$P$79,IF($C7=4,$E$80:$P$80,$E$81:$P$81)))))*IF(P6="","",P6),"")</f>
        <v>0.20190513719407985</v>
      </c>
      <c r="AF6" s="8"/>
      <c r="AG6" s="42">
        <v>1</v>
      </c>
      <c r="AH6" s="1">
        <v>40830</v>
      </c>
      <c r="AI6">
        <f>IFERROR(LOOKUP(E$4,$E$76:$P$76,IF($C6=1,$E$83:$P$83,IF($C6=2,$E$84:$P$84,IF($C6=4,$E$86:$P$86,$E$87:$P$87))))*IF(E6="","",E6),"")</f>
        <v>0.18060050363618046</v>
      </c>
      <c r="AJ6" t="str">
        <f t="shared" ref="AJ6:AL6" si="12">IFERROR(LOOKUP(F$4,$E$76:$P$76,IF($C6=1,$E$83:$P$83,IF($C6=2,$E$84:$P$84,IF($C6=4,$E$86:$P$86,$E$87:$P$87))))*IF(F6="","",F6),"")</f>
        <v/>
      </c>
      <c r="AK6">
        <f t="shared" si="12"/>
        <v>0.1636755513659563</v>
      </c>
      <c r="AL6">
        <f t="shared" si="12"/>
        <v>0.16360112958366782</v>
      </c>
      <c r="AM6">
        <f t="shared" ref="AM6" si="13">IFERROR(LOOKUP(I$4,$E$76:$P$76,IF($C6=1,$E$83:$P$83,IF($C6=2,$E$84:$P$84,IF($C6=4,$E$86:$P$86,$E$87:$P$87))))*IF(I6="","",I6),"")</f>
        <v>0.18433881660743653</v>
      </c>
      <c r="AN6">
        <f t="shared" ref="AN6:AO6" si="14">IFERROR(LOOKUP(J$4,$E$76:$P$76,IF($C6=1,$E$83:$P$83,IF($C6=2,$E$84:$P$84,IF($C6=4,$E$86:$P$86,$E$87:$P$87))))*IF(J6="","",J6),"")</f>
        <v>0.19223695458084394</v>
      </c>
      <c r="AO6">
        <f t="shared" si="14"/>
        <v>0.17742403593407932</v>
      </c>
      <c r="AP6" t="str">
        <f t="shared" ref="AP6" si="15">IFERROR(LOOKUP(L$4,$E$76:$P$76,IF($C6=1,$E$83:$P$83,IF($C6=2,$E$84:$P$84,IF($C6=4,$E$86:$P$86,$E$87:$P$87))))*IF(L6="","",L6),"")</f>
        <v/>
      </c>
      <c r="AQ6">
        <f t="shared" ref="AQ6:AR6" si="16">IFERROR(LOOKUP(M$4,$E$76:$P$76,IF($C6=1,$E$83:$P$83,IF($C6=2,$E$84:$P$84,IF($C6=4,$E$86:$P$86,$E$87:$P$87))))*IF(M6="","",M6),"")</f>
        <v>0.12437216718142143</v>
      </c>
      <c r="AR6">
        <f t="shared" si="16"/>
        <v>0.16108630513404815</v>
      </c>
      <c r="AS6">
        <f t="shared" ref="AS6" si="17">IFERROR(LOOKUP(O$4,$E$76:$P$76,IF($C6=1,$E$83:$P$83,IF($C6=2,$E$84:$P$84,IF($C6=4,$E$86:$P$86,$E$87:$P$87))))*IF(O6="","",O6),"")</f>
        <v>0.18643945095774359</v>
      </c>
      <c r="AT6">
        <f t="shared" ref="AT6" si="18">IFERROR(LOOKUP(P$4,$E$76:$P$76,IF($C6=1,$E$83:$P$83,IF($C6=2,$E$84:$P$84,IF($C6=4,$E$86:$P$86,$E$87:$P$87))))*IF(P6="","",P6),"")</f>
        <v>0.19086580358858565</v>
      </c>
    </row>
    <row r="7" spans="3:46">
      <c r="C7" s="42">
        <v>1</v>
      </c>
      <c r="D7" s="1">
        <v>41003</v>
      </c>
      <c r="E7" s="4">
        <v>0.32332033937170396</v>
      </c>
      <c r="F7" s="4">
        <v>0.25176404177250916</v>
      </c>
      <c r="G7" s="4">
        <v>0.24950560316413972</v>
      </c>
      <c r="H7" s="4">
        <v>0.27522935779816493</v>
      </c>
      <c r="I7" s="4">
        <v>0.25190839694656497</v>
      </c>
      <c r="J7" s="4">
        <v>0.23839100857734408</v>
      </c>
      <c r="K7" s="4">
        <v>0.25128336755646835</v>
      </c>
      <c r="L7" s="4">
        <v>0.27663088356729987</v>
      </c>
      <c r="M7" s="4">
        <v>0.24180327868852472</v>
      </c>
      <c r="N7" s="4">
        <v>0.27683434796539547</v>
      </c>
      <c r="O7" s="4">
        <v>0.29068068945369563</v>
      </c>
      <c r="P7" s="4">
        <v>0.26334070097884421</v>
      </c>
      <c r="Q7" s="4"/>
      <c r="R7" s="42">
        <v>1</v>
      </c>
      <c r="S7" s="1">
        <v>41003</v>
      </c>
      <c r="T7">
        <f t="shared" si="0"/>
        <v>0.47179308168524203</v>
      </c>
      <c r="U7">
        <f t="shared" si="1"/>
        <v>0.37473171790053023</v>
      </c>
      <c r="V7">
        <f t="shared" si="2"/>
        <v>0.3701428737505375</v>
      </c>
      <c r="W7">
        <f t="shared" si="3"/>
        <v>0.35901157947336337</v>
      </c>
      <c r="X7">
        <f t="shared" si="4"/>
        <v>0.40020055366156199</v>
      </c>
      <c r="Y7">
        <f t="shared" si="5"/>
        <v>0.34319465307609653</v>
      </c>
      <c r="Z7">
        <f t="shared" si="6"/>
        <v>0.34647992448822995</v>
      </c>
      <c r="AA7">
        <f t="shared" si="7"/>
        <v>0.37247233561213672</v>
      </c>
      <c r="AB7">
        <f t="shared" si="8"/>
        <v>0.35653729048769178</v>
      </c>
      <c r="AC7">
        <f t="shared" si="9"/>
        <v>0.36352228164464018</v>
      </c>
      <c r="AD7">
        <f t="shared" si="10"/>
        <v>0.43447755894418538</v>
      </c>
      <c r="AE7">
        <f t="shared" si="11"/>
        <v>0.34345073126733361</v>
      </c>
      <c r="AF7" s="8"/>
      <c r="AG7" s="42">
        <v>1</v>
      </c>
      <c r="AH7" s="1">
        <v>41003</v>
      </c>
      <c r="AI7">
        <f t="shared" ref="AI7:AI65" si="19">IFERROR(LOOKUP(E$4,$E$76:$P$76,IF($C7=1,$E$83:$P$83,IF($C7=2,$E$84:$P$84,IF($C7=4,$E$86:$P$86,$E$87:$P$87))))*IF(E7="","",E7),"")</f>
        <v>0.41811436285349296</v>
      </c>
      <c r="AJ7">
        <f t="shared" ref="AJ7:AJ65" si="20">IFERROR(LOOKUP(F$4,$E$76:$P$76,IF($C7=1,$E$83:$P$83,IF($C7=2,$E$84:$P$84,IF($C7=4,$E$86:$P$86,$E$87:$P$87))))*IF(F7="","",F7),"")</f>
        <v>0.2849200572445918</v>
      </c>
      <c r="AK7">
        <f t="shared" ref="AK7:AK65" si="21">IFERROR(LOOKUP(G$4,$E$76:$P$76,IF($C7=1,$E$83:$P$83,IF($C7=2,$E$84:$P$84,IF($C7=4,$E$86:$P$86,$E$87:$P$87))))*IF(G7="","",G7),"")</f>
        <v>0.31603960337371656</v>
      </c>
      <c r="AL7">
        <f t="shared" ref="AL7:AL65" si="22">IFERROR(LOOKUP(H$4,$E$76:$P$76,IF($C7=1,$E$83:$P$83,IF($C7=2,$E$84:$P$84,IF($C7=4,$E$86:$P$86,$E$87:$P$87))))*IF(H7="","",H7),"")</f>
        <v>0.3249819015096358</v>
      </c>
      <c r="AM7">
        <f t="shared" ref="AM7:AM65" si="23">IFERROR(LOOKUP(I$4,$E$76:$P$76,IF($C7=1,$E$83:$P$83,IF($C7=2,$E$84:$P$84,IF($C7=4,$E$86:$P$86,$E$87:$P$87))))*IF(I7="","",I7),"")</f>
        <v>0.29442905144982084</v>
      </c>
      <c r="AN7">
        <f t="shared" ref="AN7:AN65" si="24">IFERROR(LOOKUP(J$4,$E$76:$P$76,IF($C7=1,$E$83:$P$83,IF($C7=2,$E$84:$P$84,IF($C7=4,$E$86:$P$86,$E$87:$P$87))))*IF(J7="","",J7),"")</f>
        <v>0.31785338380763845</v>
      </c>
      <c r="AO7">
        <f t="shared" ref="AO7:AO65" si="25">IFERROR(LOOKUP(K$4,$E$76:$P$76,IF($C7=1,$E$83:$P$83,IF($C7=2,$E$84:$P$84,IF($C7=4,$E$86:$P$86,$E$87:$P$87))))*IF(K7="","",K7),"")</f>
        <v>0.31558820249211061</v>
      </c>
      <c r="AP7">
        <f t="shared" ref="AP7:AP65" si="26">IFERROR(LOOKUP(L$4,$E$76:$P$76,IF($C7=1,$E$83:$P$83,IF($C7=2,$E$84:$P$84,IF($C7=4,$E$86:$P$86,$E$87:$P$87))))*IF(L7="","",L7),"")</f>
        <v>0.31788739630089097</v>
      </c>
      <c r="AQ7">
        <f t="shared" ref="AQ7:AQ65" si="27">IFERROR(LOOKUP(M$4,$E$76:$P$76,IF($C7=1,$E$83:$P$83,IF($C7=2,$E$84:$P$84,IF($C7=4,$E$86:$P$86,$E$87:$P$87))))*IF(M7="","",M7),"")</f>
        <v>0.28111273306415391</v>
      </c>
      <c r="AR7">
        <f t="shared" ref="AR7:AR65" si="28">IFERROR(LOOKUP(N$4,$E$76:$P$76,IF($C7=1,$E$83:$P$83,IF($C7=2,$E$84:$P$84,IF($C7=4,$E$86:$P$86,$E$87:$P$87))))*IF(N7="","",N7),"")</f>
        <v>0.31637718117155628</v>
      </c>
      <c r="AS7">
        <f t="shared" ref="AS7:AS65" si="29">IFERROR(LOOKUP(O$4,$E$76:$P$76,IF($C7=1,$E$83:$P$83,IF($C7=2,$E$84:$P$84,IF($C7=4,$E$86:$P$86,$E$87:$P$87))))*IF(O7="","",O7),"")</f>
        <v>0.36620268541622131</v>
      </c>
      <c r="AT7">
        <f t="shared" ref="AT7:AT65" si="30">IFERROR(LOOKUP(P$4,$E$76:$P$76,IF($C7=1,$E$83:$P$83,IF($C7=2,$E$84:$P$84,IF($C7=4,$E$86:$P$86,$E$87:$P$87))))*IF(P7="","",P7),"")</f>
        <v>0.32467227296655987</v>
      </c>
    </row>
    <row r="8" spans="3:46">
      <c r="C8" s="42">
        <v>1</v>
      </c>
      <c r="D8" s="1">
        <v>41263</v>
      </c>
      <c r="E8" s="4">
        <v>0.26656282965621092</v>
      </c>
      <c r="F8" s="4">
        <v>0.25219941542419438</v>
      </c>
      <c r="G8" s="4"/>
      <c r="H8" s="4">
        <v>0.28115322285044675</v>
      </c>
      <c r="I8" s="4">
        <v>0.27160115275495228</v>
      </c>
      <c r="J8" s="4">
        <v>0.26760340999636406</v>
      </c>
      <c r="K8" s="4">
        <v>0.27432088162886431</v>
      </c>
      <c r="L8" s="4">
        <v>0.2538036961049282</v>
      </c>
      <c r="M8" s="4"/>
      <c r="N8" s="4">
        <v>0.23597189136799537</v>
      </c>
      <c r="O8" s="4">
        <v>0.27062377521777048</v>
      </c>
      <c r="P8" s="4">
        <v>0.25037707390648567</v>
      </c>
      <c r="Q8" s="4"/>
      <c r="R8" s="42">
        <v>1</v>
      </c>
      <c r="S8" s="1">
        <v>41263</v>
      </c>
      <c r="T8">
        <f t="shared" si="0"/>
        <v>0.38897181386927721</v>
      </c>
      <c r="U8">
        <f t="shared" si="1"/>
        <v>0.37537973862372803</v>
      </c>
      <c r="V8" t="str">
        <f t="shared" si="2"/>
        <v/>
      </c>
      <c r="W8">
        <f t="shared" si="3"/>
        <v>0.36673872081475462</v>
      </c>
      <c r="X8">
        <f t="shared" si="4"/>
        <v>0.43148594102127863</v>
      </c>
      <c r="Y8">
        <f t="shared" si="5"/>
        <v>0.38524967868444504</v>
      </c>
      <c r="Z8">
        <f t="shared" si="6"/>
        <v>0.37824500394342536</v>
      </c>
      <c r="AA8">
        <f t="shared" si="7"/>
        <v>0.34173644770287104</v>
      </c>
      <c r="AB8" t="str">
        <f t="shared" si="8"/>
        <v/>
      </c>
      <c r="AC8">
        <f t="shared" si="9"/>
        <v>0.3098641515568637</v>
      </c>
      <c r="AD8">
        <f t="shared" si="10"/>
        <v>0.40449868709839737</v>
      </c>
      <c r="AE8">
        <f t="shared" si="11"/>
        <v>0.32654348076891471</v>
      </c>
      <c r="AF8" s="8"/>
      <c r="AG8" s="42">
        <v>1</v>
      </c>
      <c r="AH8" s="1">
        <v>41263</v>
      </c>
      <c r="AI8">
        <f t="shared" si="19"/>
        <v>0.34471616570338448</v>
      </c>
      <c r="AJ8">
        <f t="shared" si="20"/>
        <v>0.28541276734285526</v>
      </c>
      <c r="AK8" t="str">
        <f t="shared" si="21"/>
        <v/>
      </c>
      <c r="AL8">
        <f t="shared" si="22"/>
        <v>0.33197660928491896</v>
      </c>
      <c r="AM8">
        <f t="shared" si="23"/>
        <v>0.31744582851393088</v>
      </c>
      <c r="AN8">
        <f t="shared" si="24"/>
        <v>0.35680309376354075</v>
      </c>
      <c r="AO8">
        <f t="shared" si="25"/>
        <v>0.344521146708406</v>
      </c>
      <c r="AP8">
        <f t="shared" si="26"/>
        <v>0.29165578002685233</v>
      </c>
      <c r="AQ8" t="str">
        <f t="shared" si="27"/>
        <v/>
      </c>
      <c r="AR8">
        <f t="shared" si="28"/>
        <v>0.26967795858936966</v>
      </c>
      <c r="AS8">
        <f t="shared" si="29"/>
        <v>0.34093476731625189</v>
      </c>
      <c r="AT8">
        <f t="shared" si="30"/>
        <v>0.30868944064391179</v>
      </c>
    </row>
    <row r="9" spans="3:46">
      <c r="C9" s="42">
        <v>1</v>
      </c>
      <c r="D9" s="1">
        <v>41266</v>
      </c>
      <c r="E9" s="4">
        <v>0.26823204419889501</v>
      </c>
      <c r="F9" s="4">
        <v>0.25152335815842924</v>
      </c>
      <c r="G9" s="4">
        <v>8.4553331341499796E-2</v>
      </c>
      <c r="H9" s="4">
        <v>0.26193149915777647</v>
      </c>
      <c r="I9" s="4">
        <v>0.2201472908995267</v>
      </c>
      <c r="J9" s="4">
        <v>0.24855990783410145</v>
      </c>
      <c r="K9" s="4">
        <v>0.25764075067024123</v>
      </c>
      <c r="L9" s="4">
        <v>0.27164270419088415</v>
      </c>
      <c r="M9" s="4">
        <v>0.23669671416109336</v>
      </c>
      <c r="N9" s="4">
        <v>0.25911949685534602</v>
      </c>
      <c r="O9" s="4">
        <v>0.26428054953000735</v>
      </c>
      <c r="P9" s="4">
        <v>0.25356633380884447</v>
      </c>
      <c r="Q9" s="4"/>
      <c r="R9" s="42">
        <v>1</v>
      </c>
      <c r="S9" s="1">
        <v>41266</v>
      </c>
      <c r="T9">
        <f t="shared" si="0"/>
        <v>0.39140755260015053</v>
      </c>
      <c r="U9">
        <f t="shared" si="1"/>
        <v>0.37437347856047321</v>
      </c>
      <c r="V9">
        <f t="shared" si="2"/>
        <v>0.12543531147609221</v>
      </c>
      <c r="W9">
        <f t="shared" si="3"/>
        <v>0.34166573645613563</v>
      </c>
      <c r="X9">
        <f t="shared" si="4"/>
        <v>0.34974248088987697</v>
      </c>
      <c r="Y9">
        <f t="shared" si="5"/>
        <v>0.35783409721207932</v>
      </c>
      <c r="Z9">
        <f t="shared" si="6"/>
        <v>0.3552457478796559</v>
      </c>
      <c r="AA9">
        <f t="shared" si="7"/>
        <v>0.36575595312140935</v>
      </c>
      <c r="AB9">
        <f t="shared" si="8"/>
        <v>0.34900769580979574</v>
      </c>
      <c r="AC9">
        <f t="shared" si="9"/>
        <v>0.34026020039695759</v>
      </c>
      <c r="AD9">
        <f t="shared" si="10"/>
        <v>0.39501753023919572</v>
      </c>
      <c r="AE9">
        <f t="shared" si="11"/>
        <v>0.33070293520036137</v>
      </c>
      <c r="AF9" s="8"/>
      <c r="AG9" s="42">
        <v>1</v>
      </c>
      <c r="AH9" s="1">
        <v>41266</v>
      </c>
      <c r="AI9">
        <f t="shared" si="19"/>
        <v>0.34687477588032661</v>
      </c>
      <c r="AJ9">
        <f t="shared" si="20"/>
        <v>0.28464767684976383</v>
      </c>
      <c r="AK9">
        <f t="shared" si="21"/>
        <v>0.10710060600729103</v>
      </c>
      <c r="AL9">
        <f t="shared" si="22"/>
        <v>0.30928022120368187</v>
      </c>
      <c r="AM9">
        <f t="shared" si="23"/>
        <v>0.25730685766915751</v>
      </c>
      <c r="AN9">
        <f t="shared" si="24"/>
        <v>0.33141186094001168</v>
      </c>
      <c r="AO9">
        <f t="shared" si="25"/>
        <v>0.32357247590001303</v>
      </c>
      <c r="AP9">
        <f t="shared" si="26"/>
        <v>0.31215528376955526</v>
      </c>
      <c r="AQ9">
        <f t="shared" si="27"/>
        <v>0.27517600499884165</v>
      </c>
      <c r="AR9">
        <f t="shared" si="28"/>
        <v>0.29613195257090652</v>
      </c>
      <c r="AS9">
        <f t="shared" si="29"/>
        <v>0.33294350279357005</v>
      </c>
      <c r="AT9">
        <f t="shared" si="30"/>
        <v>0.31262147339741736</v>
      </c>
    </row>
    <row r="10" spans="3:46">
      <c r="C10" s="42">
        <v>1</v>
      </c>
      <c r="D10" s="1">
        <v>41348</v>
      </c>
      <c r="E10" s="4">
        <v>0.25589964163895496</v>
      </c>
      <c r="F10" s="4">
        <v>0.24759336632968665</v>
      </c>
      <c r="G10" s="4">
        <v>0.23443400544928136</v>
      </c>
      <c r="H10" s="4">
        <v>0.27278807209374417</v>
      </c>
      <c r="I10" s="4">
        <v>0.28813034456697628</v>
      </c>
      <c r="J10" s="4">
        <v>0.24810604926550187</v>
      </c>
      <c r="K10" s="4">
        <v>0.26738060621325732</v>
      </c>
      <c r="L10" s="4">
        <v>0.25259369889000366</v>
      </c>
      <c r="M10" s="4">
        <v>0.24380005218239162</v>
      </c>
      <c r="N10" s="4">
        <v>0.23937513368458774</v>
      </c>
      <c r="O10" s="4">
        <v>0.27974040248981397</v>
      </c>
      <c r="P10" s="4">
        <v>0.25722830580222017</v>
      </c>
      <c r="Q10" s="4"/>
      <c r="R10" s="42">
        <v>1</v>
      </c>
      <c r="S10" s="1">
        <v>41348</v>
      </c>
      <c r="T10">
        <f t="shared" si="0"/>
        <v>0.37341195659266252</v>
      </c>
      <c r="U10">
        <f t="shared" si="1"/>
        <v>0.36852398321971097</v>
      </c>
      <c r="V10">
        <f t="shared" si="2"/>
        <v>0.34778407932090005</v>
      </c>
      <c r="W10">
        <f t="shared" si="3"/>
        <v>0.35582714506672364</v>
      </c>
      <c r="X10">
        <f t="shared" si="4"/>
        <v>0.45774545358589291</v>
      </c>
      <c r="Y10">
        <f t="shared" si="5"/>
        <v>0.35718070917145778</v>
      </c>
      <c r="Z10">
        <f t="shared" si="6"/>
        <v>0.36867546448161975</v>
      </c>
      <c r="AA10">
        <f t="shared" si="7"/>
        <v>0.34010723521974107</v>
      </c>
      <c r="AB10">
        <f t="shared" si="8"/>
        <v>0.3594815194290123</v>
      </c>
      <c r="AC10">
        <f t="shared" si="9"/>
        <v>0.31433308549157868</v>
      </c>
      <c r="AD10">
        <f t="shared" si="10"/>
        <v>0.41812521994585167</v>
      </c>
      <c r="AE10">
        <f t="shared" si="11"/>
        <v>0.33547890395236379</v>
      </c>
      <c r="AF10" s="8"/>
      <c r="AG10" s="42">
        <v>1</v>
      </c>
      <c r="AH10" s="1">
        <v>41348</v>
      </c>
      <c r="AI10">
        <f t="shared" si="19"/>
        <v>0.33092664639109537</v>
      </c>
      <c r="AJ10">
        <f t="shared" si="20"/>
        <v>0.28020012552776885</v>
      </c>
      <c r="AK10">
        <f t="shared" si="21"/>
        <v>0.29694896290870659</v>
      </c>
      <c r="AL10">
        <f t="shared" si="22"/>
        <v>0.32209931050736068</v>
      </c>
      <c r="AM10">
        <f t="shared" si="23"/>
        <v>0.33676505060194528</v>
      </c>
      <c r="AN10">
        <f t="shared" si="24"/>
        <v>0.33080671864601169</v>
      </c>
      <c r="AO10">
        <f t="shared" si="25"/>
        <v>0.33580481556197866</v>
      </c>
      <c r="AP10">
        <f t="shared" si="26"/>
        <v>0.29026532477751965</v>
      </c>
      <c r="AQ10">
        <f t="shared" si="27"/>
        <v>0.28343411785767458</v>
      </c>
      <c r="AR10">
        <f t="shared" si="28"/>
        <v>0.27356731776347709</v>
      </c>
      <c r="AS10">
        <f t="shared" si="29"/>
        <v>0.35241999323626577</v>
      </c>
      <c r="AT10">
        <f t="shared" si="30"/>
        <v>0.31713631203120946</v>
      </c>
    </row>
    <row r="11" spans="3:46">
      <c r="C11" s="42">
        <v>1</v>
      </c>
      <c r="D11" s="1">
        <v>41361</v>
      </c>
      <c r="E11" s="4">
        <v>0.22297099326106065</v>
      </c>
      <c r="F11" s="4">
        <v>0.23141486810551576</v>
      </c>
      <c r="G11" s="4">
        <v>0.21592539454806298</v>
      </c>
      <c r="H11" s="4"/>
      <c r="I11" s="4"/>
      <c r="J11" s="4">
        <v>0.2334928229665072</v>
      </c>
      <c r="K11" s="4">
        <v>0.24588576960309769</v>
      </c>
      <c r="L11" s="4">
        <v>0.27208804646896967</v>
      </c>
      <c r="M11" s="4"/>
      <c r="N11" s="4">
        <v>0.25258358662613989</v>
      </c>
      <c r="O11" s="4">
        <v>0.25419436530547646</v>
      </c>
      <c r="P11" s="4"/>
      <c r="Q11" s="4"/>
      <c r="R11" s="42">
        <v>1</v>
      </c>
      <c r="S11" s="1">
        <v>41361</v>
      </c>
      <c r="T11">
        <f t="shared" si="0"/>
        <v>0.32536206117276395</v>
      </c>
      <c r="U11">
        <f t="shared" si="1"/>
        <v>0.34444351330863321</v>
      </c>
      <c r="V11">
        <f t="shared" si="2"/>
        <v>0.32032645776359731</v>
      </c>
      <c r="W11" t="str">
        <f t="shared" si="3"/>
        <v/>
      </c>
      <c r="X11" t="str">
        <f t="shared" si="4"/>
        <v/>
      </c>
      <c r="Y11">
        <f t="shared" si="5"/>
        <v>0.33614308212362876</v>
      </c>
      <c r="Z11">
        <f t="shared" si="6"/>
        <v>0.33903749266519484</v>
      </c>
      <c r="AA11">
        <f t="shared" si="7"/>
        <v>0.36635558855013034</v>
      </c>
      <c r="AB11" t="str">
        <f t="shared" si="8"/>
        <v/>
      </c>
      <c r="AC11">
        <f t="shared" si="9"/>
        <v>0.33167763462573852</v>
      </c>
      <c r="AD11">
        <f t="shared" si="10"/>
        <v>0.37994181017959539</v>
      </c>
      <c r="AE11" t="str">
        <f t="shared" si="11"/>
        <v/>
      </c>
      <c r="AF11" s="8"/>
      <c r="AG11" s="42">
        <v>1</v>
      </c>
      <c r="AH11" s="1">
        <v>41361</v>
      </c>
      <c r="AI11">
        <f t="shared" si="19"/>
        <v>0.28834367476949962</v>
      </c>
      <c r="AJ11">
        <f t="shared" si="20"/>
        <v>0.26189100319358161</v>
      </c>
      <c r="AK11">
        <f t="shared" si="21"/>
        <v>0.27350478380395365</v>
      </c>
      <c r="AL11" t="str">
        <f t="shared" si="22"/>
        <v/>
      </c>
      <c r="AM11" t="str">
        <f t="shared" si="23"/>
        <v/>
      </c>
      <c r="AN11">
        <f t="shared" si="24"/>
        <v>0.31132249625355835</v>
      </c>
      <c r="AO11">
        <f t="shared" si="25"/>
        <v>0.30880932869539368</v>
      </c>
      <c r="AP11">
        <f t="shared" si="26"/>
        <v>0.31266704404526169</v>
      </c>
      <c r="AQ11" t="str">
        <f t="shared" si="27"/>
        <v/>
      </c>
      <c r="AR11">
        <f t="shared" si="28"/>
        <v>0.28866245729366202</v>
      </c>
      <c r="AS11">
        <f t="shared" si="29"/>
        <v>0.32023681850859859</v>
      </c>
      <c r="AT11" t="str">
        <f t="shared" si="30"/>
        <v/>
      </c>
    </row>
    <row r="12" spans="3:46">
      <c r="C12" s="42">
        <v>1</v>
      </c>
      <c r="D12" s="1">
        <v>41396</v>
      </c>
      <c r="E12" s="4"/>
      <c r="F12" s="4"/>
      <c r="G12" s="4"/>
      <c r="H12" s="4">
        <v>0.26305764411027577</v>
      </c>
      <c r="I12" s="4">
        <v>0.2676380368098159</v>
      </c>
      <c r="J12" s="4"/>
      <c r="K12" s="4"/>
      <c r="L12" s="4"/>
      <c r="M12" s="4"/>
      <c r="N12" s="4"/>
      <c r="O12" s="4"/>
      <c r="P12" s="4"/>
      <c r="Q12" s="4"/>
      <c r="R12" s="42">
        <v>1</v>
      </c>
      <c r="S12" s="1">
        <v>41396</v>
      </c>
      <c r="T12" t="str">
        <f t="shared" si="0"/>
        <v/>
      </c>
      <c r="U12" t="str">
        <f t="shared" si="1"/>
        <v/>
      </c>
      <c r="V12" t="str">
        <f t="shared" si="2"/>
        <v/>
      </c>
      <c r="W12">
        <f t="shared" si="3"/>
        <v>0.34313468977327855</v>
      </c>
      <c r="X12">
        <f t="shared" si="4"/>
        <v>0.42518983809381261</v>
      </c>
      <c r="Y12" t="str">
        <f t="shared" si="5"/>
        <v/>
      </c>
      <c r="Z12" t="str">
        <f t="shared" si="6"/>
        <v/>
      </c>
      <c r="AA12" t="str">
        <f t="shared" si="7"/>
        <v/>
      </c>
      <c r="AB12" t="str">
        <f t="shared" si="8"/>
        <v/>
      </c>
      <c r="AC12" t="str">
        <f t="shared" si="9"/>
        <v/>
      </c>
      <c r="AD12" t="str">
        <f t="shared" si="10"/>
        <v/>
      </c>
      <c r="AE12" t="str">
        <f t="shared" si="11"/>
        <v/>
      </c>
      <c r="AF12" s="8"/>
      <c r="AG12" s="42">
        <v>1</v>
      </c>
      <c r="AH12" s="1">
        <v>41396</v>
      </c>
      <c r="AI12" t="str">
        <f t="shared" si="19"/>
        <v/>
      </c>
      <c r="AJ12" t="str">
        <f t="shared" si="20"/>
        <v/>
      </c>
      <c r="AK12" t="str">
        <f t="shared" si="21"/>
        <v/>
      </c>
      <c r="AL12">
        <f t="shared" si="22"/>
        <v>0.3106099366488892</v>
      </c>
      <c r="AM12">
        <f t="shared" si="23"/>
        <v>0.31281376192680688</v>
      </c>
      <c r="AN12" t="str">
        <f t="shared" si="24"/>
        <v/>
      </c>
      <c r="AO12" t="str">
        <f t="shared" si="25"/>
        <v/>
      </c>
      <c r="AP12" t="str">
        <f t="shared" si="26"/>
        <v/>
      </c>
      <c r="AQ12" t="str">
        <f t="shared" si="27"/>
        <v/>
      </c>
      <c r="AR12" t="str">
        <f t="shared" si="28"/>
        <v/>
      </c>
      <c r="AS12" t="str">
        <f t="shared" si="29"/>
        <v/>
      </c>
      <c r="AT12" t="str">
        <f t="shared" si="30"/>
        <v/>
      </c>
    </row>
    <row r="13" spans="3:46">
      <c r="C13" s="42">
        <v>1</v>
      </c>
      <c r="D13" s="1">
        <v>41397</v>
      </c>
      <c r="E13" s="4">
        <v>0.24844785857097776</v>
      </c>
      <c r="F13" s="4">
        <v>0.2439049270631439</v>
      </c>
      <c r="G13" s="4">
        <v>0.24710237539112423</v>
      </c>
      <c r="H13" s="4"/>
      <c r="I13" s="4"/>
      <c r="J13" s="4">
        <v>0.21986817325800412</v>
      </c>
      <c r="K13" s="4">
        <v>0.24955317247542436</v>
      </c>
      <c r="L13" s="4">
        <v>0.25723087455074478</v>
      </c>
      <c r="M13" s="4">
        <v>0.25537634408602183</v>
      </c>
      <c r="N13" s="4">
        <v>0.2687169496242694</v>
      </c>
      <c r="O13" s="4">
        <v>0.26056894508099565</v>
      </c>
      <c r="P13" s="4">
        <v>0.25529692629065953</v>
      </c>
      <c r="Q13" s="4"/>
      <c r="R13" s="42">
        <v>1</v>
      </c>
      <c r="S13" s="1">
        <v>41397</v>
      </c>
      <c r="T13">
        <f t="shared" si="0"/>
        <v>0.36253822157023002</v>
      </c>
      <c r="U13">
        <f t="shared" si="1"/>
        <v>0.36303402058250384</v>
      </c>
      <c r="V13">
        <f t="shared" si="2"/>
        <v>0.36657767271737329</v>
      </c>
      <c r="W13" t="str">
        <f t="shared" si="3"/>
        <v/>
      </c>
      <c r="X13" t="str">
        <f t="shared" si="4"/>
        <v/>
      </c>
      <c r="Y13">
        <f t="shared" si="5"/>
        <v>0.31652863878577953</v>
      </c>
      <c r="Z13">
        <f t="shared" si="6"/>
        <v>0.34409425978284386</v>
      </c>
      <c r="AA13">
        <f t="shared" si="7"/>
        <v>0.3463510053538873</v>
      </c>
      <c r="AB13">
        <f t="shared" si="8"/>
        <v>0.37655068313762996</v>
      </c>
      <c r="AC13">
        <f t="shared" si="9"/>
        <v>0.3528630004258464</v>
      </c>
      <c r="AD13">
        <f t="shared" si="10"/>
        <v>0.38946983168445609</v>
      </c>
      <c r="AE13">
        <f t="shared" si="11"/>
        <v>0.33295998567222473</v>
      </c>
      <c r="AF13" s="8"/>
      <c r="AG13" s="42">
        <v>1</v>
      </c>
      <c r="AH13" s="1">
        <v>41397</v>
      </c>
      <c r="AI13">
        <f t="shared" si="19"/>
        <v>0.32129008119496716</v>
      </c>
      <c r="AJ13">
        <f t="shared" si="20"/>
        <v>0.27602593798467184</v>
      </c>
      <c r="AK13">
        <f t="shared" si="21"/>
        <v>0.31299552282975834</v>
      </c>
      <c r="AL13" t="str">
        <f t="shared" si="22"/>
        <v/>
      </c>
      <c r="AM13" t="str">
        <f t="shared" si="23"/>
        <v/>
      </c>
      <c r="AN13">
        <f t="shared" si="24"/>
        <v>0.29315637061448491</v>
      </c>
      <c r="AO13">
        <f t="shared" si="25"/>
        <v>0.31341524070440036</v>
      </c>
      <c r="AP13">
        <f t="shared" si="26"/>
        <v>0.29559408517467262</v>
      </c>
      <c r="AQ13">
        <f t="shared" si="27"/>
        <v>0.29689234337648501</v>
      </c>
      <c r="AR13">
        <f t="shared" si="28"/>
        <v>0.30710029907767267</v>
      </c>
      <c r="AS13">
        <f t="shared" si="29"/>
        <v>0.32826758325111488</v>
      </c>
      <c r="AT13">
        <f t="shared" si="30"/>
        <v>0.31475511773177672</v>
      </c>
    </row>
    <row r="14" spans="3:46">
      <c r="C14" s="42">
        <v>1</v>
      </c>
      <c r="D14" s="1">
        <v>41425</v>
      </c>
      <c r="E14" s="4">
        <v>0.19684628237259841</v>
      </c>
      <c r="F14" s="4">
        <v>0.20599673817588782</v>
      </c>
      <c r="G14" s="4">
        <v>0.21756193279372102</v>
      </c>
      <c r="H14" s="4">
        <v>0.22404966779217947</v>
      </c>
      <c r="I14" s="4">
        <v>0.24867778681855157</v>
      </c>
      <c r="J14" s="4">
        <v>0.17589399165002723</v>
      </c>
      <c r="K14" s="4">
        <v>0.19761614519842888</v>
      </c>
      <c r="L14" s="4">
        <v>0.20687560738581151</v>
      </c>
      <c r="M14" s="4">
        <v>0.25247338760175364</v>
      </c>
      <c r="N14" s="4">
        <v>0.2209805698177793</v>
      </c>
      <c r="O14" s="4">
        <v>0.22587203081532189</v>
      </c>
      <c r="P14" s="4">
        <v>0.21221115115539549</v>
      </c>
      <c r="Q14" s="4"/>
      <c r="R14" s="42">
        <v>1</v>
      </c>
      <c r="S14" s="1">
        <v>41425</v>
      </c>
      <c r="T14">
        <f t="shared" si="0"/>
        <v>0.28724055640707186</v>
      </c>
      <c r="U14">
        <f t="shared" si="1"/>
        <v>0.3066105510345567</v>
      </c>
      <c r="V14">
        <f t="shared" si="2"/>
        <v>0.32275427085303737</v>
      </c>
      <c r="W14">
        <f t="shared" si="3"/>
        <v>0.29225234458287502</v>
      </c>
      <c r="X14">
        <f t="shared" si="4"/>
        <v>0.39506816435827941</v>
      </c>
      <c r="Y14">
        <f t="shared" si="5"/>
        <v>0.25322212361426244</v>
      </c>
      <c r="Z14">
        <f t="shared" si="6"/>
        <v>0.2724813334516466</v>
      </c>
      <c r="AA14">
        <f t="shared" si="7"/>
        <v>0.27854966759496419</v>
      </c>
      <c r="AB14">
        <f t="shared" si="8"/>
        <v>0.37227029353779373</v>
      </c>
      <c r="AC14">
        <f t="shared" si="9"/>
        <v>0.29017844617075239</v>
      </c>
      <c r="AD14">
        <f t="shared" si="10"/>
        <v>0.33760869621867207</v>
      </c>
      <c r="AE14">
        <f t="shared" si="11"/>
        <v>0.27676722503012735</v>
      </c>
      <c r="AF14" s="8"/>
      <c r="AG14" s="42">
        <v>1</v>
      </c>
      <c r="AH14" s="1">
        <v>41425</v>
      </c>
      <c r="AI14">
        <f t="shared" si="19"/>
        <v>0.25455948145494484</v>
      </c>
      <c r="AJ14">
        <f t="shared" si="20"/>
        <v>0.2331254376918013</v>
      </c>
      <c r="AK14">
        <f t="shared" si="21"/>
        <v>0.2755777268220847</v>
      </c>
      <c r="AL14">
        <f t="shared" si="22"/>
        <v>0.26455058302719386</v>
      </c>
      <c r="AM14">
        <f t="shared" si="23"/>
        <v>0.29065313334973092</v>
      </c>
      <c r="AN14">
        <f t="shared" si="24"/>
        <v>0.23452436721938943</v>
      </c>
      <c r="AO14">
        <f t="shared" si="25"/>
        <v>0.24818723440809262</v>
      </c>
      <c r="AP14">
        <f t="shared" si="26"/>
        <v>0.23772887300937198</v>
      </c>
      <c r="AQ14">
        <f t="shared" si="27"/>
        <v>0.29351745931500739</v>
      </c>
      <c r="AR14">
        <f t="shared" si="28"/>
        <v>0.25254528669026477</v>
      </c>
      <c r="AS14">
        <f t="shared" si="29"/>
        <v>0.28455603432219928</v>
      </c>
      <c r="AT14">
        <f t="shared" si="30"/>
        <v>0.26163474365478945</v>
      </c>
    </row>
    <row r="15" spans="3:46">
      <c r="C15" s="42">
        <v>1</v>
      </c>
      <c r="D15" s="1">
        <v>41528</v>
      </c>
      <c r="E15" s="4">
        <v>0.11066398390342073</v>
      </c>
      <c r="F15" s="4">
        <v>0.14065252624903091</v>
      </c>
      <c r="G15" s="4">
        <v>0.12112341772151899</v>
      </c>
      <c r="H15" s="4">
        <v>0.12394689813632874</v>
      </c>
      <c r="I15" s="4">
        <v>0.14471867449085271</v>
      </c>
      <c r="J15" s="4">
        <v>0.11231249524099597</v>
      </c>
      <c r="K15" s="4">
        <v>0.121618308132407</v>
      </c>
      <c r="L15" s="4">
        <v>0.13206517502143914</v>
      </c>
      <c r="M15" s="4">
        <v>0.14361001317523059</v>
      </c>
      <c r="N15" s="4">
        <v>0.12023937996664379</v>
      </c>
      <c r="O15" s="4">
        <v>0.13908372827804102</v>
      </c>
      <c r="P15" s="4">
        <v>0.12371439141694413</v>
      </c>
      <c r="Q15" s="4"/>
      <c r="R15" s="42">
        <v>1</v>
      </c>
      <c r="S15" s="1">
        <v>41528</v>
      </c>
      <c r="T15">
        <f t="shared" si="0"/>
        <v>0.16148226894361042</v>
      </c>
      <c r="U15">
        <f t="shared" si="1"/>
        <v>0.20935063807076201</v>
      </c>
      <c r="V15">
        <f t="shared" si="2"/>
        <v>0.17968722684129868</v>
      </c>
      <c r="W15">
        <f t="shared" si="3"/>
        <v>0.16167741707038255</v>
      </c>
      <c r="X15">
        <f t="shared" si="4"/>
        <v>0.22991092936331106</v>
      </c>
      <c r="Y15">
        <f t="shared" si="5"/>
        <v>0.16168834584144443</v>
      </c>
      <c r="Z15">
        <f t="shared" si="6"/>
        <v>0.16769236510901722</v>
      </c>
      <c r="AA15">
        <f t="shared" si="7"/>
        <v>0.17782043551653468</v>
      </c>
      <c r="AB15">
        <f t="shared" si="8"/>
        <v>0.21175198807107137</v>
      </c>
      <c r="AC15">
        <f t="shared" si="9"/>
        <v>0.15789115068363893</v>
      </c>
      <c r="AD15">
        <f t="shared" si="10"/>
        <v>0.20788707658795377</v>
      </c>
      <c r="AE15">
        <f t="shared" si="11"/>
        <v>0.16134914976115322</v>
      </c>
      <c r="AF15" s="8"/>
      <c r="AG15" s="42">
        <v>1</v>
      </c>
      <c r="AH15" s="1">
        <v>41528</v>
      </c>
      <c r="AI15">
        <f t="shared" si="19"/>
        <v>0.1431094660191285</v>
      </c>
      <c r="AJ15">
        <f t="shared" si="20"/>
        <v>0.15917573275488386</v>
      </c>
      <c r="AK15">
        <f t="shared" si="21"/>
        <v>0.15342259416432871</v>
      </c>
      <c r="AL15">
        <f t="shared" si="22"/>
        <v>0.14635247840132051</v>
      </c>
      <c r="AM15">
        <f t="shared" si="23"/>
        <v>0.16914633483398922</v>
      </c>
      <c r="AN15">
        <f t="shared" si="24"/>
        <v>0.14974938387681527</v>
      </c>
      <c r="AO15">
        <f t="shared" si="25"/>
        <v>0.15274112101754178</v>
      </c>
      <c r="AP15">
        <f t="shared" si="26"/>
        <v>0.15176127151172997</v>
      </c>
      <c r="AQ15">
        <f t="shared" si="27"/>
        <v>0.16695639330462106</v>
      </c>
      <c r="AR15">
        <f t="shared" si="28"/>
        <v>0.13741429262389657</v>
      </c>
      <c r="AS15">
        <f t="shared" si="29"/>
        <v>0.17521918944406548</v>
      </c>
      <c r="AT15">
        <f t="shared" si="30"/>
        <v>0.15252724896194739</v>
      </c>
    </row>
    <row r="16" spans="3:46">
      <c r="C16" s="42">
        <v>1</v>
      </c>
      <c r="D16" s="1">
        <v>41740</v>
      </c>
      <c r="E16" s="4">
        <v>0.25602140945584301</v>
      </c>
      <c r="F16" s="4">
        <v>0.23536392405063272</v>
      </c>
      <c r="G16" s="4">
        <v>0.2496899545266639</v>
      </c>
      <c r="H16" s="4">
        <v>0.27867633389105767</v>
      </c>
      <c r="I16" s="4">
        <v>0.27532327586206889</v>
      </c>
      <c r="J16" s="4">
        <v>0.24397698669543316</v>
      </c>
      <c r="K16" s="4">
        <v>0.26874746655857323</v>
      </c>
      <c r="L16" s="4">
        <v>0.26466351101049596</v>
      </c>
      <c r="M16" s="4">
        <v>0.23472397808680992</v>
      </c>
      <c r="N16" s="4">
        <v>0.25828117844603876</v>
      </c>
      <c r="O16" s="4">
        <v>0.26911890504704883</v>
      </c>
      <c r="P16" s="4">
        <v>0.26045662100456618</v>
      </c>
      <c r="Q16" s="4"/>
      <c r="R16" s="42">
        <v>1</v>
      </c>
      <c r="S16" s="1">
        <v>41740</v>
      </c>
      <c r="T16">
        <f t="shared" si="0"/>
        <v>0.37358964171352854</v>
      </c>
      <c r="U16">
        <f t="shared" si="1"/>
        <v>0.35032138414348474</v>
      </c>
      <c r="V16">
        <f t="shared" si="2"/>
        <v>0.37041635996583361</v>
      </c>
      <c r="W16">
        <f t="shared" si="3"/>
        <v>0.3635078452112061</v>
      </c>
      <c r="X16">
        <f t="shared" si="4"/>
        <v>0.43739918466984401</v>
      </c>
      <c r="Y16">
        <f t="shared" si="5"/>
        <v>0.35123639019432457</v>
      </c>
      <c r="Z16">
        <f t="shared" si="6"/>
        <v>0.37056014819083738</v>
      </c>
      <c r="AA16">
        <f t="shared" si="7"/>
        <v>0.35635875078787072</v>
      </c>
      <c r="AB16">
        <f t="shared" si="8"/>
        <v>0.34609890988022873</v>
      </c>
      <c r="AC16">
        <f t="shared" si="9"/>
        <v>0.33915937088235498</v>
      </c>
      <c r="AD16">
        <f t="shared" si="10"/>
        <v>0.40224937249985326</v>
      </c>
      <c r="AE16">
        <f t="shared" si="11"/>
        <v>0.33968929457138269</v>
      </c>
      <c r="AF16" s="8"/>
      <c r="AG16" s="42">
        <v>1</v>
      </c>
      <c r="AH16" s="1">
        <v>41740</v>
      </c>
      <c r="AI16">
        <f t="shared" si="19"/>
        <v>0.33108411521372849</v>
      </c>
      <c r="AJ16">
        <f t="shared" si="20"/>
        <v>0.26636012927697006</v>
      </c>
      <c r="AK16">
        <f t="shared" si="21"/>
        <v>0.31627311448831552</v>
      </c>
      <c r="AL16">
        <f t="shared" si="22"/>
        <v>0.32905197911359552</v>
      </c>
      <c r="AM16">
        <f t="shared" si="23"/>
        <v>0.32179622409062247</v>
      </c>
      <c r="AN16">
        <f t="shared" si="24"/>
        <v>0.32530132430382536</v>
      </c>
      <c r="AO16">
        <f t="shared" si="25"/>
        <v>0.33752146320018361</v>
      </c>
      <c r="AP16">
        <f t="shared" si="26"/>
        <v>0.3041352191990902</v>
      </c>
      <c r="AQ16">
        <f t="shared" si="27"/>
        <v>0.27288256533804028</v>
      </c>
      <c r="AR16">
        <f t="shared" si="28"/>
        <v>0.29517388932040983</v>
      </c>
      <c r="AS16">
        <f t="shared" si="29"/>
        <v>0.33903891555273519</v>
      </c>
      <c r="AT16">
        <f t="shared" si="30"/>
        <v>0.32111649599328673</v>
      </c>
    </row>
    <row r="17" spans="3:46">
      <c r="C17" s="43">
        <v>1</v>
      </c>
      <c r="D17" s="1">
        <v>41806</v>
      </c>
      <c r="E17" s="4">
        <v>0.18699507367068485</v>
      </c>
      <c r="F17" s="4">
        <v>0.1664897729755192</v>
      </c>
      <c r="G17" s="4">
        <v>0.13836699827680368</v>
      </c>
      <c r="H17" s="4">
        <v>0.17230023083937035</v>
      </c>
      <c r="I17" s="4">
        <v>0.19528298597157698</v>
      </c>
      <c r="J17" s="4">
        <v>0.21366225293693486</v>
      </c>
      <c r="K17" s="4">
        <v>0.1531380117358101</v>
      </c>
      <c r="L17" s="4">
        <v>0.22614618704128464</v>
      </c>
      <c r="M17" s="4">
        <v>0.18281568359710018</v>
      </c>
      <c r="N17" s="4">
        <v>0.1667685227547665</v>
      </c>
      <c r="O17" s="4">
        <v>0.20686627868989985</v>
      </c>
      <c r="P17" s="4">
        <v>0.16584080293780862</v>
      </c>
      <c r="Q17" s="4"/>
      <c r="R17" s="43">
        <v>1</v>
      </c>
      <c r="S17" s="1">
        <v>41806</v>
      </c>
      <c r="T17">
        <f t="shared" si="0"/>
        <v>0.27286554949958181</v>
      </c>
      <c r="U17">
        <f t="shared" si="1"/>
        <v>0.24780742397025665</v>
      </c>
      <c r="V17">
        <f t="shared" si="2"/>
        <v>0.20526816923112998</v>
      </c>
      <c r="W17">
        <f t="shared" si="3"/>
        <v>0.22474992679607195</v>
      </c>
      <c r="X17">
        <f t="shared" si="4"/>
        <v>0.31024118311977467</v>
      </c>
      <c r="Y17">
        <f t="shared" si="5"/>
        <v>0.30759441477994309</v>
      </c>
      <c r="Z17">
        <f t="shared" si="6"/>
        <v>0.21115303913052541</v>
      </c>
      <c r="AA17">
        <f t="shared" si="7"/>
        <v>0.30449672643493486</v>
      </c>
      <c r="AB17">
        <f t="shared" si="8"/>
        <v>0.26956048256205278</v>
      </c>
      <c r="AC17">
        <f t="shared" si="9"/>
        <v>0.21899043360723747</v>
      </c>
      <c r="AD17">
        <f t="shared" si="10"/>
        <v>0.30920098600967644</v>
      </c>
      <c r="AE17">
        <f t="shared" si="11"/>
        <v>0.21629070185974761</v>
      </c>
      <c r="AF17" s="8"/>
      <c r="AG17" s="43">
        <v>1</v>
      </c>
      <c r="AH17" s="1">
        <v>41806</v>
      </c>
      <c r="AI17">
        <f t="shared" si="19"/>
        <v>0.24182000500338124</v>
      </c>
      <c r="AJ17">
        <f t="shared" si="20"/>
        <v>0.18841561055683578</v>
      </c>
      <c r="AK17">
        <f t="shared" si="21"/>
        <v>0.17526440569210347</v>
      </c>
      <c r="AL17">
        <f t="shared" si="22"/>
        <v>0.20344652582371103</v>
      </c>
      <c r="AM17">
        <f t="shared" si="23"/>
        <v>0.22824560443730024</v>
      </c>
      <c r="AN17">
        <f t="shared" si="24"/>
        <v>0.28488184388017451</v>
      </c>
      <c r="AO17">
        <f t="shared" si="25"/>
        <v>0.19232689503836609</v>
      </c>
      <c r="AP17">
        <f t="shared" si="26"/>
        <v>0.25987345178123911</v>
      </c>
      <c r="AQ17">
        <f t="shared" si="27"/>
        <v>0.21253564774517408</v>
      </c>
      <c r="AR17">
        <f t="shared" si="28"/>
        <v>0.1905896270642429</v>
      </c>
      <c r="AS17">
        <f t="shared" si="29"/>
        <v>0.26061238165037881</v>
      </c>
      <c r="AT17">
        <f t="shared" si="30"/>
        <v>0.20446482537746141</v>
      </c>
    </row>
    <row r="18" spans="3:46">
      <c r="C18" s="42">
        <v>2</v>
      </c>
      <c r="D18" s="1">
        <v>40830</v>
      </c>
      <c r="E18" s="4">
        <v>0.161093645803563</v>
      </c>
      <c r="F18" s="4">
        <v>0.13514680483592401</v>
      </c>
      <c r="G18" s="4">
        <v>0.115584979379206</v>
      </c>
      <c r="H18" s="4">
        <v>0.114700422811179</v>
      </c>
      <c r="I18" s="4">
        <v>0.15558594317246699</v>
      </c>
      <c r="J18" s="4">
        <v>0.12707309759416899</v>
      </c>
      <c r="K18" s="4">
        <v>0.134523842663475</v>
      </c>
      <c r="L18" s="4">
        <v>0.115119384025095</v>
      </c>
      <c r="M18" s="4">
        <v>0.149297096752565</v>
      </c>
      <c r="N18" s="4">
        <v>0.12445811948776701</v>
      </c>
      <c r="O18" s="4">
        <v>0.155890986385951</v>
      </c>
      <c r="P18" s="4">
        <v>0.14327297020017699</v>
      </c>
      <c r="Q18" s="4"/>
      <c r="R18" s="42">
        <v>2</v>
      </c>
      <c r="S18" s="1">
        <v>40830</v>
      </c>
      <c r="T18">
        <f t="shared" si="0"/>
        <v>0.23062355934839887</v>
      </c>
      <c r="U18">
        <f t="shared" si="1"/>
        <v>0.20862163847227674</v>
      </c>
      <c r="V18">
        <f t="shared" si="2"/>
        <v>0.15790035696751309</v>
      </c>
      <c r="W18">
        <f t="shared" si="3"/>
        <v>0.1698360346852083</v>
      </c>
      <c r="X18">
        <f t="shared" si="4"/>
        <v>0.24648659730806402</v>
      </c>
      <c r="Y18">
        <f t="shared" si="5"/>
        <v>0.18925583494275852</v>
      </c>
      <c r="Z18">
        <f t="shared" si="6"/>
        <v>0.15022669602938624</v>
      </c>
      <c r="AA18">
        <f t="shared" si="7"/>
        <v>0.16262107888446395</v>
      </c>
      <c r="AB18">
        <f t="shared" si="8"/>
        <v>0.21630638210687139</v>
      </c>
      <c r="AC18">
        <f t="shared" si="9"/>
        <v>0.20369580909977994</v>
      </c>
      <c r="AD18">
        <f t="shared" si="10"/>
        <v>0.22646463693500496</v>
      </c>
      <c r="AE18">
        <f t="shared" si="11"/>
        <v>0.17347220750675624</v>
      </c>
      <c r="AF18" s="8"/>
      <c r="AG18" s="42">
        <v>2</v>
      </c>
      <c r="AH18" s="1">
        <v>40830</v>
      </c>
      <c r="AI18">
        <f t="shared" si="19"/>
        <v>0.20874000320412561</v>
      </c>
      <c r="AJ18">
        <f t="shared" si="20"/>
        <v>0.18080493358678768</v>
      </c>
      <c r="AK18">
        <f t="shared" si="21"/>
        <v>0.1480914208787758</v>
      </c>
      <c r="AL18">
        <f t="shared" si="22"/>
        <v>0.11874714548365854</v>
      </c>
      <c r="AM18">
        <f t="shared" si="23"/>
        <v>0.20787411405839801</v>
      </c>
      <c r="AN18">
        <f t="shared" si="24"/>
        <v>0.16728829609590196</v>
      </c>
      <c r="AO18">
        <f t="shared" si="25"/>
        <v>0.16475395878896201</v>
      </c>
      <c r="AP18">
        <f t="shared" si="26"/>
        <v>0.14435430389948575</v>
      </c>
      <c r="AQ18">
        <f t="shared" si="27"/>
        <v>0.18520668569571039</v>
      </c>
      <c r="AR18">
        <f t="shared" si="28"/>
        <v>0.1531644918922809</v>
      </c>
      <c r="AS18">
        <f t="shared" si="29"/>
        <v>0.19325160015418227</v>
      </c>
      <c r="AT18">
        <f t="shared" si="30"/>
        <v>0.17810837492479351</v>
      </c>
    </row>
    <row r="19" spans="3:46">
      <c r="C19" s="42">
        <v>2</v>
      </c>
      <c r="D19" s="1">
        <v>41003</v>
      </c>
      <c r="E19" s="4">
        <v>0.33890746934225208</v>
      </c>
      <c r="F19" s="4">
        <v>0.22406181015452553</v>
      </c>
      <c r="G19" s="4">
        <v>0.26913229018492152</v>
      </c>
      <c r="H19" s="4">
        <v>0.23373876255949241</v>
      </c>
      <c r="I19" s="4">
        <v>0.22160883280757085</v>
      </c>
      <c r="J19" s="4">
        <v>0.23745294855708909</v>
      </c>
      <c r="K19" s="4">
        <v>0.3128153380423816</v>
      </c>
      <c r="L19" s="4">
        <v>0.22423522423522413</v>
      </c>
      <c r="M19" s="4">
        <v>0.23750673750673759</v>
      </c>
      <c r="N19" s="4">
        <v>0.24479870305322893</v>
      </c>
      <c r="O19" s="4">
        <v>0.30356671070013214</v>
      </c>
      <c r="P19" s="4">
        <v>0.24395674300254433</v>
      </c>
      <c r="Q19" s="4"/>
      <c r="R19" s="42">
        <v>2</v>
      </c>
      <c r="S19" s="1">
        <v>41003</v>
      </c>
      <c r="T19">
        <f t="shared" si="0"/>
        <v>0.48518392193306381</v>
      </c>
      <c r="U19">
        <f t="shared" si="1"/>
        <v>0.3458767819945977</v>
      </c>
      <c r="V19">
        <f t="shared" si="2"/>
        <v>0.36766096183020619</v>
      </c>
      <c r="W19">
        <f t="shared" si="3"/>
        <v>0.34609518964617647</v>
      </c>
      <c r="X19">
        <f t="shared" si="4"/>
        <v>0.35108317639980846</v>
      </c>
      <c r="Y19">
        <f t="shared" si="5"/>
        <v>0.35364964646028996</v>
      </c>
      <c r="Z19">
        <f t="shared" si="6"/>
        <v>0.34933000552906329</v>
      </c>
      <c r="AA19">
        <f t="shared" si="7"/>
        <v>0.31676137253377518</v>
      </c>
      <c r="AB19">
        <f t="shared" si="8"/>
        <v>0.34410731510226872</v>
      </c>
      <c r="AC19">
        <f t="shared" si="9"/>
        <v>0.4006526057940753</v>
      </c>
      <c r="AD19">
        <f t="shared" si="10"/>
        <v>0.44099486774723906</v>
      </c>
      <c r="AE19">
        <f t="shared" si="11"/>
        <v>0.29537821883417265</v>
      </c>
      <c r="AF19" s="8"/>
      <c r="AG19" s="42">
        <v>2</v>
      </c>
      <c r="AH19" s="1">
        <v>41003</v>
      </c>
      <c r="AI19">
        <f t="shared" si="19"/>
        <v>0.43914547891397421</v>
      </c>
      <c r="AJ19">
        <f t="shared" si="20"/>
        <v>0.29975907128183821</v>
      </c>
      <c r="AK19">
        <f t="shared" si="21"/>
        <v>0.34482147656128964</v>
      </c>
      <c r="AL19">
        <f t="shared" si="22"/>
        <v>0.24198525308415178</v>
      </c>
      <c r="AM19">
        <f t="shared" si="23"/>
        <v>0.29608548721091382</v>
      </c>
      <c r="AN19">
        <f t="shared" si="24"/>
        <v>0.31260038449622296</v>
      </c>
      <c r="AO19">
        <f t="shared" si="25"/>
        <v>0.38311101059844227</v>
      </c>
      <c r="AP19">
        <f t="shared" si="26"/>
        <v>0.28118044565947864</v>
      </c>
      <c r="AQ19">
        <f t="shared" si="27"/>
        <v>0.29463289401351472</v>
      </c>
      <c r="AR19">
        <f t="shared" si="28"/>
        <v>0.30126173465703449</v>
      </c>
      <c r="AS19">
        <f t="shared" si="29"/>
        <v>0.37631908012373166</v>
      </c>
      <c r="AT19">
        <f t="shared" si="30"/>
        <v>0.30327241061185861</v>
      </c>
    </row>
    <row r="20" spans="3:46">
      <c r="C20" s="42">
        <v>2</v>
      </c>
      <c r="D20" s="1">
        <v>41263</v>
      </c>
      <c r="E20" s="4">
        <v>0.24013349632464709</v>
      </c>
      <c r="F20" s="4">
        <v>0.22103668576697627</v>
      </c>
      <c r="G20" s="4"/>
      <c r="H20" s="4">
        <v>0.23465439932053084</v>
      </c>
      <c r="I20" s="4">
        <v>0.24565512147244242</v>
      </c>
      <c r="J20" s="4">
        <v>0.24568868980963043</v>
      </c>
      <c r="K20" s="4">
        <v>0.28213254276290112</v>
      </c>
      <c r="L20" s="4"/>
      <c r="M20" s="4"/>
      <c r="N20" s="4">
        <v>0.29282737423796429</v>
      </c>
      <c r="O20" s="4">
        <v>0.30801457261794801</v>
      </c>
      <c r="P20" s="4">
        <v>0.23696099435918927</v>
      </c>
      <c r="Q20" s="4"/>
      <c r="R20" s="42">
        <v>2</v>
      </c>
      <c r="S20" s="1">
        <v>41263</v>
      </c>
      <c r="T20">
        <f t="shared" si="0"/>
        <v>0.34377793962585262</v>
      </c>
      <c r="U20">
        <f t="shared" si="1"/>
        <v>0.34120699785076114</v>
      </c>
      <c r="V20" t="str">
        <f t="shared" si="2"/>
        <v/>
      </c>
      <c r="W20">
        <f t="shared" si="3"/>
        <v>0.34745096596238739</v>
      </c>
      <c r="X20">
        <f t="shared" si="4"/>
        <v>0.38917844227046294</v>
      </c>
      <c r="Y20">
        <f t="shared" si="5"/>
        <v>0.36591551639367348</v>
      </c>
      <c r="Z20">
        <f t="shared" si="6"/>
        <v>0.31506563373801044</v>
      </c>
      <c r="AA20" t="str">
        <f t="shared" si="7"/>
        <v/>
      </c>
      <c r="AB20" t="str">
        <f t="shared" si="8"/>
        <v/>
      </c>
      <c r="AC20">
        <f t="shared" si="9"/>
        <v>0.47925928149532232</v>
      </c>
      <c r="AD20">
        <f t="shared" si="10"/>
        <v>0.44745632814150071</v>
      </c>
      <c r="AE20">
        <f t="shared" si="11"/>
        <v>0.28690789844764308</v>
      </c>
      <c r="AF20" s="8"/>
      <c r="AG20" s="42">
        <v>2</v>
      </c>
      <c r="AH20" s="1">
        <v>41263</v>
      </c>
      <c r="AI20">
        <f t="shared" si="19"/>
        <v>0.3111573181064356</v>
      </c>
      <c r="AJ20">
        <f t="shared" si="20"/>
        <v>0.29571193591192207</v>
      </c>
      <c r="AK20" t="str">
        <f t="shared" si="21"/>
        <v/>
      </c>
      <c r="AL20">
        <f t="shared" si="22"/>
        <v>0.24293319424259205</v>
      </c>
      <c r="AM20">
        <f t="shared" si="23"/>
        <v>0.32821307438671499</v>
      </c>
      <c r="AN20">
        <f t="shared" si="24"/>
        <v>0.32344251510694</v>
      </c>
      <c r="AO20">
        <f t="shared" si="25"/>
        <v>0.34553319622057355</v>
      </c>
      <c r="AP20" t="str">
        <f t="shared" si="26"/>
        <v/>
      </c>
      <c r="AQ20" t="str">
        <f t="shared" si="27"/>
        <v/>
      </c>
      <c r="AR20">
        <f t="shared" si="28"/>
        <v>0.36036826019789703</v>
      </c>
      <c r="AS20">
        <f t="shared" si="29"/>
        <v>0.38183291035093098</v>
      </c>
      <c r="AT20">
        <f t="shared" si="30"/>
        <v>0.29457571492313644</v>
      </c>
    </row>
    <row r="21" spans="3:46">
      <c r="C21" s="42">
        <v>2</v>
      </c>
      <c r="D21" s="1">
        <v>41266</v>
      </c>
      <c r="E21" s="4">
        <v>0.26442147382460823</v>
      </c>
      <c r="F21" s="4">
        <v>0.21958456973293755</v>
      </c>
      <c r="G21" s="4">
        <v>0.25632111251580275</v>
      </c>
      <c r="H21" s="4">
        <v>0.23473407747866051</v>
      </c>
      <c r="I21" s="4">
        <v>0.22595628415300534</v>
      </c>
      <c r="J21" s="4">
        <v>0.23728813559322035</v>
      </c>
      <c r="K21" s="4">
        <v>0.28437327443401428</v>
      </c>
      <c r="L21" s="4">
        <v>0.23730747290359383</v>
      </c>
      <c r="M21" s="4">
        <v>0.24661719773024873</v>
      </c>
      <c r="N21" s="4">
        <v>0.20733137829912027</v>
      </c>
      <c r="O21" s="4">
        <v>0.28922025473749596</v>
      </c>
      <c r="P21" s="4">
        <v>0.21931781957284038</v>
      </c>
      <c r="Q21" s="4"/>
      <c r="R21" s="42">
        <v>2</v>
      </c>
      <c r="S21" s="1">
        <v>41266</v>
      </c>
      <c r="T21">
        <f t="shared" si="0"/>
        <v>0.37854889407581999</v>
      </c>
      <c r="U21">
        <f t="shared" si="1"/>
        <v>0.3389654145100317</v>
      </c>
      <c r="V21">
        <f t="shared" si="2"/>
        <v>0.35015964342367273</v>
      </c>
      <c r="W21">
        <f t="shared" si="3"/>
        <v>0.34756894479887379</v>
      </c>
      <c r="X21">
        <f t="shared" si="4"/>
        <v>0.35797061409018294</v>
      </c>
      <c r="Y21">
        <f t="shared" si="5"/>
        <v>0.35340418289894676</v>
      </c>
      <c r="Z21">
        <f t="shared" si="6"/>
        <v>0.31756792410509294</v>
      </c>
      <c r="AA21">
        <f t="shared" si="7"/>
        <v>0.33522762128848416</v>
      </c>
      <c r="AB21">
        <f t="shared" si="8"/>
        <v>0.35730683962847082</v>
      </c>
      <c r="AC21">
        <f t="shared" si="9"/>
        <v>0.33933127889308096</v>
      </c>
      <c r="AD21">
        <f t="shared" si="10"/>
        <v>0.42015360542538338</v>
      </c>
      <c r="AE21">
        <f t="shared" si="11"/>
        <v>0.26554587549705239</v>
      </c>
      <c r="AF21" s="8"/>
      <c r="AG21" s="42">
        <v>2</v>
      </c>
      <c r="AH21" s="1">
        <v>41266</v>
      </c>
      <c r="AI21">
        <f t="shared" si="19"/>
        <v>0.34262890394009293</v>
      </c>
      <c r="AJ21">
        <f t="shared" si="20"/>
        <v>0.29376923557643558</v>
      </c>
      <c r="AK21">
        <f t="shared" si="21"/>
        <v>0.32840735844369318</v>
      </c>
      <c r="AL21">
        <f t="shared" si="22"/>
        <v>0.24301568350987984</v>
      </c>
      <c r="AM21">
        <f t="shared" si="23"/>
        <v>0.30189399778980597</v>
      </c>
      <c r="AN21">
        <f t="shared" si="24"/>
        <v>0.31238341268690917</v>
      </c>
      <c r="AO21">
        <f t="shared" si="25"/>
        <v>0.34827746375033192</v>
      </c>
      <c r="AP21">
        <f t="shared" si="26"/>
        <v>0.29757243188233867</v>
      </c>
      <c r="AQ21">
        <f t="shared" si="27"/>
        <v>0.30593464186970748</v>
      </c>
      <c r="AR21">
        <f t="shared" si="28"/>
        <v>0.2551525391931726</v>
      </c>
      <c r="AS21">
        <f t="shared" si="29"/>
        <v>0.35853437277409106</v>
      </c>
      <c r="AT21">
        <f t="shared" si="30"/>
        <v>0.27264277680284604</v>
      </c>
    </row>
    <row r="22" spans="3:46">
      <c r="C22" s="42">
        <v>2</v>
      </c>
      <c r="D22" s="1">
        <v>41348</v>
      </c>
      <c r="E22" s="4">
        <v>0.28420726634424609</v>
      </c>
      <c r="F22" s="4">
        <v>0.22473823653297989</v>
      </c>
      <c r="G22" s="4">
        <v>0.28054523112508029</v>
      </c>
      <c r="H22" s="4">
        <v>0.23120158472061672</v>
      </c>
      <c r="I22" s="4"/>
      <c r="J22" s="4">
        <v>0.23705975293176751</v>
      </c>
      <c r="K22" s="4">
        <v>0.30587218933569765</v>
      </c>
      <c r="L22" s="4">
        <v>0.22202358254263765</v>
      </c>
      <c r="M22" s="4">
        <v>0.2462248904572808</v>
      </c>
      <c r="N22" s="4">
        <v>0.26896158229422817</v>
      </c>
      <c r="O22" s="4">
        <v>0.31574781298913673</v>
      </c>
      <c r="P22" s="4">
        <v>0.23078770510080701</v>
      </c>
      <c r="Q22" s="4"/>
      <c r="R22" s="42">
        <v>2</v>
      </c>
      <c r="S22" s="1">
        <v>41348</v>
      </c>
      <c r="T22">
        <f t="shared" si="0"/>
        <v>0.40687446751880979</v>
      </c>
      <c r="U22">
        <f t="shared" si="1"/>
        <v>0.34692095895128078</v>
      </c>
      <c r="V22">
        <f t="shared" si="2"/>
        <v>0.38325215246915539</v>
      </c>
      <c r="W22">
        <f t="shared" si="3"/>
        <v>0.34233840991612097</v>
      </c>
      <c r="X22" t="str">
        <f t="shared" si="4"/>
        <v/>
      </c>
      <c r="Y22">
        <f t="shared" si="5"/>
        <v>0.35306404205011233</v>
      </c>
      <c r="Z22">
        <f t="shared" si="6"/>
        <v>0.34157638899838538</v>
      </c>
      <c r="AA22">
        <f t="shared" si="7"/>
        <v>0.31363714144793237</v>
      </c>
      <c r="AB22">
        <f t="shared" si="8"/>
        <v>0.35673845237422608</v>
      </c>
      <c r="AC22">
        <f t="shared" si="9"/>
        <v>0.44019905931139192</v>
      </c>
      <c r="AD22">
        <f t="shared" si="10"/>
        <v>0.4586904957710296</v>
      </c>
      <c r="AE22">
        <f t="shared" si="11"/>
        <v>0.27943339635745057</v>
      </c>
      <c r="AF22" s="8"/>
      <c r="AG22" s="42">
        <v>2</v>
      </c>
      <c r="AH22" s="1">
        <v>41348</v>
      </c>
      <c r="AI22">
        <f t="shared" si="19"/>
        <v>0.36826670221167457</v>
      </c>
      <c r="AJ22">
        <f t="shared" si="20"/>
        <v>0.30066402220969229</v>
      </c>
      <c r="AK22">
        <f t="shared" si="21"/>
        <v>0.35944412605529241</v>
      </c>
      <c r="AL22">
        <f t="shared" si="22"/>
        <v>0.23935856158148086</v>
      </c>
      <c r="AM22" t="str">
        <f t="shared" si="23"/>
        <v/>
      </c>
      <c r="AN22">
        <f t="shared" si="24"/>
        <v>0.31208275309006589</v>
      </c>
      <c r="AO22">
        <f t="shared" si="25"/>
        <v>0.37460760173620622</v>
      </c>
      <c r="AP22">
        <f t="shared" si="26"/>
        <v>0.27840715079074652</v>
      </c>
      <c r="AQ22">
        <f t="shared" si="27"/>
        <v>0.3054479751402055</v>
      </c>
      <c r="AR22">
        <f t="shared" si="28"/>
        <v>0.33099780279653385</v>
      </c>
      <c r="AS22">
        <f t="shared" si="29"/>
        <v>0.39141948819456068</v>
      </c>
      <c r="AT22">
        <f t="shared" si="30"/>
        <v>0.28690145147892265</v>
      </c>
    </row>
    <row r="23" spans="3:46">
      <c r="C23" s="42">
        <v>2</v>
      </c>
      <c r="D23" s="1">
        <v>41361</v>
      </c>
      <c r="E23" s="4"/>
      <c r="F23" s="4">
        <v>0.22613596336738295</v>
      </c>
      <c r="G23" s="4">
        <v>0.22103291410222117</v>
      </c>
      <c r="H23" s="4">
        <v>0.24140508221225715</v>
      </c>
      <c r="I23" s="4"/>
      <c r="J23" s="4">
        <v>0.23978919631093545</v>
      </c>
      <c r="K23" s="4">
        <v>0.28756157635467988</v>
      </c>
      <c r="L23" s="4">
        <v>0.22704225352112703</v>
      </c>
      <c r="M23" s="4">
        <v>0.23428193249503634</v>
      </c>
      <c r="N23" s="4">
        <v>0.23496835443037997</v>
      </c>
      <c r="O23" s="4"/>
      <c r="P23" s="4">
        <v>0.22977725674091454</v>
      </c>
      <c r="Q23" s="4"/>
      <c r="R23" s="42">
        <v>2</v>
      </c>
      <c r="S23" s="1">
        <v>41361</v>
      </c>
      <c r="T23" t="str">
        <f t="shared" si="0"/>
        <v/>
      </c>
      <c r="U23">
        <f t="shared" si="1"/>
        <v>0.34907858348915904</v>
      </c>
      <c r="V23">
        <f t="shared" si="2"/>
        <v>0.30195252208168133</v>
      </c>
      <c r="W23">
        <f t="shared" si="3"/>
        <v>0.35744665024713901</v>
      </c>
      <c r="X23" t="str">
        <f t="shared" si="4"/>
        <v/>
      </c>
      <c r="Y23">
        <f t="shared" si="5"/>
        <v>0.35712912817324399</v>
      </c>
      <c r="Z23">
        <f t="shared" si="6"/>
        <v>0.32112839378840352</v>
      </c>
      <c r="AA23">
        <f t="shared" si="7"/>
        <v>0.32072666590986121</v>
      </c>
      <c r="AB23">
        <f t="shared" si="8"/>
        <v>0.33943511503774054</v>
      </c>
      <c r="AC23">
        <f t="shared" si="9"/>
        <v>0.38456365294226125</v>
      </c>
      <c r="AD23" t="str">
        <f t="shared" si="10"/>
        <v/>
      </c>
      <c r="AE23">
        <f t="shared" si="11"/>
        <v>0.27820996455927377</v>
      </c>
      <c r="AF23" s="8"/>
      <c r="AG23" s="42">
        <v>2</v>
      </c>
      <c r="AH23" s="1">
        <v>41361</v>
      </c>
      <c r="AI23" t="str">
        <f t="shared" si="19"/>
        <v/>
      </c>
      <c r="AJ23">
        <f t="shared" si="20"/>
        <v>0.30253395844513292</v>
      </c>
      <c r="AK23">
        <f t="shared" si="21"/>
        <v>0.28319491413313419</v>
      </c>
      <c r="AL23">
        <f t="shared" si="22"/>
        <v>0.24992204662701187</v>
      </c>
      <c r="AM23" t="str">
        <f t="shared" si="23"/>
        <v/>
      </c>
      <c r="AN23">
        <f t="shared" si="24"/>
        <v>0.31567599147675801</v>
      </c>
      <c r="AO23">
        <f t="shared" si="25"/>
        <v>0.35218223893994766</v>
      </c>
      <c r="AP23">
        <f t="shared" si="26"/>
        <v>0.28470032862292166</v>
      </c>
      <c r="AQ23">
        <f t="shared" si="27"/>
        <v>0.29063244483383677</v>
      </c>
      <c r="AR23">
        <f t="shared" si="28"/>
        <v>0.2891640076614837</v>
      </c>
      <c r="AS23" t="str">
        <f t="shared" si="29"/>
        <v/>
      </c>
      <c r="AT23">
        <f t="shared" si="30"/>
        <v>0.28564532260077891</v>
      </c>
    </row>
    <row r="24" spans="3:46">
      <c r="C24" s="42">
        <v>2</v>
      </c>
      <c r="D24" s="1">
        <v>41396</v>
      </c>
      <c r="E24" s="4"/>
      <c r="F24" s="4"/>
      <c r="G24" s="4"/>
      <c r="H24" s="4">
        <v>0.21973240509082984</v>
      </c>
      <c r="I24" s="4">
        <v>0.27776296493800839</v>
      </c>
      <c r="J24" s="4"/>
      <c r="K24" s="4"/>
      <c r="L24" s="4"/>
      <c r="M24" s="4"/>
      <c r="N24" s="4"/>
      <c r="O24" s="4"/>
      <c r="P24" s="4"/>
      <c r="Q24" s="4"/>
      <c r="R24" s="42">
        <v>2</v>
      </c>
      <c r="S24" s="1">
        <v>41396</v>
      </c>
      <c r="T24" t="str">
        <f t="shared" si="0"/>
        <v/>
      </c>
      <c r="U24" t="str">
        <f t="shared" si="1"/>
        <v/>
      </c>
      <c r="V24" t="str">
        <f t="shared" si="2"/>
        <v/>
      </c>
      <c r="W24">
        <f t="shared" si="3"/>
        <v>0.32535608376879727</v>
      </c>
      <c r="X24">
        <f t="shared" si="4"/>
        <v>0.44004520389014523</v>
      </c>
      <c r="Y24" t="str">
        <f t="shared" si="5"/>
        <v/>
      </c>
      <c r="Z24" t="str">
        <f t="shared" si="6"/>
        <v/>
      </c>
      <c r="AA24" t="str">
        <f t="shared" si="7"/>
        <v/>
      </c>
      <c r="AB24" t="str">
        <f t="shared" si="8"/>
        <v/>
      </c>
      <c r="AC24" t="str">
        <f t="shared" si="9"/>
        <v/>
      </c>
      <c r="AD24" t="str">
        <f t="shared" si="10"/>
        <v/>
      </c>
      <c r="AE24" t="str">
        <f t="shared" si="11"/>
        <v/>
      </c>
      <c r="AF24" s="8"/>
      <c r="AG24" s="42">
        <v>2</v>
      </c>
      <c r="AH24" s="1">
        <v>41396</v>
      </c>
      <c r="AI24" t="str">
        <f t="shared" si="19"/>
        <v/>
      </c>
      <c r="AJ24" t="str">
        <f t="shared" si="20"/>
        <v/>
      </c>
      <c r="AK24" t="str">
        <f t="shared" si="21"/>
        <v/>
      </c>
      <c r="AL24">
        <f t="shared" si="22"/>
        <v>0.22748474011947506</v>
      </c>
      <c r="AM24">
        <f t="shared" si="23"/>
        <v>0.37111148396431859</v>
      </c>
      <c r="AN24" t="str">
        <f t="shared" si="24"/>
        <v/>
      </c>
      <c r="AO24" t="str">
        <f t="shared" si="25"/>
        <v/>
      </c>
      <c r="AP24" t="str">
        <f t="shared" si="26"/>
        <v/>
      </c>
      <c r="AQ24" t="str">
        <f t="shared" si="27"/>
        <v/>
      </c>
      <c r="AR24" t="str">
        <f t="shared" si="28"/>
        <v/>
      </c>
      <c r="AS24" t="str">
        <f t="shared" si="29"/>
        <v/>
      </c>
      <c r="AT24" t="str">
        <f t="shared" si="30"/>
        <v/>
      </c>
    </row>
    <row r="25" spans="3:46">
      <c r="C25" s="42">
        <v>2</v>
      </c>
      <c r="D25" s="1">
        <v>41397</v>
      </c>
      <c r="E25" s="4">
        <v>0.265432098765432</v>
      </c>
      <c r="F25" s="4">
        <v>0.24864130434782639</v>
      </c>
      <c r="G25" s="4">
        <v>0.24475787494123163</v>
      </c>
      <c r="H25" s="4"/>
      <c r="I25" s="4"/>
      <c r="J25" s="4">
        <v>0.22588093564903122</v>
      </c>
      <c r="K25" s="4">
        <v>0.2962090163934426</v>
      </c>
      <c r="L25" s="4">
        <v>0.22639944713199719</v>
      </c>
      <c r="M25" s="4">
        <v>0.28031337597929995</v>
      </c>
      <c r="N25" s="4">
        <v>0.25077947845804976</v>
      </c>
      <c r="O25" s="4">
        <v>0.28218475642918184</v>
      </c>
      <c r="P25" s="4">
        <v>0.2588806099462832</v>
      </c>
      <c r="Q25" s="4"/>
      <c r="R25" s="42">
        <v>2</v>
      </c>
      <c r="S25" s="1">
        <v>41397</v>
      </c>
      <c r="T25">
        <f t="shared" si="0"/>
        <v>0.37999571663580634</v>
      </c>
      <c r="U25">
        <f t="shared" si="1"/>
        <v>0.38381933163646087</v>
      </c>
      <c r="V25">
        <f t="shared" si="2"/>
        <v>0.33436313292091263</v>
      </c>
      <c r="W25" t="str">
        <f t="shared" si="3"/>
        <v/>
      </c>
      <c r="X25" t="str">
        <f t="shared" si="4"/>
        <v/>
      </c>
      <c r="Y25">
        <f t="shared" si="5"/>
        <v>0.33641491301673088</v>
      </c>
      <c r="Z25">
        <f t="shared" si="6"/>
        <v>0.3307852421240946</v>
      </c>
      <c r="AA25">
        <f t="shared" si="7"/>
        <v>0.31981861841291376</v>
      </c>
      <c r="AB25">
        <f t="shared" si="8"/>
        <v>0.40612693436856029</v>
      </c>
      <c r="AC25">
        <f t="shared" si="9"/>
        <v>0.41044111047454968</v>
      </c>
      <c r="AD25">
        <f t="shared" si="10"/>
        <v>0.40993305575162242</v>
      </c>
      <c r="AE25">
        <f t="shared" si="11"/>
        <v>0.31344775518600776</v>
      </c>
      <c r="AF25" s="8"/>
      <c r="AG25" s="42">
        <v>2</v>
      </c>
      <c r="AH25" s="1">
        <v>41397</v>
      </c>
      <c r="AI25">
        <f t="shared" si="19"/>
        <v>0.34393843947349917</v>
      </c>
      <c r="AJ25">
        <f t="shared" si="20"/>
        <v>0.33264252583788173</v>
      </c>
      <c r="AK25">
        <f t="shared" si="21"/>
        <v>0.31359214377155947</v>
      </c>
      <c r="AL25" t="str">
        <f t="shared" si="22"/>
        <v/>
      </c>
      <c r="AM25" t="str">
        <f t="shared" si="23"/>
        <v/>
      </c>
      <c r="AN25">
        <f t="shared" si="24"/>
        <v>0.29736614248560234</v>
      </c>
      <c r="AO25">
        <f t="shared" si="25"/>
        <v>0.36277292644610493</v>
      </c>
      <c r="AP25">
        <f t="shared" si="26"/>
        <v>0.28389427958408425</v>
      </c>
      <c r="AQ25">
        <f t="shared" si="27"/>
        <v>0.34773557189356236</v>
      </c>
      <c r="AR25">
        <f t="shared" si="28"/>
        <v>0.30862198105776267</v>
      </c>
      <c r="AS25">
        <f t="shared" si="29"/>
        <v>0.34981275687131119</v>
      </c>
      <c r="AT25">
        <f t="shared" si="30"/>
        <v>0.32182486810073041</v>
      </c>
    </row>
    <row r="26" spans="3:46">
      <c r="C26" s="42">
        <v>2</v>
      </c>
      <c r="D26" s="1">
        <v>41425</v>
      </c>
      <c r="E26" s="4">
        <v>0.21891240968437081</v>
      </c>
      <c r="F26" s="4">
        <v>0.20515896820635904</v>
      </c>
      <c r="G26" s="4">
        <v>0.27692681740821784</v>
      </c>
      <c r="H26" s="4">
        <v>0.21130221130221094</v>
      </c>
      <c r="I26" s="4">
        <v>0.19888719179576719</v>
      </c>
      <c r="J26" s="4">
        <v>0.19920135155890034</v>
      </c>
      <c r="K26" s="4">
        <v>0.2825076158409493</v>
      </c>
      <c r="L26" s="4">
        <v>0.19137749737118806</v>
      </c>
      <c r="M26" s="4">
        <v>0.23787705231004194</v>
      </c>
      <c r="N26" s="4">
        <v>0.26313030716007962</v>
      </c>
      <c r="O26" s="4">
        <v>0.31170158405723053</v>
      </c>
      <c r="P26" s="4">
        <v>0.23397773872290564</v>
      </c>
      <c r="Q26" s="4"/>
      <c r="R26" s="42">
        <v>2</v>
      </c>
      <c r="S26" s="1">
        <v>41425</v>
      </c>
      <c r="T26">
        <f t="shared" si="0"/>
        <v>0.31339758222684577</v>
      </c>
      <c r="U26">
        <f t="shared" si="1"/>
        <v>0.31669709207298496</v>
      </c>
      <c r="V26">
        <f t="shared" si="2"/>
        <v>0.37830904636127377</v>
      </c>
      <c r="W26">
        <f t="shared" si="3"/>
        <v>0.31287356060457255</v>
      </c>
      <c r="X26">
        <f t="shared" si="4"/>
        <v>0.31508647988560862</v>
      </c>
      <c r="Y26">
        <f t="shared" si="5"/>
        <v>0.296679775851593</v>
      </c>
      <c r="Z26">
        <f t="shared" si="6"/>
        <v>0.31548448877641211</v>
      </c>
      <c r="AA26">
        <f t="shared" si="7"/>
        <v>0.27034556656355058</v>
      </c>
      <c r="AB26">
        <f t="shared" si="8"/>
        <v>0.34464383896700357</v>
      </c>
      <c r="AC26">
        <f t="shared" si="9"/>
        <v>0.43065523596404842</v>
      </c>
      <c r="AD26">
        <f t="shared" si="10"/>
        <v>0.45281249225547399</v>
      </c>
      <c r="AE26">
        <f t="shared" si="11"/>
        <v>0.28329582884330645</v>
      </c>
      <c r="AF26" s="8"/>
      <c r="AG26" s="42">
        <v>2</v>
      </c>
      <c r="AH26" s="1">
        <v>41425</v>
      </c>
      <c r="AI26">
        <f t="shared" si="19"/>
        <v>0.2836597115361067</v>
      </c>
      <c r="AJ26">
        <f t="shared" si="20"/>
        <v>0.27447007471851503</v>
      </c>
      <c r="AK26">
        <f t="shared" si="21"/>
        <v>0.35480809089280474</v>
      </c>
      <c r="AL26">
        <f t="shared" si="22"/>
        <v>0.21875712235017949</v>
      </c>
      <c r="AM26">
        <f t="shared" si="23"/>
        <v>0.26572772545575363</v>
      </c>
      <c r="AN26">
        <f t="shared" si="24"/>
        <v>0.26224319162121629</v>
      </c>
      <c r="AO26">
        <f t="shared" si="25"/>
        <v>0.34599255549265578</v>
      </c>
      <c r="AP26">
        <f t="shared" si="26"/>
        <v>0.23997839850342895</v>
      </c>
      <c r="AQ26">
        <f t="shared" si="27"/>
        <v>0.29509227854861875</v>
      </c>
      <c r="AR26">
        <f t="shared" si="28"/>
        <v>0.32382153903261168</v>
      </c>
      <c r="AS26">
        <f t="shared" si="29"/>
        <v>0.38640354574779784</v>
      </c>
      <c r="AT26">
        <f t="shared" si="30"/>
        <v>0.29086711020431666</v>
      </c>
    </row>
    <row r="27" spans="3:46">
      <c r="C27" s="42">
        <v>2</v>
      </c>
      <c r="D27" s="1">
        <v>41528</v>
      </c>
      <c r="E27" s="4">
        <v>0.1089177489177493</v>
      </c>
      <c r="F27" s="4">
        <v>0.13749242883101148</v>
      </c>
      <c r="G27" s="4">
        <v>0.15291959157626014</v>
      </c>
      <c r="H27" s="4">
        <v>0.12943078166493485</v>
      </c>
      <c r="I27" s="4">
        <v>0.15149596327370574</v>
      </c>
      <c r="J27" s="4">
        <v>0.12665847665847668</v>
      </c>
      <c r="K27" s="4">
        <v>0.14356624665903017</v>
      </c>
      <c r="L27" s="4"/>
      <c r="M27" s="4">
        <v>0.163872169676125</v>
      </c>
      <c r="N27" s="4">
        <v>0.17238017037873363</v>
      </c>
      <c r="O27" s="4">
        <v>0.15574131104267494</v>
      </c>
      <c r="P27" s="4">
        <v>0.15356732384404539</v>
      </c>
      <c r="Q27" s="4"/>
      <c r="R27" s="42">
        <v>2</v>
      </c>
      <c r="S27" s="1">
        <v>41528</v>
      </c>
      <c r="T27">
        <f t="shared" si="0"/>
        <v>0.15592793127456175</v>
      </c>
      <c r="U27">
        <f t="shared" si="1"/>
        <v>0.21224250040600232</v>
      </c>
      <c r="V27">
        <f t="shared" si="2"/>
        <v>0.20890307916221953</v>
      </c>
      <c r="W27">
        <f t="shared" si="3"/>
        <v>0.19164716385018482</v>
      </c>
      <c r="X27">
        <f t="shared" si="4"/>
        <v>0.24000705804026182</v>
      </c>
      <c r="Y27">
        <f t="shared" si="5"/>
        <v>0.18863832082801016</v>
      </c>
      <c r="Z27">
        <f t="shared" si="6"/>
        <v>0.16032461212752636</v>
      </c>
      <c r="AA27" t="str">
        <f t="shared" si="7"/>
        <v/>
      </c>
      <c r="AB27">
        <f t="shared" si="8"/>
        <v>0.237423211312627</v>
      </c>
      <c r="AC27">
        <f t="shared" si="9"/>
        <v>0.28212798347403389</v>
      </c>
      <c r="AD27">
        <f t="shared" si="10"/>
        <v>0.22624720183462516</v>
      </c>
      <c r="AE27">
        <f t="shared" si="11"/>
        <v>0.18593641655443652</v>
      </c>
      <c r="AF27" s="8"/>
      <c r="AG27" s="42">
        <v>2</v>
      </c>
      <c r="AH27" s="1">
        <v>41528</v>
      </c>
      <c r="AI27">
        <f t="shared" si="19"/>
        <v>0.14113214177175376</v>
      </c>
      <c r="AJ27">
        <f t="shared" si="20"/>
        <v>0.18394300548694284</v>
      </c>
      <c r="AK27">
        <f t="shared" si="21"/>
        <v>0.19592580037959947</v>
      </c>
      <c r="AL27">
        <f t="shared" si="22"/>
        <v>0.13399720318146646</v>
      </c>
      <c r="AM27">
        <f t="shared" si="23"/>
        <v>0.20240960402210761</v>
      </c>
      <c r="AN27">
        <f t="shared" si="24"/>
        <v>0.16674245884812217</v>
      </c>
      <c r="AO27">
        <f t="shared" si="25"/>
        <v>0.17582836631212245</v>
      </c>
      <c r="AP27" t="str">
        <f t="shared" si="26"/>
        <v/>
      </c>
      <c r="AQ27">
        <f t="shared" si="27"/>
        <v>0.20328741873514547</v>
      </c>
      <c r="AR27">
        <f t="shared" si="28"/>
        <v>0.21213980507682867</v>
      </c>
      <c r="AS27">
        <f t="shared" si="29"/>
        <v>0.19306605382939276</v>
      </c>
      <c r="AT27">
        <f t="shared" si="30"/>
        <v>0.19090569877344965</v>
      </c>
    </row>
    <row r="28" spans="3:46">
      <c r="C28" s="42">
        <v>2</v>
      </c>
      <c r="D28" s="1">
        <v>41740</v>
      </c>
      <c r="E28" s="4">
        <v>0.28339160839160826</v>
      </c>
      <c r="F28" s="4">
        <v>0.23045822102425889</v>
      </c>
      <c r="G28" s="4">
        <v>0.25893380199179827</v>
      </c>
      <c r="H28" s="4">
        <v>0.26158694846125324</v>
      </c>
      <c r="I28" s="4">
        <v>0.27191811303960833</v>
      </c>
      <c r="J28" s="4">
        <v>0.24173341548572594</v>
      </c>
      <c r="K28" s="4">
        <v>0.30377598642341946</v>
      </c>
      <c r="L28" s="4">
        <v>0.21011029411764723</v>
      </c>
      <c r="M28" s="4">
        <v>0.23804591748662163</v>
      </c>
      <c r="N28" s="4">
        <v>0.26842189757585483</v>
      </c>
      <c r="O28" s="4">
        <v>0.32338200043582488</v>
      </c>
      <c r="P28" s="4">
        <v>0.24801362088535753</v>
      </c>
      <c r="Q28" s="4"/>
      <c r="R28" s="42">
        <v>2</v>
      </c>
      <c r="S28" s="1">
        <v>41740</v>
      </c>
      <c r="T28">
        <f t="shared" si="0"/>
        <v>0.4057067619938039</v>
      </c>
      <c r="U28">
        <f t="shared" si="1"/>
        <v>0.35575070922214652</v>
      </c>
      <c r="V28">
        <f t="shared" si="2"/>
        <v>0.35372883211168987</v>
      </c>
      <c r="W28">
        <f t="shared" si="3"/>
        <v>0.38732978452223493</v>
      </c>
      <c r="X28">
        <f t="shared" si="4"/>
        <v>0.4307855135426103</v>
      </c>
      <c r="Y28">
        <f t="shared" si="5"/>
        <v>0.36002474361194076</v>
      </c>
      <c r="Z28">
        <f t="shared" si="6"/>
        <v>0.3392354981088313</v>
      </c>
      <c r="AA28">
        <f t="shared" si="7"/>
        <v>0.29680807453500124</v>
      </c>
      <c r="AB28">
        <f t="shared" si="8"/>
        <v>0.34488849620551859</v>
      </c>
      <c r="AC28">
        <f t="shared" si="9"/>
        <v>0.43931577812555778</v>
      </c>
      <c r="AD28">
        <f t="shared" si="10"/>
        <v>0.46978076807277575</v>
      </c>
      <c r="AE28">
        <f t="shared" si="11"/>
        <v>0.30029020998598355</v>
      </c>
      <c r="AF28" s="8"/>
      <c r="AG28" s="42">
        <v>2</v>
      </c>
      <c r="AH28" s="1">
        <v>41740</v>
      </c>
      <c r="AI28">
        <f t="shared" si="19"/>
        <v>0.36720979867710124</v>
      </c>
      <c r="AJ28">
        <f t="shared" si="20"/>
        <v>0.30831645185698392</v>
      </c>
      <c r="AK28">
        <f t="shared" si="21"/>
        <v>0.33175482538008311</v>
      </c>
      <c r="AL28">
        <f t="shared" si="22"/>
        <v>0.27081594526194963</v>
      </c>
      <c r="AM28">
        <f t="shared" si="23"/>
        <v>0.36330233755039326</v>
      </c>
      <c r="AN28">
        <f t="shared" si="24"/>
        <v>0.31823550343598017</v>
      </c>
      <c r="AO28">
        <f t="shared" si="25"/>
        <v>0.37204034138008685</v>
      </c>
      <c r="AP28">
        <f t="shared" si="26"/>
        <v>0.26346844631185173</v>
      </c>
      <c r="AQ28">
        <f t="shared" si="27"/>
        <v>0.29530175991405738</v>
      </c>
      <c r="AR28">
        <f t="shared" si="28"/>
        <v>0.33033363933325888</v>
      </c>
      <c r="AS28">
        <f t="shared" si="29"/>
        <v>0.40088327422961023</v>
      </c>
      <c r="AT28">
        <f t="shared" si="30"/>
        <v>0.30831567820076006</v>
      </c>
    </row>
    <row r="29" spans="3:46">
      <c r="C29" s="43">
        <v>2</v>
      </c>
      <c r="D29" s="1">
        <v>41806</v>
      </c>
      <c r="E29" s="4">
        <v>0.23060910247082347</v>
      </c>
      <c r="F29" s="4">
        <v>0.20121506835544828</v>
      </c>
      <c r="G29" s="4">
        <v>0.21712076670494251</v>
      </c>
      <c r="H29" s="4">
        <v>0.20028937421393705</v>
      </c>
      <c r="I29" s="4">
        <v>0.23436998797890446</v>
      </c>
      <c r="J29" s="4">
        <v>0.22065742384262627</v>
      </c>
      <c r="K29" s="4">
        <v>0.2540287371821256</v>
      </c>
      <c r="L29" s="4">
        <v>0.21400507799657736</v>
      </c>
      <c r="M29" s="4">
        <v>0.20800422098865937</v>
      </c>
      <c r="N29" s="4">
        <v>0.23650888933515113</v>
      </c>
      <c r="O29" s="4">
        <v>0.29857931861222842</v>
      </c>
      <c r="P29" s="4">
        <v>0.18783429731760176</v>
      </c>
      <c r="Q29" s="4"/>
      <c r="R29" s="43">
        <v>2</v>
      </c>
      <c r="S29" s="1">
        <v>41806</v>
      </c>
      <c r="T29">
        <f t="shared" si="0"/>
        <v>0.33014270528592543</v>
      </c>
      <c r="U29">
        <f t="shared" si="1"/>
        <v>0.31060902473120444</v>
      </c>
      <c r="V29">
        <f t="shared" si="2"/>
        <v>0.29660814711308608</v>
      </c>
      <c r="W29">
        <f t="shared" si="3"/>
        <v>0.29656693735187833</v>
      </c>
      <c r="X29">
        <f t="shared" si="4"/>
        <v>0.37130000095198212</v>
      </c>
      <c r="Y29">
        <f t="shared" si="5"/>
        <v>0.32863529556055032</v>
      </c>
      <c r="Z29">
        <f t="shared" si="6"/>
        <v>0.28368129491255967</v>
      </c>
      <c r="AA29">
        <f t="shared" si="7"/>
        <v>0.3023099625252581</v>
      </c>
      <c r="AB29">
        <f t="shared" si="8"/>
        <v>0.30136313085567135</v>
      </c>
      <c r="AC29">
        <f t="shared" si="9"/>
        <v>0.3870849870678717</v>
      </c>
      <c r="AD29">
        <f t="shared" si="10"/>
        <v>0.43374962564168634</v>
      </c>
      <c r="AE29">
        <f t="shared" si="11"/>
        <v>0.227426221119303</v>
      </c>
      <c r="AF29" s="8"/>
      <c r="AG29" s="43">
        <v>2</v>
      </c>
      <c r="AH29" s="1">
        <v>41806</v>
      </c>
      <c r="AI29">
        <f t="shared" si="19"/>
        <v>0.29881591262363461</v>
      </c>
      <c r="AJ29">
        <f t="shared" si="20"/>
        <v>0.26919376388391869</v>
      </c>
      <c r="AK29">
        <f t="shared" si="21"/>
        <v>0.27818253735319398</v>
      </c>
      <c r="AL29">
        <f t="shared" si="22"/>
        <v>0.20735574355960684</v>
      </c>
      <c r="AM29">
        <f t="shared" si="23"/>
        <v>0.31313531685177143</v>
      </c>
      <c r="AN29">
        <f t="shared" si="24"/>
        <v>0.29048953047035853</v>
      </c>
      <c r="AO29">
        <f t="shared" si="25"/>
        <v>0.31111392053833603</v>
      </c>
      <c r="AP29">
        <f t="shared" si="26"/>
        <v>0.26835232247608953</v>
      </c>
      <c r="AQ29">
        <f t="shared" si="27"/>
        <v>0.25803430353287071</v>
      </c>
      <c r="AR29">
        <f t="shared" si="28"/>
        <v>0.29105986826827035</v>
      </c>
      <c r="AS29">
        <f t="shared" si="29"/>
        <v>0.37013641668738972</v>
      </c>
      <c r="AT29">
        <f t="shared" si="30"/>
        <v>0.23350434770519765</v>
      </c>
    </row>
    <row r="30" spans="3:46">
      <c r="C30" s="42">
        <v>3</v>
      </c>
      <c r="D30" s="1">
        <v>40830</v>
      </c>
      <c r="E30" s="4">
        <v>0.243373759108025</v>
      </c>
      <c r="F30" s="4">
        <v>0.143981058756078</v>
      </c>
      <c r="G30" s="4">
        <v>0.14066004000242399</v>
      </c>
      <c r="H30" s="4">
        <v>0.120380574535302</v>
      </c>
      <c r="I30" s="4">
        <v>0.15985755544962602</v>
      </c>
      <c r="J30" s="4">
        <v>0.13257980013582998</v>
      </c>
      <c r="K30" s="4">
        <v>0.18514554794520499</v>
      </c>
      <c r="L30" s="4">
        <v>0.124659930042752</v>
      </c>
      <c r="M30" s="4">
        <v>0.16696181983007602</v>
      </c>
      <c r="N30" s="4">
        <v>0.16702979152810599</v>
      </c>
      <c r="O30" s="4">
        <v>0.22635768465376502</v>
      </c>
      <c r="P30" s="4">
        <v>0.14162781527613499</v>
      </c>
      <c r="Q30" s="4"/>
      <c r="R30" s="42">
        <v>3</v>
      </c>
      <c r="S30" s="1">
        <v>40830</v>
      </c>
      <c r="T30">
        <f t="shared" si="0"/>
        <v>0.35536311654398617</v>
      </c>
      <c r="U30">
        <f t="shared" si="1"/>
        <v>0.23009628982188701</v>
      </c>
      <c r="V30">
        <f t="shared" si="2"/>
        <v>0.17343245439613045</v>
      </c>
      <c r="W30">
        <f t="shared" si="3"/>
        <v>0.18038143634085099</v>
      </c>
      <c r="X30">
        <f t="shared" si="4"/>
        <v>0.25418478186195503</v>
      </c>
      <c r="Y30">
        <f t="shared" si="5"/>
        <v>0.1977967826979426</v>
      </c>
      <c r="Z30">
        <f t="shared" si="6"/>
        <v>0.17550016008647557</v>
      </c>
      <c r="AA30">
        <f t="shared" si="7"/>
        <v>0.20053115338827071</v>
      </c>
      <c r="AB30">
        <f t="shared" si="8"/>
        <v>0.27099102668315062</v>
      </c>
      <c r="AC30">
        <f t="shared" si="9"/>
        <v>0.27811725112496066</v>
      </c>
      <c r="AD30">
        <f t="shared" si="10"/>
        <v>0.3028075963687431</v>
      </c>
      <c r="AE30">
        <f t="shared" si="11"/>
        <v>0.20986065370880846</v>
      </c>
      <c r="AF30" s="8"/>
      <c r="AG30" s="42">
        <v>3</v>
      </c>
      <c r="AH30" s="1">
        <v>40830</v>
      </c>
      <c r="AI30">
        <f t="shared" si="19"/>
        <v>0.31475510233285431</v>
      </c>
      <c r="AJ30">
        <f t="shared" si="20"/>
        <v>0.23786355561874017</v>
      </c>
      <c r="AK30">
        <f t="shared" si="21"/>
        <v>0.21367541836594492</v>
      </c>
      <c r="AL30">
        <f t="shared" si="22"/>
        <v>0.17187286207269467</v>
      </c>
      <c r="AM30" t="str">
        <f t="shared" si="23"/>
        <v/>
      </c>
      <c r="AN30">
        <f t="shared" si="24"/>
        <v>0.196113257005777</v>
      </c>
      <c r="AO30">
        <f t="shared" si="25"/>
        <v>0.18905590682397655</v>
      </c>
      <c r="AP30">
        <f t="shared" si="26"/>
        <v>0.20222621570413554</v>
      </c>
      <c r="AQ30">
        <f t="shared" si="27"/>
        <v>0.26868342211451601</v>
      </c>
      <c r="AR30">
        <f t="shared" si="28"/>
        <v>0.2736638102603855</v>
      </c>
      <c r="AS30" t="str">
        <f t="shared" si="29"/>
        <v/>
      </c>
      <c r="AT30">
        <f t="shared" si="30"/>
        <v>0.21967966049616022</v>
      </c>
    </row>
    <row r="31" spans="3:46">
      <c r="C31" s="42">
        <v>3</v>
      </c>
      <c r="D31" s="1">
        <v>41003</v>
      </c>
      <c r="E31" s="4">
        <v>0.26965699208443272</v>
      </c>
      <c r="F31" s="4">
        <v>0.20130475302889109</v>
      </c>
      <c r="G31" s="4">
        <v>0.29589778076664414</v>
      </c>
      <c r="H31" s="4">
        <v>0.21921921921921908</v>
      </c>
      <c r="I31" s="4">
        <v>0.21775745909528385</v>
      </c>
      <c r="J31" s="4">
        <v>0.22882981638805178</v>
      </c>
      <c r="K31" s="4">
        <v>0.38565948657421067</v>
      </c>
      <c r="L31" s="4">
        <v>0.21403730635472637</v>
      </c>
      <c r="M31" s="4">
        <v>0.20007222824124227</v>
      </c>
      <c r="N31" s="4">
        <v>0.2462585034013606</v>
      </c>
      <c r="O31" s="4">
        <v>0.40196956132497785</v>
      </c>
      <c r="P31" s="4">
        <v>0.22836538461538444</v>
      </c>
      <c r="Q31" s="4"/>
      <c r="R31" s="42">
        <v>3</v>
      </c>
      <c r="S31" s="1">
        <v>41003</v>
      </c>
      <c r="T31">
        <f t="shared" si="0"/>
        <v>0.39374067876589436</v>
      </c>
      <c r="U31">
        <f t="shared" si="1"/>
        <v>0.32170534927049066</v>
      </c>
      <c r="V31">
        <f t="shared" si="2"/>
        <v>0.36483907133712495</v>
      </c>
      <c r="W31">
        <f t="shared" si="3"/>
        <v>0.32848387531732942</v>
      </c>
      <c r="X31">
        <f t="shared" si="4"/>
        <v>0.34624971014516925</v>
      </c>
      <c r="Y31">
        <f t="shared" si="5"/>
        <v>0.34139289258654931</v>
      </c>
      <c r="Z31">
        <f t="shared" si="6"/>
        <v>0.36556807540775033</v>
      </c>
      <c r="AA31">
        <f t="shared" si="7"/>
        <v>0.34430588800035555</v>
      </c>
      <c r="AB31">
        <f t="shared" si="8"/>
        <v>0.32473159790100253</v>
      </c>
      <c r="AC31">
        <f t="shared" si="9"/>
        <v>0.41003905594056034</v>
      </c>
      <c r="AD31">
        <f t="shared" si="10"/>
        <v>0.53773052531614174</v>
      </c>
      <c r="AE31">
        <f t="shared" si="11"/>
        <v>0.3383862753683502</v>
      </c>
      <c r="AF31" s="8"/>
      <c r="AG31" s="42">
        <v>3</v>
      </c>
      <c r="AH31" s="1">
        <v>41003</v>
      </c>
      <c r="AI31">
        <f t="shared" si="19"/>
        <v>0.348747188067354</v>
      </c>
      <c r="AJ31">
        <f t="shared" si="20"/>
        <v>0.33256502440035751</v>
      </c>
      <c r="AK31">
        <f t="shared" si="21"/>
        <v>0.44949569257749222</v>
      </c>
      <c r="AL31">
        <f t="shared" si="22"/>
        <v>0.31298932385058115</v>
      </c>
      <c r="AM31" t="str">
        <f t="shared" si="23"/>
        <v/>
      </c>
      <c r="AN31">
        <f t="shared" si="24"/>
        <v>0.33848716430344633</v>
      </c>
      <c r="AO31">
        <f t="shared" si="25"/>
        <v>0.39380479179080852</v>
      </c>
      <c r="AP31">
        <f t="shared" si="26"/>
        <v>0.34721625841422216</v>
      </c>
      <c r="AQ31">
        <f t="shared" si="27"/>
        <v>0.32196636936901679</v>
      </c>
      <c r="AR31">
        <f t="shared" si="28"/>
        <v>0.40347317525386739</v>
      </c>
      <c r="AS31" t="str">
        <f t="shared" si="29"/>
        <v/>
      </c>
      <c r="AT31">
        <f t="shared" si="30"/>
        <v>0.35421876743329345</v>
      </c>
    </row>
    <row r="32" spans="3:46">
      <c r="C32" s="42">
        <v>3</v>
      </c>
      <c r="D32" s="1">
        <v>41263</v>
      </c>
      <c r="E32" s="4">
        <v>0.26793812825381658</v>
      </c>
      <c r="F32" s="4"/>
      <c r="G32" s="4"/>
      <c r="H32" s="4"/>
      <c r="I32" s="4"/>
      <c r="J32" s="4">
        <v>0.21456824529779517</v>
      </c>
      <c r="K32" s="4">
        <v>0.19237515375153785</v>
      </c>
      <c r="L32" s="4">
        <v>0.30272596843615485</v>
      </c>
      <c r="M32" s="4"/>
      <c r="N32" s="4">
        <v>0.218865391070829</v>
      </c>
      <c r="O32" s="4">
        <v>0.26590107394043216</v>
      </c>
      <c r="P32" s="4">
        <v>0.22205197813840521</v>
      </c>
      <c r="Q32" s="4"/>
      <c r="R32" s="42">
        <v>3</v>
      </c>
      <c r="S32" s="1">
        <v>41263</v>
      </c>
      <c r="T32">
        <f t="shared" si="0"/>
        <v>0.39123087323056804</v>
      </c>
      <c r="U32" t="str">
        <f t="shared" si="1"/>
        <v/>
      </c>
      <c r="V32" t="str">
        <f t="shared" si="2"/>
        <v/>
      </c>
      <c r="W32" t="str">
        <f t="shared" si="3"/>
        <v/>
      </c>
      <c r="X32" t="str">
        <f t="shared" si="4"/>
        <v/>
      </c>
      <c r="Y32">
        <f t="shared" si="5"/>
        <v>0.32011594937966031</v>
      </c>
      <c r="Z32">
        <f t="shared" si="6"/>
        <v>0.18235313057620639</v>
      </c>
      <c r="AA32">
        <f t="shared" si="7"/>
        <v>0.48697273927768375</v>
      </c>
      <c r="AB32" t="str">
        <f t="shared" si="8"/>
        <v/>
      </c>
      <c r="AC32">
        <f t="shared" si="9"/>
        <v>0.36442744958324325</v>
      </c>
      <c r="AD32">
        <f t="shared" si="10"/>
        <v>0.35570634677116297</v>
      </c>
      <c r="AE32">
        <f t="shared" si="11"/>
        <v>0.32903122312945893</v>
      </c>
      <c r="AF32" s="8"/>
      <c r="AG32" s="42">
        <v>3</v>
      </c>
      <c r="AH32" s="1">
        <v>41263</v>
      </c>
      <c r="AI32">
        <f t="shared" si="19"/>
        <v>0.34652418274876629</v>
      </c>
      <c r="AJ32" t="str">
        <f t="shared" si="20"/>
        <v/>
      </c>
      <c r="AK32" t="str">
        <f t="shared" si="21"/>
        <v/>
      </c>
      <c r="AL32" t="str">
        <f t="shared" si="22"/>
        <v/>
      </c>
      <c r="AM32" t="str">
        <f t="shared" si="23"/>
        <v/>
      </c>
      <c r="AN32">
        <f t="shared" si="24"/>
        <v>0.31739131747260024</v>
      </c>
      <c r="AO32">
        <f t="shared" si="25"/>
        <v>0.1964382052203747</v>
      </c>
      <c r="AP32">
        <f t="shared" si="26"/>
        <v>0.49108905300378508</v>
      </c>
      <c r="AQ32" t="str">
        <f t="shared" si="27"/>
        <v/>
      </c>
      <c r="AR32">
        <f t="shared" si="28"/>
        <v>0.3585919392379403</v>
      </c>
      <c r="AS32" t="str">
        <f t="shared" si="29"/>
        <v/>
      </c>
      <c r="AT32">
        <f t="shared" si="30"/>
        <v>0.34442600893643371</v>
      </c>
    </row>
    <row r="33" spans="3:46">
      <c r="C33" s="42">
        <v>3</v>
      </c>
      <c r="D33" s="1">
        <v>41266</v>
      </c>
      <c r="E33" s="4">
        <v>0.27052492876663115</v>
      </c>
      <c r="F33" s="4">
        <v>0.20130475302889109</v>
      </c>
      <c r="G33" s="4">
        <v>0.22461439588688925</v>
      </c>
      <c r="H33" s="4">
        <v>0.21620111731843583</v>
      </c>
      <c r="I33" s="4">
        <v>0.21380417335473528</v>
      </c>
      <c r="J33" s="4">
        <v>0.22374429223744313</v>
      </c>
      <c r="K33" s="4">
        <v>0.23422330097087374</v>
      </c>
      <c r="L33" s="4">
        <v>0.20435881238155423</v>
      </c>
      <c r="M33" s="4">
        <v>0.22455434157561824</v>
      </c>
      <c r="N33" s="4">
        <v>0.22992227979274618</v>
      </c>
      <c r="O33" s="4">
        <v>0.26077382824787665</v>
      </c>
      <c r="P33" s="4">
        <v>0.2264150943396227</v>
      </c>
      <c r="Q33" s="4"/>
      <c r="R33" s="42">
        <v>3</v>
      </c>
      <c r="S33" s="1">
        <v>41266</v>
      </c>
      <c r="T33">
        <f t="shared" si="0"/>
        <v>0.39500799980115836</v>
      </c>
      <c r="U33">
        <f t="shared" si="1"/>
        <v>0.32170534927049066</v>
      </c>
      <c r="V33">
        <f t="shared" si="2"/>
        <v>0.27694735456278835</v>
      </c>
      <c r="W33">
        <f t="shared" si="3"/>
        <v>0.32396147161567002</v>
      </c>
      <c r="X33">
        <f t="shared" si="4"/>
        <v>0.33996370714222723</v>
      </c>
      <c r="Y33">
        <f t="shared" si="5"/>
        <v>0.33380576155834957</v>
      </c>
      <c r="Z33">
        <f t="shared" si="6"/>
        <v>0.22202114645790316</v>
      </c>
      <c r="AA33">
        <f t="shared" si="7"/>
        <v>0.32873681493224111</v>
      </c>
      <c r="AB33">
        <f t="shared" si="8"/>
        <v>0.36446782642682918</v>
      </c>
      <c r="AC33">
        <f t="shared" si="9"/>
        <v>0.38283800658149431</v>
      </c>
      <c r="AD33">
        <f t="shared" si="10"/>
        <v>0.3488474281242015</v>
      </c>
      <c r="AE33">
        <f t="shared" si="11"/>
        <v>0.33549638264921666</v>
      </c>
      <c r="AF33" s="8"/>
      <c r="AG33" s="42">
        <v>3</v>
      </c>
      <c r="AH33" s="1">
        <v>41266</v>
      </c>
      <c r="AI33">
        <f t="shared" si="19"/>
        <v>0.34986968993536577</v>
      </c>
      <c r="AJ33">
        <f t="shared" si="20"/>
        <v>0.33256502440035751</v>
      </c>
      <c r="AK33">
        <f t="shared" si="21"/>
        <v>0.341209735268936</v>
      </c>
      <c r="AL33">
        <f t="shared" si="22"/>
        <v>0.30868024147813788</v>
      </c>
      <c r="AM33" t="str">
        <f t="shared" si="23"/>
        <v/>
      </c>
      <c r="AN33">
        <f t="shared" si="24"/>
        <v>0.33096461031154401</v>
      </c>
      <c r="AO33">
        <f t="shared" si="25"/>
        <v>0.23917020450018628</v>
      </c>
      <c r="AP33">
        <f t="shared" si="26"/>
        <v>0.33151558210838233</v>
      </c>
      <c r="AQ33">
        <f t="shared" si="27"/>
        <v>0.36136422690297398</v>
      </c>
      <c r="AR33">
        <f t="shared" si="28"/>
        <v>0.37670769134169463</v>
      </c>
      <c r="AS33" t="str">
        <f t="shared" si="29"/>
        <v/>
      </c>
      <c r="AT33">
        <f t="shared" si="30"/>
        <v>0.35119366177298961</v>
      </c>
    </row>
    <row r="34" spans="3:46">
      <c r="C34" s="42">
        <v>3</v>
      </c>
      <c r="D34" s="1">
        <v>41348</v>
      </c>
      <c r="E34" s="4">
        <v>0.26200359283611641</v>
      </c>
      <c r="F34" s="4">
        <v>0.22025862068965515</v>
      </c>
      <c r="G34" s="4">
        <v>0.28072131445956883</v>
      </c>
      <c r="H34" s="4">
        <v>0.22592396049031307</v>
      </c>
      <c r="I34" s="4"/>
      <c r="J34" s="4">
        <v>0.23882640626719756</v>
      </c>
      <c r="K34" s="4">
        <v>0.29399104799126791</v>
      </c>
      <c r="L34" s="4"/>
      <c r="M34" s="4"/>
      <c r="N34" s="4">
        <v>0.25960858288139604</v>
      </c>
      <c r="O34" s="4">
        <v>0.36498468672466228</v>
      </c>
      <c r="P34" s="4">
        <v>0.21954807583278937</v>
      </c>
      <c r="Q34" s="4"/>
      <c r="R34" s="42">
        <v>3</v>
      </c>
      <c r="S34" s="1">
        <v>41348</v>
      </c>
      <c r="T34">
        <f t="shared" si="0"/>
        <v>0.38256553885350186</v>
      </c>
      <c r="U34">
        <f t="shared" si="1"/>
        <v>0.35199554621858581</v>
      </c>
      <c r="V34">
        <f t="shared" si="2"/>
        <v>0.34612663672775834</v>
      </c>
      <c r="W34">
        <f t="shared" si="3"/>
        <v>0.33853043694442198</v>
      </c>
      <c r="X34" t="str">
        <f t="shared" si="4"/>
        <v/>
      </c>
      <c r="Y34">
        <f t="shared" si="5"/>
        <v>0.35630687883498297</v>
      </c>
      <c r="Z34">
        <f t="shared" si="6"/>
        <v>0.27867521827599251</v>
      </c>
      <c r="AA34" t="str">
        <f t="shared" si="7"/>
        <v/>
      </c>
      <c r="AB34" t="str">
        <f t="shared" si="8"/>
        <v/>
      </c>
      <c r="AC34">
        <f t="shared" si="9"/>
        <v>0.43226794920157147</v>
      </c>
      <c r="AD34">
        <f t="shared" si="10"/>
        <v>0.4882544008503375</v>
      </c>
      <c r="AE34">
        <f t="shared" si="11"/>
        <v>0.32532100156277721</v>
      </c>
      <c r="AF34" s="8"/>
      <c r="AG34" s="42">
        <v>3</v>
      </c>
      <c r="AH34" s="1">
        <v>41348</v>
      </c>
      <c r="AI34">
        <f t="shared" si="19"/>
        <v>0.33884905249009667</v>
      </c>
      <c r="AJ34">
        <f t="shared" si="20"/>
        <v>0.36387771506583072</v>
      </c>
      <c r="AK34">
        <f t="shared" si="21"/>
        <v>0.42644125730628729</v>
      </c>
      <c r="AL34">
        <f t="shared" si="22"/>
        <v>0.32256199017293624</v>
      </c>
      <c r="AM34" t="str">
        <f t="shared" si="23"/>
        <v/>
      </c>
      <c r="AN34">
        <f t="shared" si="24"/>
        <v>0.35327421178837043</v>
      </c>
      <c r="AO34">
        <f t="shared" si="25"/>
        <v>0.30020027374663005</v>
      </c>
      <c r="AP34" t="str">
        <f t="shared" si="26"/>
        <v/>
      </c>
      <c r="AQ34" t="str">
        <f t="shared" si="27"/>
        <v/>
      </c>
      <c r="AR34">
        <f t="shared" si="28"/>
        <v>0.42534612129757193</v>
      </c>
      <c r="AS34" t="str">
        <f t="shared" si="29"/>
        <v/>
      </c>
      <c r="AT34">
        <f t="shared" si="30"/>
        <v>0.3405421927006132</v>
      </c>
    </row>
    <row r="35" spans="3:46">
      <c r="C35" s="42">
        <v>3</v>
      </c>
      <c r="D35" s="1">
        <v>41361</v>
      </c>
      <c r="E35" s="4"/>
      <c r="F35" s="4"/>
      <c r="G35" s="4">
        <v>0.2728410513141426</v>
      </c>
      <c r="H35" s="4"/>
      <c r="I35" s="4">
        <v>0.24268617021276587</v>
      </c>
      <c r="J35" s="4">
        <v>0.21691302853214173</v>
      </c>
      <c r="K35" s="4">
        <v>0.29556650246305416</v>
      </c>
      <c r="L35" s="4"/>
      <c r="M35" s="4">
        <v>0.22583826429980267</v>
      </c>
      <c r="N35" s="4">
        <v>0.26411657559198565</v>
      </c>
      <c r="O35" s="4">
        <v>0.32292490118577083</v>
      </c>
      <c r="P35" s="4">
        <v>0.23052520267888638</v>
      </c>
      <c r="Q35" s="4"/>
      <c r="R35" s="42">
        <v>3</v>
      </c>
      <c r="S35" s="1">
        <v>41361</v>
      </c>
      <c r="T35" t="str">
        <f t="shared" si="0"/>
        <v/>
      </c>
      <c r="U35" t="str">
        <f t="shared" si="1"/>
        <v/>
      </c>
      <c r="V35">
        <f t="shared" si="2"/>
        <v>0.33641034929761765</v>
      </c>
      <c r="W35" t="str">
        <f t="shared" si="3"/>
        <v/>
      </c>
      <c r="X35">
        <f t="shared" si="4"/>
        <v>0.38588811809951584</v>
      </c>
      <c r="Y35">
        <f t="shared" si="5"/>
        <v>0.32361414879919981</v>
      </c>
      <c r="Z35">
        <f t="shared" si="6"/>
        <v>0.28016859748535528</v>
      </c>
      <c r="AA35" t="str">
        <f t="shared" si="7"/>
        <v/>
      </c>
      <c r="AB35">
        <f t="shared" si="8"/>
        <v>0.36655172523412938</v>
      </c>
      <c r="AC35">
        <f t="shared" si="9"/>
        <v>0.43977409842974413</v>
      </c>
      <c r="AD35">
        <f t="shared" si="10"/>
        <v>0.43198936800067983</v>
      </c>
      <c r="AE35">
        <f t="shared" si="11"/>
        <v>0.34158664126974381</v>
      </c>
      <c r="AF35" s="8"/>
      <c r="AG35" s="42">
        <v>3</v>
      </c>
      <c r="AH35" s="1">
        <v>41361</v>
      </c>
      <c r="AI35" t="str">
        <f t="shared" si="19"/>
        <v/>
      </c>
      <c r="AJ35" t="str">
        <f t="shared" si="20"/>
        <v/>
      </c>
      <c r="AK35">
        <f t="shared" si="21"/>
        <v>0.41447041950186414</v>
      </c>
      <c r="AL35" t="str">
        <f t="shared" si="22"/>
        <v/>
      </c>
      <c r="AM35" t="str">
        <f t="shared" si="23"/>
        <v/>
      </c>
      <c r="AN35">
        <f t="shared" si="24"/>
        <v>0.32085974235021453</v>
      </c>
      <c r="AO35">
        <f t="shared" si="25"/>
        <v>0.30180900253935045</v>
      </c>
      <c r="AP35" t="str">
        <f t="shared" si="26"/>
        <v/>
      </c>
      <c r="AQ35">
        <f t="shared" si="27"/>
        <v>0.3634303804200808</v>
      </c>
      <c r="AR35">
        <f t="shared" si="28"/>
        <v>0.43273207592590185</v>
      </c>
      <c r="AS35" t="str">
        <f t="shared" si="29"/>
        <v/>
      </c>
      <c r="AT35">
        <f t="shared" si="30"/>
        <v>0.35756887276393418</v>
      </c>
    </row>
    <row r="36" spans="3:46">
      <c r="C36" s="42">
        <v>3</v>
      </c>
      <c r="D36" s="1">
        <v>41396</v>
      </c>
      <c r="E36" s="4"/>
      <c r="F36" s="4"/>
      <c r="G36" s="4"/>
      <c r="H36" s="4">
        <v>0.21892724031761462</v>
      </c>
      <c r="I36" s="4">
        <v>0.25724156258304531</v>
      </c>
      <c r="J36" s="4"/>
      <c r="K36" s="4"/>
      <c r="L36" s="4"/>
      <c r="M36" s="4"/>
      <c r="N36" s="4"/>
      <c r="O36" s="4"/>
      <c r="P36" s="4"/>
      <c r="Q36" s="4"/>
      <c r="R36" s="42">
        <v>3</v>
      </c>
      <c r="S36" s="1">
        <v>41396</v>
      </c>
      <c r="T36" t="str">
        <f t="shared" si="0"/>
        <v/>
      </c>
      <c r="U36" t="str">
        <f t="shared" si="1"/>
        <v/>
      </c>
      <c r="V36" t="str">
        <f t="shared" si="2"/>
        <v/>
      </c>
      <c r="W36">
        <f t="shared" si="3"/>
        <v>0.32804636640980056</v>
      </c>
      <c r="X36">
        <f t="shared" si="4"/>
        <v>0.40903221800864092</v>
      </c>
      <c r="Y36" t="str">
        <f t="shared" si="5"/>
        <v/>
      </c>
      <c r="Z36" t="str">
        <f t="shared" si="6"/>
        <v/>
      </c>
      <c r="AA36" t="str">
        <f t="shared" si="7"/>
        <v/>
      </c>
      <c r="AB36" t="str">
        <f t="shared" si="8"/>
        <v/>
      </c>
      <c r="AC36" t="str">
        <f t="shared" si="9"/>
        <v/>
      </c>
      <c r="AD36" t="str">
        <f t="shared" si="10"/>
        <v/>
      </c>
      <c r="AE36" t="str">
        <f t="shared" si="11"/>
        <v/>
      </c>
      <c r="AF36" s="8"/>
      <c r="AG36" s="42">
        <v>3</v>
      </c>
      <c r="AH36" s="1">
        <v>41396</v>
      </c>
      <c r="AI36" t="str">
        <f t="shared" si="19"/>
        <v/>
      </c>
      <c r="AJ36" t="str">
        <f t="shared" si="20"/>
        <v/>
      </c>
      <c r="AK36" t="str">
        <f t="shared" si="21"/>
        <v/>
      </c>
      <c r="AL36">
        <f t="shared" si="22"/>
        <v>0.3125724521943582</v>
      </c>
      <c r="AM36" t="str">
        <f t="shared" si="23"/>
        <v/>
      </c>
      <c r="AN36" t="str">
        <f t="shared" si="24"/>
        <v/>
      </c>
      <c r="AO36" t="str">
        <f t="shared" si="25"/>
        <v/>
      </c>
      <c r="AP36" t="str">
        <f t="shared" si="26"/>
        <v/>
      </c>
      <c r="AQ36" t="str">
        <f t="shared" si="27"/>
        <v/>
      </c>
      <c r="AR36" t="str">
        <f t="shared" si="28"/>
        <v/>
      </c>
      <c r="AS36" t="str">
        <f t="shared" si="29"/>
        <v/>
      </c>
      <c r="AT36" t="str">
        <f t="shared" si="30"/>
        <v/>
      </c>
    </row>
    <row r="37" spans="3:46">
      <c r="C37" s="42">
        <v>3</v>
      </c>
      <c r="D37" s="1">
        <v>41397</v>
      </c>
      <c r="E37" s="4">
        <v>0.24836306163919622</v>
      </c>
      <c r="F37" s="4">
        <v>0.22298714144411466</v>
      </c>
      <c r="G37" s="4"/>
      <c r="H37" s="4"/>
      <c r="I37" s="4"/>
      <c r="J37" s="4">
        <v>0.22513767411726554</v>
      </c>
      <c r="K37" s="4"/>
      <c r="L37" s="4">
        <v>0.22656123930934297</v>
      </c>
      <c r="M37" s="4">
        <v>0.19701401584399747</v>
      </c>
      <c r="N37" s="4">
        <v>0.24945612762871663</v>
      </c>
      <c r="O37" s="4">
        <v>0.3221258134490238</v>
      </c>
      <c r="P37" s="4">
        <v>0.24078431372549017</v>
      </c>
      <c r="Q37" s="4"/>
      <c r="R37" s="42">
        <v>3</v>
      </c>
      <c r="S37" s="1">
        <v>41397</v>
      </c>
      <c r="T37">
        <f t="shared" si="0"/>
        <v>0.3626482655401474</v>
      </c>
      <c r="U37">
        <f t="shared" si="1"/>
        <v>0.356355998265037</v>
      </c>
      <c r="V37" t="str">
        <f t="shared" si="2"/>
        <v/>
      </c>
      <c r="W37" t="str">
        <f t="shared" si="3"/>
        <v/>
      </c>
      <c r="X37" t="str">
        <f t="shared" si="4"/>
        <v/>
      </c>
      <c r="Y37">
        <f t="shared" si="5"/>
        <v>0.33588455827260105</v>
      </c>
      <c r="Z37" t="str">
        <f t="shared" si="6"/>
        <v/>
      </c>
      <c r="AA37">
        <f t="shared" si="7"/>
        <v>0.36445220702592646</v>
      </c>
      <c r="AB37">
        <f t="shared" si="8"/>
        <v>0.31976789950463891</v>
      </c>
      <c r="AC37">
        <f t="shared" si="9"/>
        <v>0.41536334241728262</v>
      </c>
      <c r="AD37">
        <f t="shared" si="10"/>
        <v>0.4309203968401813</v>
      </c>
      <c r="AE37">
        <f t="shared" si="11"/>
        <v>0.35678834261996095</v>
      </c>
      <c r="AF37" s="8"/>
      <c r="AG37" s="42">
        <v>3</v>
      </c>
      <c r="AH37" s="1">
        <v>41397</v>
      </c>
      <c r="AI37">
        <f t="shared" si="19"/>
        <v>0.32120776359972208</v>
      </c>
      <c r="AJ37">
        <f t="shared" si="20"/>
        <v>0.36838536109817988</v>
      </c>
      <c r="AK37" t="str">
        <f t="shared" si="21"/>
        <v/>
      </c>
      <c r="AL37" t="str">
        <f t="shared" si="22"/>
        <v/>
      </c>
      <c r="AM37" t="str">
        <f t="shared" si="23"/>
        <v/>
      </c>
      <c r="AN37">
        <f t="shared" si="24"/>
        <v>0.33302571357482275</v>
      </c>
      <c r="AO37" t="str">
        <f t="shared" si="25"/>
        <v/>
      </c>
      <c r="AP37">
        <f t="shared" si="26"/>
        <v>0.36753287150935104</v>
      </c>
      <c r="AQ37">
        <f t="shared" si="27"/>
        <v>0.31704493898881947</v>
      </c>
      <c r="AR37">
        <f t="shared" si="28"/>
        <v>0.40871220490141336</v>
      </c>
      <c r="AS37" t="str">
        <f t="shared" si="29"/>
        <v/>
      </c>
      <c r="AT37">
        <f t="shared" si="30"/>
        <v>0.37348183468681778</v>
      </c>
    </row>
    <row r="38" spans="3:46">
      <c r="C38" s="42">
        <v>3</v>
      </c>
      <c r="D38" s="1">
        <v>41425</v>
      </c>
      <c r="E38" s="4">
        <v>0.24839760428706545</v>
      </c>
      <c r="F38" s="4">
        <v>0.21089096876139535</v>
      </c>
      <c r="G38" s="4">
        <v>0.26893081761006327</v>
      </c>
      <c r="H38" s="4">
        <v>0.21165206763088204</v>
      </c>
      <c r="I38" s="4"/>
      <c r="J38" s="4">
        <v>0.21053918571952562</v>
      </c>
      <c r="K38" s="4">
        <v>0.29743926460932385</v>
      </c>
      <c r="L38" s="4">
        <v>0.19741071428571441</v>
      </c>
      <c r="M38" s="4">
        <v>0.2409367038996669</v>
      </c>
      <c r="N38" s="4">
        <v>0.23301068763863697</v>
      </c>
      <c r="O38" s="4">
        <v>0.32469626921836348</v>
      </c>
      <c r="P38" s="4">
        <v>0.22940691927512355</v>
      </c>
      <c r="Q38" s="4"/>
      <c r="R38" s="42">
        <v>3</v>
      </c>
      <c r="S38" s="1">
        <v>41425</v>
      </c>
      <c r="T38">
        <f t="shared" ref="T38:T66" si="31">IFERROR(LOOKUP(E$4,$E$76:$P$76,IF($C38=1,$E$77:$P$77,IF($C38=2,$E$78:$P$78,IF($C38=3,$E$79:$P$79,IF($C39=4,$E$80:$P$80,$E$81:$P$81)))))*IF(E38="","",E38),"")</f>
        <v>0.36269870311832131</v>
      </c>
      <c r="U38">
        <f t="shared" ref="U38:U66" si="32">IFERROR(LOOKUP(F$4,$E$76:$P$76,IF($C38=1,$E$77:$P$77,IF($C38=2,$E$78:$P$78,IF($C38=3,$E$79:$P$79,IF($C39=4,$E$80:$P$80,$E$81:$P$81)))))*IF(F38="","",F38),"")</f>
        <v>0.33702509127362634</v>
      </c>
      <c r="V38">
        <f t="shared" ref="V38:V66" si="33">IFERROR(LOOKUP(G$4,$E$76:$P$76,IF($C38=1,$E$77:$P$77,IF($C38=2,$E$78:$P$78,IF($C38=3,$E$79:$P$79,IF($C39=4,$E$80:$P$80,$E$81:$P$81)))))*IF(G38="","",G38),"")</f>
        <v>0.33158906936232635</v>
      </c>
      <c r="W38">
        <f t="shared" ref="W38:W66" si="34">IFERROR(LOOKUP(H$4,$E$76:$P$76,IF($C38=1,$E$77:$P$77,IF($C38=2,$E$78:$P$78,IF($C38=3,$E$79:$P$79,IF($C39=4,$E$80:$P$80,$E$81:$P$81)))))*IF(H38="","",H38),"")</f>
        <v>0.31714505526449022</v>
      </c>
      <c r="X38" t="str">
        <f t="shared" ref="X38:X66" si="35">IFERROR(LOOKUP(I$4,$E$76:$P$76,IF($C38=1,$E$77:$P$77,IF($C38=2,$E$78:$P$78,IF($C38=3,$E$79:$P$79,IF($C39=4,$E$80:$P$80,$E$81:$P$81)))))*IF(I38="","",I38),"")</f>
        <v/>
      </c>
      <c r="Y38">
        <f t="shared" ref="Y38:Y66" si="36">IFERROR(LOOKUP(J$4,$E$76:$P$76,IF($C38=1,$E$77:$P$77,IF($C38=2,$E$78:$P$78,IF($C38=3,$E$79:$P$79,IF($C39=4,$E$80:$P$80,$E$81:$P$81)))))*IF(J38="","",J38),"")</f>
        <v>0.31410496564711904</v>
      </c>
      <c r="Z38">
        <f t="shared" ref="Z38:Z66" si="37">IFERROR(LOOKUP(K$4,$E$76:$P$76,IF($C38=1,$E$77:$P$77,IF($C38=2,$E$78:$P$78,IF($C38=3,$E$79:$P$79,IF($C39=4,$E$80:$P$80,$E$81:$P$81)))))*IF(K38="","",K38),"")</f>
        <v>0.28194379575569928</v>
      </c>
      <c r="AA38">
        <f t="shared" ref="AA38:AA66" si="38">IFERROR(LOOKUP(L$4,$E$76:$P$76,IF($C38=1,$E$77:$P$77,IF($C38=2,$E$78:$P$78,IF($C38=3,$E$79:$P$79,IF($C39=4,$E$80:$P$80,$E$81:$P$81)))))*IF(L38="","",L38),"")</f>
        <v>0.31755992654047183</v>
      </c>
      <c r="AB38">
        <f t="shared" ref="AB38:AB66" si="39">IFERROR(LOOKUP(M$4,$E$76:$P$76,IF($C38=1,$E$77:$P$77,IF($C38=2,$E$78:$P$78,IF($C38=3,$E$79:$P$79,IF($C39=4,$E$80:$P$80,$E$81:$P$81)))))*IF(M38="","",M38),"")</f>
        <v>0.39105757724655282</v>
      </c>
      <c r="AC38">
        <f t="shared" ref="AC38:AC66" si="40">IFERROR(LOOKUP(N$4,$E$76:$P$76,IF($C38=1,$E$77:$P$77,IF($C38=2,$E$78:$P$78,IF($C38=3,$E$79:$P$79,IF($C39=4,$E$80:$P$80,$E$81:$P$81)))))*IF(N38="","",N38),"")</f>
        <v>0.38798043951273203</v>
      </c>
      <c r="AD38">
        <f t="shared" ref="AD38:AD66" si="41">IFERROR(LOOKUP(O$4,$E$76:$P$76,IF($C38=1,$E$77:$P$77,IF($C38=2,$E$78:$P$78,IF($C38=3,$E$79:$P$79,IF($C39=4,$E$80:$P$80,$E$81:$P$81)))))*IF(O38="","",O38),"")</f>
        <v>0.43435899683415313</v>
      </c>
      <c r="AE38">
        <f t="shared" ref="AE38:AE66" si="42">IFERROR(LOOKUP(P$4,$E$76:$P$76,IF($C38=1,$E$77:$P$77,IF($C38=2,$E$78:$P$78,IF($C38=3,$E$79:$P$79,IF($C39=4,$E$80:$P$80,$E$81:$P$81)))))*IF(P38="","",P38),"")</f>
        <v>0.33992959610747953</v>
      </c>
      <c r="AF38" s="8"/>
      <c r="AG38" s="42">
        <v>3</v>
      </c>
      <c r="AH38" s="1">
        <v>41425</v>
      </c>
      <c r="AI38">
        <f t="shared" si="19"/>
        <v>0.32125243758061789</v>
      </c>
      <c r="AJ38">
        <f t="shared" si="20"/>
        <v>0.34840190863194753</v>
      </c>
      <c r="AK38">
        <f t="shared" si="21"/>
        <v>0.40853041818654123</v>
      </c>
      <c r="AL38">
        <f t="shared" si="22"/>
        <v>0.30218535480286718</v>
      </c>
      <c r="AM38" t="str">
        <f t="shared" si="23"/>
        <v/>
      </c>
      <c r="AN38">
        <f t="shared" si="24"/>
        <v>0.31143149557095884</v>
      </c>
      <c r="AO38">
        <f t="shared" si="25"/>
        <v>0.30372131828098209</v>
      </c>
      <c r="AP38">
        <f t="shared" si="26"/>
        <v>0.32024421701311134</v>
      </c>
      <c r="AQ38">
        <f t="shared" si="27"/>
        <v>0.38772755461481295</v>
      </c>
      <c r="AR38">
        <f t="shared" si="28"/>
        <v>0.38176777943144313</v>
      </c>
      <c r="AS38" t="str">
        <f t="shared" si="29"/>
        <v/>
      </c>
      <c r="AT38">
        <f t="shared" si="30"/>
        <v>0.35583429740528638</v>
      </c>
    </row>
    <row r="39" spans="3:46">
      <c r="C39" s="42">
        <v>3</v>
      </c>
      <c r="D39" s="1">
        <v>41528</v>
      </c>
      <c r="E39" s="4">
        <v>0.21830029866956266</v>
      </c>
      <c r="F39" s="4">
        <v>0.14456307951671823</v>
      </c>
      <c r="G39" s="4">
        <v>0.18248978308707928</v>
      </c>
      <c r="H39" s="4">
        <v>0.13494652891063999</v>
      </c>
      <c r="I39" s="4"/>
      <c r="J39" s="4">
        <v>0.14142420146546203</v>
      </c>
      <c r="K39" s="4">
        <v>0.14956011730205293</v>
      </c>
      <c r="L39" s="4">
        <v>0.1387149469098829</v>
      </c>
      <c r="M39" s="4">
        <v>0.17144689285297904</v>
      </c>
      <c r="N39" s="4">
        <v>0.17577322303598725</v>
      </c>
      <c r="O39" s="4">
        <v>0.16421067989495222</v>
      </c>
      <c r="P39" s="4">
        <v>0.15562221616216684</v>
      </c>
      <c r="Q39" s="4"/>
      <c r="R39" s="42">
        <v>3</v>
      </c>
      <c r="S39" s="1">
        <v>41528</v>
      </c>
      <c r="T39">
        <f t="shared" si="31"/>
        <v>0.31875200827738215</v>
      </c>
      <c r="U39">
        <f t="shared" si="32"/>
        <v>0.23102641784552871</v>
      </c>
      <c r="V39">
        <f t="shared" si="33"/>
        <v>0.22500811874121601</v>
      </c>
      <c r="W39">
        <f t="shared" si="34"/>
        <v>0.20220744757265705</v>
      </c>
      <c r="X39" t="str">
        <f t="shared" si="35"/>
        <v/>
      </c>
      <c r="Y39">
        <f t="shared" si="36"/>
        <v>0.21099181034241291</v>
      </c>
      <c r="Z39">
        <f t="shared" si="37"/>
        <v>0.14176859676275103</v>
      </c>
      <c r="AA39">
        <f t="shared" si="38"/>
        <v>0.22314041317440061</v>
      </c>
      <c r="AB39">
        <f t="shared" si="39"/>
        <v>0.278270622368334</v>
      </c>
      <c r="AC39">
        <f t="shared" si="40"/>
        <v>0.29267572667668357</v>
      </c>
      <c r="AD39">
        <f t="shared" si="41"/>
        <v>0.21967109865576415</v>
      </c>
      <c r="AE39">
        <f t="shared" si="42"/>
        <v>0.23059721673832131</v>
      </c>
      <c r="AF39" s="8"/>
      <c r="AG39" s="42">
        <v>3</v>
      </c>
      <c r="AH39" s="1">
        <v>41528</v>
      </c>
      <c r="AI39">
        <f t="shared" si="19"/>
        <v>0.2823276145253294</v>
      </c>
      <c r="AJ39">
        <f t="shared" si="20"/>
        <v>0.2388250815914332</v>
      </c>
      <c r="AK39">
        <f t="shared" si="21"/>
        <v>0.27721860983382507</v>
      </c>
      <c r="AL39">
        <f t="shared" si="22"/>
        <v>0.1926693425428512</v>
      </c>
      <c r="AM39" t="str">
        <f t="shared" si="23"/>
        <v/>
      </c>
      <c r="AN39">
        <f t="shared" si="24"/>
        <v>0.20919597661497341</v>
      </c>
      <c r="AO39">
        <f t="shared" si="25"/>
        <v>0.1527188955664662</v>
      </c>
      <c r="AP39">
        <f t="shared" si="26"/>
        <v>0.2250265884600236</v>
      </c>
      <c r="AQ39">
        <f t="shared" si="27"/>
        <v>0.27590102892698082</v>
      </c>
      <c r="AR39">
        <f t="shared" si="28"/>
        <v>0.28798916359590027</v>
      </c>
      <c r="AS39" t="str">
        <f t="shared" si="29"/>
        <v/>
      </c>
      <c r="AT39">
        <f t="shared" si="30"/>
        <v>0.24138645043355098</v>
      </c>
    </row>
    <row r="40" spans="3:46">
      <c r="C40" s="42">
        <v>3</v>
      </c>
      <c r="D40" s="1">
        <v>41740</v>
      </c>
      <c r="E40" s="4">
        <v>0.31089743589743585</v>
      </c>
      <c r="F40" s="4">
        <v>0.22461053046736343</v>
      </c>
      <c r="G40" s="4">
        <v>0.28196527229676382</v>
      </c>
      <c r="H40" s="4">
        <v>0.22731577950369386</v>
      </c>
      <c r="I40" s="4">
        <v>0.25224856909239551</v>
      </c>
      <c r="J40" s="4">
        <v>0.22197445773363039</v>
      </c>
      <c r="K40" s="4">
        <v>0.29900181488203281</v>
      </c>
      <c r="L40" s="4">
        <v>0.21221115115539518</v>
      </c>
      <c r="M40" s="4">
        <v>0.24344497607655499</v>
      </c>
      <c r="N40" s="4">
        <v>0.25617229907196631</v>
      </c>
      <c r="O40" s="4">
        <v>0.3726264335401388</v>
      </c>
      <c r="P40" s="4">
        <v>0.23231197771587714</v>
      </c>
      <c r="Q40" s="4"/>
      <c r="R40" s="42">
        <v>3</v>
      </c>
      <c r="S40" s="1">
        <v>41740</v>
      </c>
      <c r="T40">
        <f t="shared" si="31"/>
        <v>0.45395806906614017</v>
      </c>
      <c r="U40">
        <f t="shared" si="32"/>
        <v>0.35895033806510701</v>
      </c>
      <c r="V40">
        <f t="shared" si="33"/>
        <v>0.34766042458155327</v>
      </c>
      <c r="W40">
        <f t="shared" si="34"/>
        <v>0.34061597536064298</v>
      </c>
      <c r="X40">
        <f t="shared" si="35"/>
        <v>0.40109300639184053</v>
      </c>
      <c r="Y40">
        <f t="shared" si="36"/>
        <v>0.33116533239490747</v>
      </c>
      <c r="Z40">
        <f t="shared" si="37"/>
        <v>0.28342494302630367</v>
      </c>
      <c r="AA40">
        <f t="shared" si="38"/>
        <v>0.34136828801724722</v>
      </c>
      <c r="AB40">
        <f t="shared" si="39"/>
        <v>0.39512868316230926</v>
      </c>
      <c r="AC40">
        <f t="shared" si="40"/>
        <v>0.42654627644834292</v>
      </c>
      <c r="AD40">
        <f t="shared" si="41"/>
        <v>0.49847706675537357</v>
      </c>
      <c r="AE40">
        <f t="shared" si="42"/>
        <v>0.34423424108311634</v>
      </c>
      <c r="AF40" s="8"/>
      <c r="AG40" s="42">
        <v>3</v>
      </c>
      <c r="AH40" s="1">
        <v>41740</v>
      </c>
      <c r="AI40">
        <f t="shared" si="19"/>
        <v>0.4020834234946602</v>
      </c>
      <c r="AJ40">
        <f t="shared" si="20"/>
        <v>0.37106727695960279</v>
      </c>
      <c r="AK40">
        <f t="shared" si="21"/>
        <v>0.42833094261625632</v>
      </c>
      <c r="AL40">
        <f t="shared" si="22"/>
        <v>0.32454915395114864</v>
      </c>
      <c r="AM40" t="str">
        <f t="shared" si="23"/>
        <v/>
      </c>
      <c r="AN40">
        <f t="shared" si="24"/>
        <v>0.3283466548722665</v>
      </c>
      <c r="AO40">
        <f t="shared" si="25"/>
        <v>0.30531687033202287</v>
      </c>
      <c r="AP40">
        <f t="shared" si="26"/>
        <v>0.34425382730165432</v>
      </c>
      <c r="AQ40">
        <f t="shared" si="27"/>
        <v>0.39176399332137957</v>
      </c>
      <c r="AR40">
        <f t="shared" si="28"/>
        <v>0.4197160686475549</v>
      </c>
      <c r="AS40" t="str">
        <f t="shared" si="29"/>
        <v/>
      </c>
      <c r="AT40">
        <f t="shared" si="30"/>
        <v>0.36034034906429113</v>
      </c>
    </row>
    <row r="41" spans="3:46">
      <c r="C41" s="43">
        <v>3</v>
      </c>
      <c r="D41" s="1">
        <v>41806</v>
      </c>
      <c r="E41" s="4">
        <v>0.29676234713114363</v>
      </c>
      <c r="F41" s="4">
        <v>0.20136047679100449</v>
      </c>
      <c r="G41" s="4">
        <v>0.2399619116742944</v>
      </c>
      <c r="H41" s="4">
        <v>0.21455279743499672</v>
      </c>
      <c r="I41" s="4">
        <v>0.19024856596558329</v>
      </c>
      <c r="J41" s="4">
        <v>0.22382265429342904</v>
      </c>
      <c r="K41" s="4">
        <v>0.29686764058486642</v>
      </c>
      <c r="L41" s="4">
        <v>0.21405588237475859</v>
      </c>
      <c r="M41" s="4">
        <v>0.22361553416921853</v>
      </c>
      <c r="N41" s="4">
        <v>0.21489757163123177</v>
      </c>
      <c r="O41" s="4">
        <v>0.3583608232103328</v>
      </c>
      <c r="P41" s="4">
        <v>0.21318971237251028</v>
      </c>
      <c r="Q41" s="4"/>
      <c r="R41" s="43">
        <v>3</v>
      </c>
      <c r="S41" s="1">
        <v>41806</v>
      </c>
      <c r="T41">
        <f t="shared" si="31"/>
        <v>0.43331866564390875</v>
      </c>
      <c r="U41">
        <f t="shared" si="32"/>
        <v>0.32179440147657934</v>
      </c>
      <c r="V41">
        <f t="shared" si="33"/>
        <v>0.29587069150942341</v>
      </c>
      <c r="W41">
        <f t="shared" si="34"/>
        <v>0.32149158551260332</v>
      </c>
      <c r="X41">
        <f t="shared" si="35"/>
        <v>0.30250863090891017</v>
      </c>
      <c r="Y41">
        <f t="shared" si="36"/>
        <v>0.33392267048824481</v>
      </c>
      <c r="Z41">
        <f t="shared" si="37"/>
        <v>0.28140195119656763</v>
      </c>
      <c r="AA41">
        <f t="shared" si="38"/>
        <v>0.34433576986152092</v>
      </c>
      <c r="AB41">
        <f t="shared" si="39"/>
        <v>0.36294407457040523</v>
      </c>
      <c r="AC41">
        <f t="shared" si="40"/>
        <v>0.35782072975556939</v>
      </c>
      <c r="AD41">
        <f t="shared" si="41"/>
        <v>0.47939339755585375</v>
      </c>
      <c r="AE41">
        <f t="shared" si="42"/>
        <v>0.31589933315893493</v>
      </c>
      <c r="AF41" s="8"/>
      <c r="AG41" s="43">
        <v>3</v>
      </c>
      <c r="AH41" s="1">
        <v>41806</v>
      </c>
      <c r="AI41">
        <f t="shared" si="19"/>
        <v>0.38380252366624651</v>
      </c>
      <c r="AJ41">
        <f t="shared" si="20"/>
        <v>0.33265708270513222</v>
      </c>
      <c r="AK41">
        <f t="shared" si="21"/>
        <v>0.36452401028759251</v>
      </c>
      <c r="AL41">
        <f t="shared" si="22"/>
        <v>0.30632685965493578</v>
      </c>
      <c r="AM41" t="str">
        <f t="shared" si="23"/>
        <v/>
      </c>
      <c r="AN41">
        <f t="shared" si="24"/>
        <v>0.3310805241838633</v>
      </c>
      <c r="AO41">
        <f t="shared" si="25"/>
        <v>0.30313762129498623</v>
      </c>
      <c r="AP41">
        <f t="shared" si="26"/>
        <v>0.34724639286265857</v>
      </c>
      <c r="AQ41">
        <f t="shared" si="27"/>
        <v>0.35985345044572981</v>
      </c>
      <c r="AR41">
        <f t="shared" si="28"/>
        <v>0.35209101161101036</v>
      </c>
      <c r="AS41" t="str">
        <f t="shared" si="29"/>
        <v/>
      </c>
      <c r="AT41">
        <f t="shared" si="30"/>
        <v>0.33067970118690931</v>
      </c>
    </row>
    <row r="42" spans="3:46">
      <c r="C42" s="42">
        <v>4</v>
      </c>
      <c r="D42" s="1">
        <v>40830</v>
      </c>
      <c r="E42" s="4">
        <v>0.260185880585805</v>
      </c>
      <c r="F42" s="4">
        <v>0.15351879182419201</v>
      </c>
      <c r="G42" s="4">
        <v>0.15697982546019898</v>
      </c>
      <c r="H42" s="4">
        <v>0.12344342806601</v>
      </c>
      <c r="I42" s="4">
        <v>0.16733912329891301</v>
      </c>
      <c r="J42" s="4">
        <v>0.14514824486400302</v>
      </c>
      <c r="K42" s="4">
        <v>0.21815249036116099</v>
      </c>
      <c r="L42" s="4">
        <v>0.129715051808762</v>
      </c>
      <c r="M42" s="4">
        <v>0.15798294680828801</v>
      </c>
      <c r="N42" s="4">
        <v>0.18163478943580599</v>
      </c>
      <c r="O42" s="4">
        <v>0.268441422860489</v>
      </c>
      <c r="P42" s="4">
        <v>0.151412379931296</v>
      </c>
      <c r="Q42" s="4"/>
      <c r="R42" s="42">
        <v>4</v>
      </c>
      <c r="S42" s="1">
        <v>40830</v>
      </c>
      <c r="T42">
        <f t="shared" si="31"/>
        <v>0.36399432007288812</v>
      </c>
      <c r="U42">
        <f t="shared" si="32"/>
        <v>0.24559357113619654</v>
      </c>
      <c r="V42">
        <f t="shared" si="33"/>
        <v>0.16246396025551821</v>
      </c>
      <c r="W42">
        <f t="shared" si="34"/>
        <v>0.19723848382423226</v>
      </c>
      <c r="X42">
        <f t="shared" si="35"/>
        <v>0.24763846290099101</v>
      </c>
      <c r="Y42">
        <f t="shared" si="36"/>
        <v>0.22090074029282242</v>
      </c>
      <c r="Z42">
        <f t="shared" si="37"/>
        <v>0.20934141618932678</v>
      </c>
      <c r="AA42">
        <f t="shared" si="38"/>
        <v>0.21225975990721299</v>
      </c>
      <c r="AB42">
        <f t="shared" si="39"/>
        <v>0.26502017491763535</v>
      </c>
      <c r="AC42">
        <f t="shared" si="40"/>
        <v>0.30623007464408486</v>
      </c>
      <c r="AD42">
        <f t="shared" si="41"/>
        <v>0.47692110665937532</v>
      </c>
      <c r="AE42">
        <f t="shared" si="42"/>
        <v>0.20525152757003001</v>
      </c>
      <c r="AF42" s="8"/>
      <c r="AG42" s="42">
        <v>4</v>
      </c>
      <c r="AH42" s="1">
        <v>40830</v>
      </c>
      <c r="AI42" s="39">
        <f t="shared" si="19"/>
        <v>0.36345335276653534</v>
      </c>
      <c r="AJ42" s="39">
        <f t="shared" si="20"/>
        <v>0.20528133004870278</v>
      </c>
      <c r="AK42" s="39">
        <f t="shared" si="21"/>
        <v>0.16246396025551821</v>
      </c>
      <c r="AL42" s="39">
        <f t="shared" si="22"/>
        <v>0.189769463777615</v>
      </c>
      <c r="AM42" s="39">
        <f t="shared" si="23"/>
        <v>0.24763846290099101</v>
      </c>
      <c r="AN42" s="39">
        <f t="shared" si="24"/>
        <v>0.22090074029282242</v>
      </c>
      <c r="AO42" s="39">
        <f t="shared" si="25"/>
        <v>0.20934141618932678</v>
      </c>
      <c r="AP42" s="39">
        <f t="shared" si="26"/>
        <v>0.21198951299762378</v>
      </c>
      <c r="AQ42" s="39">
        <f t="shared" si="27"/>
        <v>0.25614539294532368</v>
      </c>
      <c r="AR42" s="39">
        <f t="shared" si="28"/>
        <v>0.29821042488766208</v>
      </c>
      <c r="AS42" s="39">
        <f t="shared" si="29"/>
        <v>0.33294707848225519</v>
      </c>
      <c r="AT42" s="39">
        <f t="shared" si="30"/>
        <v>0.20525152757003001</v>
      </c>
    </row>
    <row r="43" spans="3:46">
      <c r="C43" s="42">
        <v>4</v>
      </c>
      <c r="D43" s="1">
        <v>41003</v>
      </c>
      <c r="E43" s="4">
        <v>0.26497695852534586</v>
      </c>
      <c r="F43" s="4">
        <v>0.21267297887836836</v>
      </c>
      <c r="G43" s="4">
        <v>0.29007194244604312</v>
      </c>
      <c r="H43" s="4">
        <v>0.22521521799500138</v>
      </c>
      <c r="I43" s="4">
        <v>0.23655172413793102</v>
      </c>
      <c r="J43" s="4">
        <v>0.21942667768615773</v>
      </c>
      <c r="K43" s="4">
        <v>0.38309074016723466</v>
      </c>
      <c r="L43" s="4">
        <v>0.19624470018170798</v>
      </c>
      <c r="M43" s="4">
        <v>0.23022598870056507</v>
      </c>
      <c r="N43" s="4">
        <v>0.23172413793103463</v>
      </c>
      <c r="O43" s="4">
        <v>0.39350180505415172</v>
      </c>
      <c r="P43" s="4">
        <v>0.22157603954637969</v>
      </c>
      <c r="Q43" s="4"/>
      <c r="R43" s="42">
        <v>4</v>
      </c>
      <c r="S43" s="1">
        <v>41003</v>
      </c>
      <c r="T43">
        <f t="shared" si="31"/>
        <v>0.37069693265545012</v>
      </c>
      <c r="U43">
        <f t="shared" si="32"/>
        <v>0.3402262077904174</v>
      </c>
      <c r="V43">
        <f t="shared" si="33"/>
        <v>0.30020568815540827</v>
      </c>
      <c r="W43">
        <f t="shared" si="34"/>
        <v>0.3598499233812944</v>
      </c>
      <c r="X43">
        <f t="shared" si="35"/>
        <v>0.35006341737226615</v>
      </c>
      <c r="Y43">
        <f t="shared" si="36"/>
        <v>0.33394489603565153</v>
      </c>
      <c r="Z43">
        <f t="shared" si="37"/>
        <v>0.36761788940780404</v>
      </c>
      <c r="AA43">
        <f t="shared" si="38"/>
        <v>0.32112582435725184</v>
      </c>
      <c r="AB43">
        <f t="shared" si="39"/>
        <v>0.38620960697770951</v>
      </c>
      <c r="AC43">
        <f t="shared" si="40"/>
        <v>0.39067901185602005</v>
      </c>
      <c r="AD43">
        <f t="shared" si="41"/>
        <v>0.69910714352166481</v>
      </c>
      <c r="AE43">
        <f t="shared" si="42"/>
        <v>0.30036395049366515</v>
      </c>
      <c r="AF43" s="8"/>
      <c r="AG43" s="42">
        <v>4</v>
      </c>
      <c r="AH43" s="1">
        <v>41003</v>
      </c>
      <c r="AI43" s="39">
        <f t="shared" si="19"/>
        <v>0.37014600394565134</v>
      </c>
      <c r="AJ43" s="39">
        <f t="shared" si="20"/>
        <v>0.2843807683138071</v>
      </c>
      <c r="AK43" s="39">
        <f t="shared" si="21"/>
        <v>0.30020568815540827</v>
      </c>
      <c r="AL43" s="39">
        <f t="shared" si="22"/>
        <v>0.34622313899623636</v>
      </c>
      <c r="AM43" s="39">
        <f t="shared" si="23"/>
        <v>0.35006341737226615</v>
      </c>
      <c r="AN43" s="39">
        <f t="shared" si="24"/>
        <v>0.33394489603565153</v>
      </c>
      <c r="AO43" s="39">
        <f t="shared" si="25"/>
        <v>0.36761788940780404</v>
      </c>
      <c r="AP43" s="39">
        <f t="shared" si="26"/>
        <v>0.32071697031134244</v>
      </c>
      <c r="AQ43" s="39">
        <f t="shared" si="27"/>
        <v>0.37327653100111796</v>
      </c>
      <c r="AR43" s="39">
        <f t="shared" si="28"/>
        <v>0.38044778670312784</v>
      </c>
      <c r="AS43" s="39">
        <f t="shared" si="29"/>
        <v>0.48805908929473724</v>
      </c>
      <c r="AT43" s="39">
        <f t="shared" si="30"/>
        <v>0.30036395049366515</v>
      </c>
    </row>
    <row r="44" spans="3:46">
      <c r="C44" s="42">
        <v>4</v>
      </c>
      <c r="D44" s="1">
        <v>41263</v>
      </c>
      <c r="E44" s="4">
        <v>0.32363954287551155</v>
      </c>
      <c r="F44" s="4"/>
      <c r="G44" s="4"/>
      <c r="H44" s="4"/>
      <c r="I44" s="4"/>
      <c r="J44" s="4"/>
      <c r="K44" s="4">
        <v>0.19843829226244783</v>
      </c>
      <c r="L44" s="4"/>
      <c r="M44" s="4"/>
      <c r="N44" s="4"/>
      <c r="O44" s="4">
        <v>0.27817089622521435</v>
      </c>
      <c r="P44" s="4"/>
      <c r="Q44" s="4"/>
      <c r="R44" s="42">
        <v>4</v>
      </c>
      <c r="S44" s="1">
        <v>41263</v>
      </c>
      <c r="T44">
        <f t="shared" si="31"/>
        <v>0.45276459695829913</v>
      </c>
      <c r="U44" t="str">
        <f t="shared" si="32"/>
        <v/>
      </c>
      <c r="V44" t="str">
        <f t="shared" si="33"/>
        <v/>
      </c>
      <c r="W44" t="str">
        <f t="shared" si="34"/>
        <v/>
      </c>
      <c r="X44" t="str">
        <f t="shared" si="35"/>
        <v/>
      </c>
      <c r="Y44" t="str">
        <f t="shared" si="36"/>
        <v/>
      </c>
      <c r="Z44">
        <f t="shared" si="37"/>
        <v>0.19042346507087235</v>
      </c>
      <c r="AA44" t="str">
        <f t="shared" si="38"/>
        <v/>
      </c>
      <c r="AB44" t="str">
        <f t="shared" si="39"/>
        <v/>
      </c>
      <c r="AC44" t="str">
        <f t="shared" si="40"/>
        <v/>
      </c>
      <c r="AD44">
        <f t="shared" si="41"/>
        <v>0.49420678170487403</v>
      </c>
      <c r="AE44" t="str">
        <f t="shared" si="42"/>
        <v/>
      </c>
      <c r="AF44" s="8"/>
      <c r="AG44" s="42">
        <v>4</v>
      </c>
      <c r="AH44" s="1">
        <v>41263</v>
      </c>
      <c r="AI44" s="39">
        <f t="shared" si="19"/>
        <v>0.45209169952303319</v>
      </c>
      <c r="AJ44" s="39" t="str">
        <f t="shared" si="20"/>
        <v/>
      </c>
      <c r="AK44" s="39" t="str">
        <f t="shared" si="21"/>
        <v/>
      </c>
      <c r="AL44" s="39" t="str">
        <f t="shared" si="22"/>
        <v/>
      </c>
      <c r="AM44" s="39" t="str">
        <f t="shared" si="23"/>
        <v/>
      </c>
      <c r="AN44" s="39" t="str">
        <f t="shared" si="24"/>
        <v/>
      </c>
      <c r="AO44" s="39">
        <f t="shared" si="25"/>
        <v>0.19042346507087235</v>
      </c>
      <c r="AP44" s="39" t="str">
        <f t="shared" si="26"/>
        <v/>
      </c>
      <c r="AQ44" s="39" t="str">
        <f t="shared" si="27"/>
        <v/>
      </c>
      <c r="AR44" s="39" t="str">
        <f t="shared" si="28"/>
        <v/>
      </c>
      <c r="AS44" s="39">
        <f t="shared" si="29"/>
        <v>0.34501451463811161</v>
      </c>
      <c r="AT44" s="39" t="str">
        <f t="shared" si="30"/>
        <v/>
      </c>
    </row>
    <row r="45" spans="3:46">
      <c r="C45" s="42">
        <v>4</v>
      </c>
      <c r="D45" s="1">
        <v>41266</v>
      </c>
      <c r="E45" s="4">
        <v>0.29536370903277387</v>
      </c>
      <c r="F45" s="4">
        <v>0.17694669271560134</v>
      </c>
      <c r="G45" s="4">
        <v>0.13865932047750232</v>
      </c>
      <c r="H45" s="4">
        <v>0.11840411840411831</v>
      </c>
      <c r="I45" s="4"/>
      <c r="J45" s="4">
        <v>0.22390243902439044</v>
      </c>
      <c r="K45" s="4">
        <v>0.15489749430523936</v>
      </c>
      <c r="L45" s="4">
        <v>0.1692389568919638</v>
      </c>
      <c r="M45" s="4">
        <v>0.20127311306456508</v>
      </c>
      <c r="N45" s="4"/>
      <c r="O45" s="4">
        <v>0.24968789013732834</v>
      </c>
      <c r="P45" s="4">
        <v>0.21080720480320217</v>
      </c>
      <c r="Q45" s="4"/>
      <c r="R45" s="42">
        <v>4</v>
      </c>
      <c r="S45" s="1">
        <v>41266</v>
      </c>
      <c r="T45">
        <f t="shared" si="31"/>
        <v>0.41320732778247599</v>
      </c>
      <c r="U45">
        <f t="shared" si="32"/>
        <v>0.28307264308417812</v>
      </c>
      <c r="V45">
        <f t="shared" si="33"/>
        <v>0.14350342322699092</v>
      </c>
      <c r="W45">
        <f t="shared" si="34"/>
        <v>0.189186651395366</v>
      </c>
      <c r="X45" t="str">
        <f t="shared" si="35"/>
        <v/>
      </c>
      <c r="Y45">
        <f t="shared" si="36"/>
        <v>0.34075654569711289</v>
      </c>
      <c r="Z45">
        <f t="shared" si="37"/>
        <v>0.14864125900352346</v>
      </c>
      <c r="AA45">
        <f t="shared" si="38"/>
        <v>0.27693486496691128</v>
      </c>
      <c r="AB45">
        <f t="shared" si="39"/>
        <v>0.33764046505169804</v>
      </c>
      <c r="AC45" t="str">
        <f t="shared" si="40"/>
        <v/>
      </c>
      <c r="AD45">
        <f t="shared" si="41"/>
        <v>0.44360301631103577</v>
      </c>
      <c r="AE45">
        <f t="shared" si="42"/>
        <v>0.28576593821627189</v>
      </c>
      <c r="AF45" s="8"/>
      <c r="AG45" s="42">
        <v>4</v>
      </c>
      <c r="AH45" s="1">
        <v>41266</v>
      </c>
      <c r="AI45" s="39">
        <f t="shared" si="19"/>
        <v>0.41259322024631734</v>
      </c>
      <c r="AJ45" s="39">
        <f t="shared" si="20"/>
        <v>0.23660850894381333</v>
      </c>
      <c r="AK45" s="39">
        <f t="shared" si="21"/>
        <v>0.14350342322699092</v>
      </c>
      <c r="AL45" s="39">
        <f t="shared" si="22"/>
        <v>0.18202253785916786</v>
      </c>
      <c r="AM45" s="39" t="str">
        <f t="shared" si="23"/>
        <v/>
      </c>
      <c r="AN45" s="39">
        <f t="shared" si="24"/>
        <v>0.34075654569711289</v>
      </c>
      <c r="AO45" s="39">
        <f t="shared" si="25"/>
        <v>0.14864125900352346</v>
      </c>
      <c r="AP45" s="39">
        <f t="shared" si="26"/>
        <v>0.27658227438899147</v>
      </c>
      <c r="AQ45" s="39">
        <f t="shared" si="27"/>
        <v>0.32633383334603633</v>
      </c>
      <c r="AR45" s="39" t="str">
        <f t="shared" si="28"/>
        <v/>
      </c>
      <c r="AS45" s="39">
        <f t="shared" si="29"/>
        <v>0.30968712901222595</v>
      </c>
      <c r="AT45" s="39">
        <f t="shared" si="30"/>
        <v>0.28576593821627189</v>
      </c>
    </row>
    <row r="46" spans="3:46">
      <c r="C46" s="42">
        <v>4</v>
      </c>
      <c r="D46" s="1">
        <v>41348</v>
      </c>
      <c r="E46" s="4"/>
      <c r="F46" s="4"/>
      <c r="G46" s="4">
        <v>0.25185131308564285</v>
      </c>
      <c r="H46" s="4">
        <v>0.23683223922716101</v>
      </c>
      <c r="I46" s="4"/>
      <c r="J46" s="4"/>
      <c r="K46" s="4">
        <v>0.29244532369967413</v>
      </c>
      <c r="L46" s="4"/>
      <c r="M46" s="4"/>
      <c r="N46" s="4"/>
      <c r="O46" s="4">
        <v>0.39218908721493073</v>
      </c>
      <c r="P46" s="4"/>
      <c r="Q46" s="4"/>
      <c r="R46" s="42">
        <v>4</v>
      </c>
      <c r="S46" s="1">
        <v>41348</v>
      </c>
      <c r="T46" t="str">
        <f t="shared" si="31"/>
        <v/>
      </c>
      <c r="U46" t="str">
        <f t="shared" si="32"/>
        <v/>
      </c>
      <c r="V46">
        <f t="shared" si="33"/>
        <v>0.26064981025106365</v>
      </c>
      <c r="W46">
        <f t="shared" si="34"/>
        <v>0.3784116539673878</v>
      </c>
      <c r="X46" t="str">
        <f t="shared" si="35"/>
        <v/>
      </c>
      <c r="Y46" t="str">
        <f t="shared" si="36"/>
        <v/>
      </c>
      <c r="Z46">
        <f t="shared" si="37"/>
        <v>0.2806335977181923</v>
      </c>
      <c r="AA46" t="str">
        <f t="shared" si="38"/>
        <v/>
      </c>
      <c r="AB46" t="str">
        <f t="shared" si="39"/>
        <v/>
      </c>
      <c r="AC46" t="str">
        <f t="shared" si="40"/>
        <v/>
      </c>
      <c r="AD46">
        <f t="shared" si="41"/>
        <v>0.69677492952152464</v>
      </c>
      <c r="AE46" t="str">
        <f t="shared" si="42"/>
        <v/>
      </c>
      <c r="AF46" s="8"/>
      <c r="AG46" s="42">
        <v>4</v>
      </c>
      <c r="AH46" s="1">
        <v>41348</v>
      </c>
      <c r="AI46" s="39" t="str">
        <f t="shared" si="19"/>
        <v/>
      </c>
      <c r="AJ46" s="39" t="str">
        <f t="shared" si="20"/>
        <v/>
      </c>
      <c r="AK46" s="39">
        <f t="shared" si="21"/>
        <v>0.26064981025106365</v>
      </c>
      <c r="AL46" s="39">
        <f t="shared" si="22"/>
        <v>0.36408197461396757</v>
      </c>
      <c r="AM46" s="39" t="str">
        <f t="shared" si="23"/>
        <v/>
      </c>
      <c r="AN46" s="39" t="str">
        <f t="shared" si="24"/>
        <v/>
      </c>
      <c r="AO46" s="39">
        <f t="shared" si="25"/>
        <v>0.2806335977181923</v>
      </c>
      <c r="AP46" s="39" t="str">
        <f t="shared" si="26"/>
        <v/>
      </c>
      <c r="AQ46" s="39" t="str">
        <f t="shared" si="27"/>
        <v/>
      </c>
      <c r="AR46" s="39" t="str">
        <f t="shared" si="28"/>
        <v/>
      </c>
      <c r="AS46" s="39">
        <f t="shared" si="29"/>
        <v>0.48643092936031718</v>
      </c>
      <c r="AT46" s="39" t="str">
        <f t="shared" si="30"/>
        <v/>
      </c>
    </row>
    <row r="47" spans="3:46">
      <c r="C47" s="42">
        <v>4</v>
      </c>
      <c r="D47" s="1">
        <v>41361</v>
      </c>
      <c r="E47" s="4">
        <v>0.2663854639844257</v>
      </c>
      <c r="F47" s="4">
        <v>0.37048736462093829</v>
      </c>
      <c r="G47" s="4">
        <v>0.26536491677336743</v>
      </c>
      <c r="H47" s="4">
        <v>0.22261072261072248</v>
      </c>
      <c r="I47" s="4"/>
      <c r="J47" s="4"/>
      <c r="K47" s="4">
        <v>0.29583512237011594</v>
      </c>
      <c r="L47" s="4"/>
      <c r="M47" s="4"/>
      <c r="N47" s="4"/>
      <c r="O47" s="4">
        <v>0.35032626427406216</v>
      </c>
      <c r="P47" s="4">
        <v>0.22207534699272963</v>
      </c>
      <c r="Q47" s="4"/>
      <c r="R47" s="42">
        <v>4</v>
      </c>
      <c r="S47" s="1">
        <v>41361</v>
      </c>
      <c r="T47">
        <f t="shared" si="31"/>
        <v>0.372667400790548</v>
      </c>
      <c r="U47">
        <f t="shared" si="32"/>
        <v>0.5926917080111882</v>
      </c>
      <c r="V47">
        <f t="shared" si="33"/>
        <v>0.27463551552239457</v>
      </c>
      <c r="W47">
        <f t="shared" si="34"/>
        <v>0.35568844853592896</v>
      </c>
      <c r="X47" t="str">
        <f t="shared" si="35"/>
        <v/>
      </c>
      <c r="Y47" t="str">
        <f t="shared" si="36"/>
        <v/>
      </c>
      <c r="Z47">
        <f t="shared" si="37"/>
        <v>0.28388648405055628</v>
      </c>
      <c r="AA47" t="str">
        <f t="shared" si="38"/>
        <v/>
      </c>
      <c r="AB47" t="str">
        <f t="shared" si="39"/>
        <v/>
      </c>
      <c r="AC47" t="str">
        <f t="shared" si="40"/>
        <v/>
      </c>
      <c r="AD47">
        <f t="shared" si="41"/>
        <v>0.62240017903742884</v>
      </c>
      <c r="AE47">
        <f t="shared" si="42"/>
        <v>0.30104080146276635</v>
      </c>
      <c r="AF47" s="8"/>
      <c r="AG47" s="42">
        <v>4</v>
      </c>
      <c r="AH47" s="1">
        <v>41361</v>
      </c>
      <c r="AI47" s="39">
        <f t="shared" si="19"/>
        <v>0.37211354357670257</v>
      </c>
      <c r="AJ47" s="39">
        <f t="shared" si="20"/>
        <v>0.49540605467193399</v>
      </c>
      <c r="AK47" s="39">
        <f t="shared" si="21"/>
        <v>0.27463551552239457</v>
      </c>
      <c r="AL47" s="39">
        <f t="shared" si="22"/>
        <v>0.34221925073560261</v>
      </c>
      <c r="AM47" s="39" t="str">
        <f t="shared" si="23"/>
        <v/>
      </c>
      <c r="AN47" s="39" t="str">
        <f t="shared" si="24"/>
        <v/>
      </c>
      <c r="AO47" s="39">
        <f t="shared" si="25"/>
        <v>0.28388648405055628</v>
      </c>
      <c r="AP47" s="39" t="str">
        <f t="shared" si="26"/>
        <v/>
      </c>
      <c r="AQ47" s="39" t="str">
        <f t="shared" si="27"/>
        <v/>
      </c>
      <c r="AR47" s="39" t="str">
        <f t="shared" si="28"/>
        <v/>
      </c>
      <c r="AS47" s="39">
        <f t="shared" si="29"/>
        <v>0.4345085976774537</v>
      </c>
      <c r="AT47" s="39">
        <f t="shared" si="30"/>
        <v>0.30104080146276635</v>
      </c>
    </row>
    <row r="48" spans="3:46">
      <c r="C48" s="42">
        <v>4</v>
      </c>
      <c r="D48" s="1">
        <v>41396</v>
      </c>
      <c r="E48" s="4"/>
      <c r="F48" s="4"/>
      <c r="G48" s="4"/>
      <c r="H48" s="4">
        <v>0.21800540407762203</v>
      </c>
      <c r="I48" s="4">
        <v>0.26301985762457836</v>
      </c>
      <c r="J48" s="4"/>
      <c r="K48" s="4"/>
      <c r="L48" s="4"/>
      <c r="M48" s="4"/>
      <c r="N48" s="4"/>
      <c r="O48" s="4"/>
      <c r="P48" s="4"/>
      <c r="Q48" s="4"/>
      <c r="R48" s="42">
        <v>4</v>
      </c>
      <c r="S48" s="1">
        <v>41396</v>
      </c>
      <c r="T48" t="str">
        <f t="shared" si="31"/>
        <v/>
      </c>
      <c r="U48" t="str">
        <f t="shared" si="32"/>
        <v/>
      </c>
      <c r="V48" t="str">
        <f t="shared" si="33"/>
        <v/>
      </c>
      <c r="W48">
        <f t="shared" si="34"/>
        <v>0.34833004915228055</v>
      </c>
      <c r="X48">
        <f t="shared" si="35"/>
        <v>0.38923254747929692</v>
      </c>
      <c r="Y48" t="str">
        <f t="shared" si="36"/>
        <v/>
      </c>
      <c r="Z48" t="str">
        <f t="shared" si="37"/>
        <v/>
      </c>
      <c r="AA48" t="str">
        <f t="shared" si="38"/>
        <v/>
      </c>
      <c r="AB48" t="str">
        <f t="shared" si="39"/>
        <v/>
      </c>
      <c r="AC48" t="str">
        <f t="shared" si="40"/>
        <v/>
      </c>
      <c r="AD48" t="str">
        <f t="shared" si="41"/>
        <v/>
      </c>
      <c r="AE48" t="str">
        <f t="shared" si="42"/>
        <v/>
      </c>
      <c r="AF48" s="8"/>
      <c r="AG48" s="42">
        <v>4</v>
      </c>
      <c r="AH48" s="1">
        <v>41396</v>
      </c>
      <c r="AI48" s="39" t="str">
        <f t="shared" si="19"/>
        <v/>
      </c>
      <c r="AJ48" s="39" t="str">
        <f t="shared" si="20"/>
        <v/>
      </c>
      <c r="AK48" s="39" t="str">
        <f t="shared" si="21"/>
        <v/>
      </c>
      <c r="AL48" s="39">
        <f t="shared" si="22"/>
        <v>0.33513949896393075</v>
      </c>
      <c r="AM48" s="39">
        <f t="shared" si="23"/>
        <v>0.38923254747929692</v>
      </c>
      <c r="AN48" s="39" t="str">
        <f t="shared" si="24"/>
        <v/>
      </c>
      <c r="AO48" s="39" t="str">
        <f t="shared" si="25"/>
        <v/>
      </c>
      <c r="AP48" s="39" t="str">
        <f t="shared" si="26"/>
        <v/>
      </c>
      <c r="AQ48" s="39" t="str">
        <f t="shared" si="27"/>
        <v/>
      </c>
      <c r="AR48" s="39" t="str">
        <f t="shared" si="28"/>
        <v/>
      </c>
      <c r="AS48" s="39" t="str">
        <f t="shared" si="29"/>
        <v/>
      </c>
      <c r="AT48" s="39" t="str">
        <f t="shared" si="30"/>
        <v/>
      </c>
    </row>
    <row r="49" spans="3:46">
      <c r="C49" s="42">
        <v>4</v>
      </c>
      <c r="D49" s="1">
        <v>41397</v>
      </c>
      <c r="E49" s="4">
        <v>0.31009009009008998</v>
      </c>
      <c r="F49" s="4">
        <v>0.21753312945973494</v>
      </c>
      <c r="G49" s="4"/>
      <c r="H49" s="4"/>
      <c r="I49" s="4"/>
      <c r="J49" s="4">
        <v>0.24625087596355985</v>
      </c>
      <c r="K49" s="4"/>
      <c r="L49" s="4">
        <v>0.20124525871323271</v>
      </c>
      <c r="M49" s="4">
        <v>0.19923515767036551</v>
      </c>
      <c r="N49" s="4">
        <v>0.21584126472011633</v>
      </c>
      <c r="O49" s="4"/>
      <c r="P49" s="4">
        <v>0.22020186455042773</v>
      </c>
      <c r="Q49" s="4"/>
      <c r="R49" s="42">
        <v>4</v>
      </c>
      <c r="S49" s="1">
        <v>41397</v>
      </c>
      <c r="T49">
        <f t="shared" si="31"/>
        <v>0.43380921074408541</v>
      </c>
      <c r="U49">
        <f t="shared" si="32"/>
        <v>0.34800129332460011</v>
      </c>
      <c r="V49" t="str">
        <f t="shared" si="33"/>
        <v/>
      </c>
      <c r="W49" t="str">
        <f t="shared" si="34"/>
        <v/>
      </c>
      <c r="X49" t="str">
        <f t="shared" si="35"/>
        <v/>
      </c>
      <c r="Y49">
        <f t="shared" si="36"/>
        <v>0.37476857435702204</v>
      </c>
      <c r="Z49" t="str">
        <f t="shared" si="37"/>
        <v/>
      </c>
      <c r="AA49">
        <f t="shared" si="38"/>
        <v>0.32930850893011271</v>
      </c>
      <c r="AB49">
        <f t="shared" si="39"/>
        <v>0.33422174609527477</v>
      </c>
      <c r="AC49">
        <f t="shared" si="40"/>
        <v>0.3639010280564956</v>
      </c>
      <c r="AD49" t="str">
        <f t="shared" si="41"/>
        <v/>
      </c>
      <c r="AE49">
        <f t="shared" si="42"/>
        <v>0.29850114695543623</v>
      </c>
      <c r="AF49" s="8"/>
      <c r="AG49" s="42">
        <v>4</v>
      </c>
      <c r="AH49" s="1">
        <v>41397</v>
      </c>
      <c r="AI49" s="39">
        <f t="shared" si="19"/>
        <v>0.43316448474901975</v>
      </c>
      <c r="AJ49" s="39">
        <f t="shared" si="20"/>
        <v>0.29087963508916875</v>
      </c>
      <c r="AK49" s="39" t="str">
        <f t="shared" si="21"/>
        <v/>
      </c>
      <c r="AL49" s="39" t="str">
        <f t="shared" si="22"/>
        <v/>
      </c>
      <c r="AM49" s="39" t="str">
        <f t="shared" si="23"/>
        <v/>
      </c>
      <c r="AN49" s="39">
        <f t="shared" si="24"/>
        <v>0.37476857435702204</v>
      </c>
      <c r="AO49" s="39" t="str">
        <f t="shared" si="25"/>
        <v/>
      </c>
      <c r="AP49" s="39">
        <f t="shared" si="26"/>
        <v>0.32888923677566062</v>
      </c>
      <c r="AQ49" s="39">
        <f t="shared" si="27"/>
        <v>0.32302959769403428</v>
      </c>
      <c r="AR49" s="39">
        <f t="shared" si="28"/>
        <v>0.35437107318708205</v>
      </c>
      <c r="AS49" s="39" t="str">
        <f t="shared" si="29"/>
        <v/>
      </c>
      <c r="AT49" s="39">
        <f t="shared" si="30"/>
        <v>0.29850114695543623</v>
      </c>
    </row>
    <row r="50" spans="3:46">
      <c r="C50" s="42">
        <v>4</v>
      </c>
      <c r="D50" s="1">
        <v>41425</v>
      </c>
      <c r="E50" s="4">
        <v>0.30464864864864838</v>
      </c>
      <c r="F50" s="4">
        <v>0.22757999098693091</v>
      </c>
      <c r="G50" s="4">
        <v>0.27175708296277457</v>
      </c>
      <c r="H50" s="4">
        <v>0.2268459487655039</v>
      </c>
      <c r="I50" s="4"/>
      <c r="J50" s="4">
        <v>0.21558092679650781</v>
      </c>
      <c r="K50" s="4">
        <v>0.33044798785117679</v>
      </c>
      <c r="L50" s="4">
        <v>0.23453522990406858</v>
      </c>
      <c r="M50" s="4">
        <v>0.23527175978715337</v>
      </c>
      <c r="N50" s="4"/>
      <c r="O50" s="4">
        <v>0.36733857893209415</v>
      </c>
      <c r="P50" s="4">
        <v>0.2215439519158528</v>
      </c>
      <c r="Q50" s="4"/>
      <c r="R50" s="42">
        <v>4</v>
      </c>
      <c r="S50" s="1">
        <v>41425</v>
      </c>
      <c r="T50">
        <f t="shared" si="31"/>
        <v>0.42619675393730344</v>
      </c>
      <c r="U50">
        <f t="shared" si="32"/>
        <v>0.36407388334342078</v>
      </c>
      <c r="V50">
        <f t="shared" si="33"/>
        <v>0.28125099385343533</v>
      </c>
      <c r="W50">
        <f t="shared" si="34"/>
        <v>0.36245551259522518</v>
      </c>
      <c r="X50" t="str">
        <f t="shared" si="35"/>
        <v/>
      </c>
      <c r="Y50">
        <f t="shared" si="36"/>
        <v>0.32809205765444055</v>
      </c>
      <c r="Z50">
        <f t="shared" si="37"/>
        <v>0.31710135254084959</v>
      </c>
      <c r="AA50">
        <f t="shared" si="38"/>
        <v>0.38378269055941505</v>
      </c>
      <c r="AB50">
        <f t="shared" si="39"/>
        <v>0.39467400875636927</v>
      </c>
      <c r="AC50" t="str">
        <f t="shared" si="40"/>
        <v/>
      </c>
      <c r="AD50">
        <f t="shared" si="41"/>
        <v>0.65262476899485433</v>
      </c>
      <c r="AE50">
        <f t="shared" si="42"/>
        <v>0.30032045315755079</v>
      </c>
      <c r="AF50" s="8"/>
      <c r="AG50" s="42">
        <v>4</v>
      </c>
      <c r="AH50" s="1">
        <v>41425</v>
      </c>
      <c r="AI50" s="39">
        <f t="shared" si="19"/>
        <v>0.42556334155353992</v>
      </c>
      <c r="AJ50" s="39">
        <f t="shared" si="20"/>
        <v>0.30431403665402607</v>
      </c>
      <c r="AK50" s="39">
        <f t="shared" si="21"/>
        <v>0.28125099385343533</v>
      </c>
      <c r="AL50" s="39">
        <f t="shared" si="22"/>
        <v>0.3487300598484217</v>
      </c>
      <c r="AM50" s="39" t="str">
        <f t="shared" si="23"/>
        <v/>
      </c>
      <c r="AN50" s="39">
        <f t="shared" si="24"/>
        <v>0.32809205765444055</v>
      </c>
      <c r="AO50" s="39">
        <f t="shared" si="25"/>
        <v>0.31710135254084959</v>
      </c>
      <c r="AP50" s="39">
        <f t="shared" si="26"/>
        <v>0.38329406244581099</v>
      </c>
      <c r="AQ50" s="39">
        <f t="shared" si="27"/>
        <v>0.38145748371656957</v>
      </c>
      <c r="AR50" s="39" t="str">
        <f t="shared" si="28"/>
        <v/>
      </c>
      <c r="AS50" s="39">
        <f t="shared" si="29"/>
        <v>0.45560891968906936</v>
      </c>
      <c r="AT50" s="39">
        <f t="shared" si="30"/>
        <v>0.30032045315755079</v>
      </c>
    </row>
    <row r="51" spans="3:46">
      <c r="C51" s="42">
        <v>4</v>
      </c>
      <c r="D51" s="1">
        <v>41528</v>
      </c>
      <c r="E51" s="4">
        <v>0.24764595103578138</v>
      </c>
      <c r="F51" s="4">
        <v>0.17070054119061942</v>
      </c>
      <c r="G51" s="4">
        <v>0.18413855970829521</v>
      </c>
      <c r="H51" s="4">
        <v>0.14201732673267339</v>
      </c>
      <c r="I51" s="4"/>
      <c r="J51" s="4">
        <v>0.1489041854577102</v>
      </c>
      <c r="K51" s="4">
        <v>0.17746523388116342</v>
      </c>
      <c r="L51" s="4">
        <v>0.16377342831454442</v>
      </c>
      <c r="M51" s="4">
        <v>0.20673915961874062</v>
      </c>
      <c r="N51" s="4">
        <v>0.19765252621544316</v>
      </c>
      <c r="O51" s="4">
        <v>0.17856898126998622</v>
      </c>
      <c r="P51" s="4">
        <v>0.14560118858113127</v>
      </c>
      <c r="Q51" s="4"/>
      <c r="R51" s="42">
        <v>4</v>
      </c>
      <c r="S51" s="1">
        <v>41528</v>
      </c>
      <c r="T51">
        <f t="shared" si="31"/>
        <v>0.34645123464470906</v>
      </c>
      <c r="U51">
        <f t="shared" si="32"/>
        <v>0.2730802855320496</v>
      </c>
      <c r="V51">
        <f t="shared" si="33"/>
        <v>0.19057149259948553</v>
      </c>
      <c r="W51">
        <f t="shared" si="34"/>
        <v>0.22691594554992744</v>
      </c>
      <c r="X51" t="str">
        <f t="shared" si="35"/>
        <v/>
      </c>
      <c r="Y51">
        <f t="shared" si="36"/>
        <v>0.22661689661578147</v>
      </c>
      <c r="Z51">
        <f t="shared" si="37"/>
        <v>0.17029749843124886</v>
      </c>
      <c r="AA51">
        <f t="shared" si="38"/>
        <v>0.26799132474214699</v>
      </c>
      <c r="AB51">
        <f t="shared" si="39"/>
        <v>0.34680988898739301</v>
      </c>
      <c r="AC51">
        <f t="shared" si="40"/>
        <v>0.33323543383157234</v>
      </c>
      <c r="AD51">
        <f t="shared" si="41"/>
        <v>0.31725102353737372</v>
      </c>
      <c r="AE51">
        <f t="shared" si="42"/>
        <v>0.19737399534866032</v>
      </c>
      <c r="AF51" s="8"/>
      <c r="AG51" s="42">
        <v>4</v>
      </c>
      <c r="AH51" s="1">
        <v>41528</v>
      </c>
      <c r="AI51" s="39">
        <f t="shared" si="19"/>
        <v>0.34593633982121075</v>
      </c>
      <c r="AJ51" s="39">
        <f t="shared" si="20"/>
        <v>0.22825631780487834</v>
      </c>
      <c r="AK51" s="39">
        <f t="shared" si="21"/>
        <v>0.19057149259948553</v>
      </c>
      <c r="AL51" s="39">
        <f t="shared" si="22"/>
        <v>0.2183231004146958</v>
      </c>
      <c r="AM51" s="39" t="str">
        <f t="shared" si="23"/>
        <v/>
      </c>
      <c r="AN51" s="39">
        <f t="shared" si="24"/>
        <v>0.22661689661578147</v>
      </c>
      <c r="AO51" s="39">
        <f t="shared" si="25"/>
        <v>0.17029749843124886</v>
      </c>
      <c r="AP51" s="39">
        <f t="shared" si="26"/>
        <v>0.26765012098623986</v>
      </c>
      <c r="AQ51" s="39">
        <f t="shared" si="27"/>
        <v>0.33519619900488018</v>
      </c>
      <c r="AR51" s="39">
        <f t="shared" si="28"/>
        <v>0.32450855921331401</v>
      </c>
      <c r="AS51" s="39">
        <f t="shared" si="29"/>
        <v>0.22147856313626063</v>
      </c>
      <c r="AT51" s="39">
        <f t="shared" si="30"/>
        <v>0.19737399534866032</v>
      </c>
    </row>
    <row r="52" spans="3:46">
      <c r="C52" s="42">
        <v>4</v>
      </c>
      <c r="D52" s="1">
        <v>41740</v>
      </c>
      <c r="E52" s="4">
        <v>0.3103139013452913</v>
      </c>
      <c r="F52" s="4">
        <v>0.21818781977223961</v>
      </c>
      <c r="G52" s="4">
        <v>0.27422948384701096</v>
      </c>
      <c r="H52" s="4">
        <v>0.22934648581997555</v>
      </c>
      <c r="I52" s="4"/>
      <c r="J52" s="4">
        <v>0.24271431610295671</v>
      </c>
      <c r="K52" s="4">
        <v>0.30137795275590556</v>
      </c>
      <c r="L52" s="4">
        <v>0.21085409252669057</v>
      </c>
      <c r="M52" s="4">
        <v>0.23941210597563323</v>
      </c>
      <c r="N52" s="4">
        <v>0.22087931336486247</v>
      </c>
      <c r="O52" s="4">
        <v>0.428900041823505</v>
      </c>
      <c r="P52" s="4">
        <v>0.22248017024569547</v>
      </c>
      <c r="Q52" s="4"/>
      <c r="R52" s="42">
        <v>4</v>
      </c>
      <c r="S52" s="1">
        <v>41740</v>
      </c>
      <c r="T52">
        <f t="shared" si="31"/>
        <v>0.43412231776387544</v>
      </c>
      <c r="U52">
        <f t="shared" si="32"/>
        <v>0.34904864218610254</v>
      </c>
      <c r="V52">
        <f t="shared" si="33"/>
        <v>0.28380976876489128</v>
      </c>
      <c r="W52">
        <f t="shared" si="34"/>
        <v>0.36645088233744078</v>
      </c>
      <c r="X52" t="str">
        <f t="shared" si="35"/>
        <v/>
      </c>
      <c r="Y52">
        <f t="shared" si="36"/>
        <v>0.36938629300715736</v>
      </c>
      <c r="Z52">
        <f t="shared" si="37"/>
        <v>0.28920544218272076</v>
      </c>
      <c r="AA52">
        <f t="shared" si="38"/>
        <v>0.3450319637627855</v>
      </c>
      <c r="AB52">
        <f t="shared" si="39"/>
        <v>0.40161953859524507</v>
      </c>
      <c r="AC52">
        <f t="shared" si="40"/>
        <v>0.37239500664580322</v>
      </c>
      <c r="AD52">
        <f t="shared" si="41"/>
        <v>0.761996715756589</v>
      </c>
      <c r="AE52">
        <f t="shared" si="42"/>
        <v>0.30158957159044558</v>
      </c>
      <c r="AF52" s="8"/>
      <c r="AG52" s="42">
        <v>4</v>
      </c>
      <c r="AH52" s="1">
        <v>41740</v>
      </c>
      <c r="AI52" s="39">
        <f t="shared" si="19"/>
        <v>0.43347712643006203</v>
      </c>
      <c r="AJ52" s="39">
        <f t="shared" si="20"/>
        <v>0.29175506992371897</v>
      </c>
      <c r="AK52" s="39">
        <f t="shared" si="21"/>
        <v>0.28380976876489128</v>
      </c>
      <c r="AL52" s="39">
        <f t="shared" si="22"/>
        <v>0.35257413306817537</v>
      </c>
      <c r="AM52" s="39" t="str">
        <f t="shared" si="23"/>
        <v/>
      </c>
      <c r="AN52" s="39">
        <f t="shared" si="24"/>
        <v>0.36938629300715736</v>
      </c>
      <c r="AO52" s="39">
        <f t="shared" si="25"/>
        <v>0.28920544218272076</v>
      </c>
      <c r="AP52" s="39">
        <f t="shared" si="26"/>
        <v>0.34459267266984756</v>
      </c>
      <c r="AQ52" s="39">
        <f t="shared" si="27"/>
        <v>0.38817042725132211</v>
      </c>
      <c r="AR52" s="39">
        <f t="shared" si="28"/>
        <v>0.36264260878673893</v>
      </c>
      <c r="AS52" s="39">
        <f t="shared" si="29"/>
        <v>0.53196341445510731</v>
      </c>
      <c r="AT52" s="39">
        <f t="shared" si="30"/>
        <v>0.30158957159044558</v>
      </c>
    </row>
    <row r="53" spans="3:46">
      <c r="C53" s="43">
        <v>4</v>
      </c>
      <c r="D53" s="1">
        <v>41806</v>
      </c>
      <c r="E53" s="4">
        <v>0.33851296475366499</v>
      </c>
      <c r="F53" s="4">
        <v>0.20718664880791188</v>
      </c>
      <c r="G53" s="4">
        <v>0.2718621921208445</v>
      </c>
      <c r="H53" s="4">
        <v>0.27313303535548533</v>
      </c>
      <c r="I53" s="4"/>
      <c r="J53" s="4">
        <v>0.22894504628561035</v>
      </c>
      <c r="K53" s="4">
        <v>0.32558697898028038</v>
      </c>
      <c r="L53" s="4">
        <v>0.2057216952562842</v>
      </c>
      <c r="M53" s="4">
        <v>0.2248981857725359</v>
      </c>
      <c r="N53" s="4">
        <v>0.21189965586499432</v>
      </c>
      <c r="O53" s="4">
        <v>0.33241091597209438</v>
      </c>
      <c r="P53" s="4">
        <v>0.23916490119813061</v>
      </c>
      <c r="Q53" s="4"/>
      <c r="R53" s="43">
        <v>4</v>
      </c>
      <c r="S53" s="1">
        <v>41806</v>
      </c>
      <c r="T53">
        <f t="shared" si="31"/>
        <v>0.50797573121954598</v>
      </c>
      <c r="U53">
        <f t="shared" si="32"/>
        <v>0.34228219592183506</v>
      </c>
      <c r="V53">
        <f t="shared" si="33"/>
        <v>0.44872147806021612</v>
      </c>
      <c r="W53">
        <f t="shared" si="34"/>
        <v>0.42078024668492364</v>
      </c>
      <c r="X53" t="str">
        <f t="shared" si="35"/>
        <v/>
      </c>
      <c r="Y53">
        <f t="shared" si="36"/>
        <v>0.33865761342534501</v>
      </c>
      <c r="Z53">
        <f t="shared" si="37"/>
        <v>0.33246352528775491</v>
      </c>
      <c r="AA53">
        <f t="shared" si="38"/>
        <v>0.33372648216351708</v>
      </c>
      <c r="AB53">
        <f t="shared" si="39"/>
        <v>0.36321786036922687</v>
      </c>
      <c r="AC53">
        <f t="shared" si="40"/>
        <v>0.34747146161538756</v>
      </c>
      <c r="AD53" t="str">
        <f t="shared" si="41"/>
        <v/>
      </c>
      <c r="AE53">
        <f t="shared" si="42"/>
        <v>0.3709699552687814</v>
      </c>
      <c r="AF53" s="8"/>
      <c r="AG53" s="43">
        <v>4</v>
      </c>
      <c r="AH53" s="1">
        <v>41806</v>
      </c>
      <c r="AI53" s="39">
        <f t="shared" si="19"/>
        <v>0.47286836517666103</v>
      </c>
      <c r="AJ53" s="39">
        <f t="shared" si="20"/>
        <v>0.27704459063440445</v>
      </c>
      <c r="AK53" s="39">
        <f t="shared" si="21"/>
        <v>0.28135977502980053</v>
      </c>
      <c r="AL53" s="39">
        <f t="shared" si="22"/>
        <v>0.419887153746622</v>
      </c>
      <c r="AM53" s="39" t="str">
        <f t="shared" si="23"/>
        <v/>
      </c>
      <c r="AN53" s="39">
        <f t="shared" si="24"/>
        <v>0.34843087670988626</v>
      </c>
      <c r="AO53" s="39">
        <f t="shared" si="25"/>
        <v>0.31243667748049325</v>
      </c>
      <c r="AP53" s="39">
        <f t="shared" si="26"/>
        <v>0.33620494601289924</v>
      </c>
      <c r="AQ53" s="39">
        <f t="shared" si="27"/>
        <v>0.3646383064198831</v>
      </c>
      <c r="AR53" s="39">
        <f t="shared" si="28"/>
        <v>0.34789968708820734</v>
      </c>
      <c r="AS53" s="39">
        <f t="shared" si="29"/>
        <v>0.41228824578998741</v>
      </c>
      <c r="AT53" s="39">
        <f t="shared" si="30"/>
        <v>0.32420705185616877</v>
      </c>
    </row>
    <row r="54" spans="3:46">
      <c r="C54" s="42">
        <v>5</v>
      </c>
      <c r="D54" s="1">
        <v>40830</v>
      </c>
      <c r="E54" s="4">
        <v>0.274597495527728</v>
      </c>
      <c r="F54" s="4">
        <v>0.158332925815443</v>
      </c>
      <c r="G54" s="4">
        <v>0.172938393721105</v>
      </c>
      <c r="H54" s="4">
        <v>0.122227828360434</v>
      </c>
      <c r="I54" s="4"/>
      <c r="J54" s="4">
        <v>0.15961700336700299</v>
      </c>
      <c r="K54" s="4">
        <v>0.22724685899400199</v>
      </c>
      <c r="L54" s="4">
        <v>0.13793424606500898</v>
      </c>
      <c r="M54" s="4">
        <v>0.16938166677397898</v>
      </c>
      <c r="N54" s="4">
        <v>0.18299290970927898</v>
      </c>
      <c r="O54" s="4">
        <v>0.25687663971005903</v>
      </c>
      <c r="P54" s="4">
        <v>0.166384258572851</v>
      </c>
      <c r="Q54" s="4"/>
      <c r="R54" s="42">
        <v>5</v>
      </c>
      <c r="S54" s="1">
        <v>40830</v>
      </c>
      <c r="T54">
        <f t="shared" si="31"/>
        <v>0.41206357837212915</v>
      </c>
      <c r="U54">
        <f t="shared" si="32"/>
        <v>0.2615735224574437</v>
      </c>
      <c r="V54">
        <f t="shared" si="33"/>
        <v>0.28544304391321768</v>
      </c>
      <c r="W54">
        <f t="shared" si="34"/>
        <v>0.18830038520359829</v>
      </c>
      <c r="X54" t="str">
        <f t="shared" si="35"/>
        <v/>
      </c>
      <c r="Y54">
        <f t="shared" si="36"/>
        <v>0.23610693613759132</v>
      </c>
      <c r="Z54">
        <f t="shared" si="37"/>
        <v>0.2320464168694262</v>
      </c>
      <c r="AA54">
        <f t="shared" si="38"/>
        <v>0.22376011753065816</v>
      </c>
      <c r="AB54">
        <f t="shared" si="39"/>
        <v>0.27355688255147764</v>
      </c>
      <c r="AC54">
        <f t="shared" si="40"/>
        <v>0.3000703967280014</v>
      </c>
      <c r="AD54" t="str">
        <f t="shared" si="41"/>
        <v/>
      </c>
      <c r="AE54">
        <f t="shared" si="42"/>
        <v>0.25807951188066031</v>
      </c>
      <c r="AF54" s="8"/>
      <c r="AG54" s="42">
        <v>5</v>
      </c>
      <c r="AH54" s="1">
        <v>40830</v>
      </c>
      <c r="AI54" s="39">
        <f t="shared" si="19"/>
        <v>0.35513673751002828</v>
      </c>
      <c r="AJ54" s="39">
        <f t="shared" si="20"/>
        <v>0.2615735224574437</v>
      </c>
      <c r="AK54" s="39">
        <f t="shared" si="21"/>
        <v>0.26270917901953394</v>
      </c>
      <c r="AL54" s="39">
        <f t="shared" si="22"/>
        <v>0.17451027099955657</v>
      </c>
      <c r="AM54" s="39" t="str">
        <f t="shared" si="23"/>
        <v/>
      </c>
      <c r="AN54" s="39">
        <f t="shared" si="24"/>
        <v>0.23610693613759132</v>
      </c>
      <c r="AO54" s="39">
        <f t="shared" si="25"/>
        <v>0.2320464168694262</v>
      </c>
      <c r="AP54" s="39">
        <f t="shared" si="26"/>
        <v>0.22376011753065816</v>
      </c>
      <c r="AQ54" s="39">
        <f t="shared" si="27"/>
        <v>0.27257756245476211</v>
      </c>
      <c r="AR54" s="39">
        <f t="shared" si="28"/>
        <v>0.29981799332635395</v>
      </c>
      <c r="AS54" s="39" t="str">
        <f t="shared" si="29"/>
        <v/>
      </c>
      <c r="AT54" s="39">
        <f t="shared" si="30"/>
        <v>0.25807951188066031</v>
      </c>
    </row>
    <row r="55" spans="3:46">
      <c r="C55" s="42">
        <v>5</v>
      </c>
      <c r="D55" s="1">
        <v>41003</v>
      </c>
      <c r="E55" s="4">
        <v>0.30387118876327529</v>
      </c>
      <c r="F55" s="4">
        <v>0.21039903264812568</v>
      </c>
      <c r="G55" s="4">
        <v>0.21690590111642769</v>
      </c>
      <c r="H55" s="4">
        <v>0.32304629168740678</v>
      </c>
      <c r="I55" s="4"/>
      <c r="J55" s="4">
        <v>0.2409424879655436</v>
      </c>
      <c r="K55" s="4">
        <v>0.44201210992081946</v>
      </c>
      <c r="L55" s="4">
        <v>0.19517758227435653</v>
      </c>
      <c r="M55" s="4">
        <v>0.2298965632298966</v>
      </c>
      <c r="N55" s="4">
        <v>0.23298816568047356</v>
      </c>
      <c r="O55" s="4">
        <v>0.36235438381361124</v>
      </c>
      <c r="P55" s="4">
        <v>0.21092278719397384</v>
      </c>
      <c r="Q55" s="4"/>
      <c r="R55" s="42">
        <v>5</v>
      </c>
      <c r="S55" s="1">
        <v>41003</v>
      </c>
      <c r="T55">
        <f t="shared" si="31"/>
        <v>0.4559919571201777</v>
      </c>
      <c r="U55">
        <f t="shared" si="32"/>
        <v>0.34758920678039484</v>
      </c>
      <c r="V55">
        <f t="shared" si="33"/>
        <v>0.35801350599601783</v>
      </c>
      <c r="W55">
        <f t="shared" si="34"/>
        <v>0.49767505468520362</v>
      </c>
      <c r="X55" t="str">
        <f t="shared" si="35"/>
        <v/>
      </c>
      <c r="Y55">
        <f t="shared" si="36"/>
        <v>0.3564043392552077</v>
      </c>
      <c r="Z55">
        <f t="shared" si="37"/>
        <v>0.45134760838533</v>
      </c>
      <c r="AA55">
        <f t="shared" si="38"/>
        <v>0.31662157872292623</v>
      </c>
      <c r="AB55">
        <f t="shared" si="39"/>
        <v>0.37129040199131241</v>
      </c>
      <c r="AC55">
        <f t="shared" si="40"/>
        <v>0.38205224136683569</v>
      </c>
      <c r="AD55" t="str">
        <f t="shared" si="41"/>
        <v/>
      </c>
      <c r="AE55">
        <f t="shared" si="42"/>
        <v>0.32716346143824038</v>
      </c>
      <c r="AF55" s="8"/>
      <c r="AG55" s="42">
        <v>5</v>
      </c>
      <c r="AH55" s="1">
        <v>41003</v>
      </c>
      <c r="AI55" s="39">
        <f t="shared" si="19"/>
        <v>0.39299638328196823</v>
      </c>
      <c r="AJ55" s="39">
        <f t="shared" si="20"/>
        <v>0.34758920678039484</v>
      </c>
      <c r="AK55" s="39">
        <f t="shared" si="21"/>
        <v>0.32949982927842375</v>
      </c>
      <c r="AL55" s="39">
        <f t="shared" si="22"/>
        <v>0.46122799254461844</v>
      </c>
      <c r="AM55" s="39" t="str">
        <f t="shared" si="23"/>
        <v/>
      </c>
      <c r="AN55" s="39">
        <f t="shared" si="24"/>
        <v>0.3564043392552077</v>
      </c>
      <c r="AO55" s="39">
        <f t="shared" si="25"/>
        <v>0.45134760838533</v>
      </c>
      <c r="AP55" s="39">
        <f t="shared" si="26"/>
        <v>0.31662157872292623</v>
      </c>
      <c r="AQ55" s="39">
        <f t="shared" si="27"/>
        <v>0.3699612007334378</v>
      </c>
      <c r="AR55" s="39">
        <f t="shared" si="28"/>
        <v>0.38173087915856885</v>
      </c>
      <c r="AS55" s="39" t="str">
        <f t="shared" si="29"/>
        <v/>
      </c>
      <c r="AT55" s="39">
        <f t="shared" si="30"/>
        <v>0.32716346143824038</v>
      </c>
    </row>
    <row r="56" spans="3:46">
      <c r="C56" s="42">
        <v>5</v>
      </c>
      <c r="D56" s="1">
        <v>41263</v>
      </c>
      <c r="E56" s="4"/>
      <c r="F56" s="4"/>
      <c r="G56" s="4"/>
      <c r="H56" s="4"/>
      <c r="I56" s="4"/>
      <c r="J56" s="4"/>
      <c r="K56" s="4">
        <v>0.21338634857521535</v>
      </c>
      <c r="L56" s="4"/>
      <c r="M56" s="4"/>
      <c r="N56" s="4"/>
      <c r="O56" s="4"/>
      <c r="P56" s="4"/>
      <c r="Q56" s="4"/>
      <c r="R56" s="42">
        <v>5</v>
      </c>
      <c r="S56" s="1">
        <v>41263</v>
      </c>
      <c r="T56" t="str">
        <f t="shared" si="31"/>
        <v/>
      </c>
      <c r="U56" t="str">
        <f t="shared" si="32"/>
        <v/>
      </c>
      <c r="V56" t="str">
        <f t="shared" si="33"/>
        <v/>
      </c>
      <c r="W56" t="str">
        <f t="shared" si="34"/>
        <v/>
      </c>
      <c r="X56" t="str">
        <f t="shared" si="35"/>
        <v/>
      </c>
      <c r="Y56" t="str">
        <f t="shared" si="36"/>
        <v/>
      </c>
      <c r="Z56">
        <f t="shared" si="37"/>
        <v>0.21789316611428297</v>
      </c>
      <c r="AA56" t="str">
        <f t="shared" si="38"/>
        <v/>
      </c>
      <c r="AB56" t="str">
        <f t="shared" si="39"/>
        <v/>
      </c>
      <c r="AC56" t="str">
        <f t="shared" si="40"/>
        <v/>
      </c>
      <c r="AD56" t="str">
        <f t="shared" si="41"/>
        <v/>
      </c>
      <c r="AE56" t="str">
        <f t="shared" si="42"/>
        <v/>
      </c>
      <c r="AF56" s="8"/>
      <c r="AG56" s="42">
        <v>5</v>
      </c>
      <c r="AH56" s="1">
        <v>41263</v>
      </c>
      <c r="AI56" s="39" t="str">
        <f t="shared" si="19"/>
        <v/>
      </c>
      <c r="AJ56" s="39" t="str">
        <f t="shared" si="20"/>
        <v/>
      </c>
      <c r="AK56" s="39" t="str">
        <f t="shared" si="21"/>
        <v/>
      </c>
      <c r="AL56" s="39" t="str">
        <f t="shared" si="22"/>
        <v/>
      </c>
      <c r="AM56" s="39" t="str">
        <f t="shared" si="23"/>
        <v/>
      </c>
      <c r="AN56" s="39" t="str">
        <f t="shared" si="24"/>
        <v/>
      </c>
      <c r="AO56" s="39">
        <f t="shared" si="25"/>
        <v>0.21789316611428297</v>
      </c>
      <c r="AP56" s="39" t="str">
        <f t="shared" si="26"/>
        <v/>
      </c>
      <c r="AQ56" s="39" t="str">
        <f t="shared" si="27"/>
        <v/>
      </c>
      <c r="AR56" s="39" t="str">
        <f t="shared" si="28"/>
        <v/>
      </c>
      <c r="AS56" s="39" t="str">
        <f t="shared" si="29"/>
        <v/>
      </c>
      <c r="AT56" s="39" t="str">
        <f t="shared" si="30"/>
        <v/>
      </c>
    </row>
    <row r="57" spans="3:46">
      <c r="C57" s="42">
        <v>5</v>
      </c>
      <c r="D57" s="1">
        <v>41266</v>
      </c>
      <c r="E57" s="4">
        <v>0.32164328657314611</v>
      </c>
      <c r="F57" s="4"/>
      <c r="G57" s="4">
        <v>0.1699404761904762</v>
      </c>
      <c r="H57" s="4"/>
      <c r="I57" s="4"/>
      <c r="J57" s="4"/>
      <c r="K57" s="4">
        <v>0.19047619047619047</v>
      </c>
      <c r="L57" s="4"/>
      <c r="M57" s="4"/>
      <c r="N57" s="4"/>
      <c r="O57" s="4">
        <v>0.23652365236523656</v>
      </c>
      <c r="P57" s="4"/>
      <c r="Q57" s="4"/>
      <c r="R57" s="42">
        <v>5</v>
      </c>
      <c r="S57" s="1">
        <v>41266</v>
      </c>
      <c r="T57">
        <f t="shared" si="31"/>
        <v>0.48266093385152364</v>
      </c>
      <c r="U57" t="str">
        <f t="shared" si="32"/>
        <v/>
      </c>
      <c r="V57">
        <f t="shared" si="33"/>
        <v>0.28049483844576367</v>
      </c>
      <c r="W57" t="str">
        <f t="shared" si="34"/>
        <v/>
      </c>
      <c r="X57" t="str">
        <f t="shared" si="35"/>
        <v/>
      </c>
      <c r="Y57" t="str">
        <f t="shared" si="36"/>
        <v/>
      </c>
      <c r="Z57">
        <f t="shared" si="37"/>
        <v>0.19449913496980362</v>
      </c>
      <c r="AA57" t="str">
        <f t="shared" si="38"/>
        <v/>
      </c>
      <c r="AB57" t="str">
        <f t="shared" si="39"/>
        <v/>
      </c>
      <c r="AC57" t="str">
        <f t="shared" si="40"/>
        <v/>
      </c>
      <c r="AD57" t="str">
        <f t="shared" si="41"/>
        <v/>
      </c>
      <c r="AE57" t="str">
        <f t="shared" si="42"/>
        <v/>
      </c>
      <c r="AF57" s="8"/>
      <c r="AG57" s="42">
        <v>5</v>
      </c>
      <c r="AH57" s="1">
        <v>41266</v>
      </c>
      <c r="AI57" s="39">
        <f t="shared" si="19"/>
        <v>0.41598102421169342</v>
      </c>
      <c r="AJ57" s="39" t="str">
        <f t="shared" si="20"/>
        <v/>
      </c>
      <c r="AK57" s="39">
        <f t="shared" si="21"/>
        <v>0.25815506910620911</v>
      </c>
      <c r="AL57" s="39" t="str">
        <f t="shared" si="22"/>
        <v/>
      </c>
      <c r="AM57" s="39" t="str">
        <f t="shared" si="23"/>
        <v/>
      </c>
      <c r="AN57" s="39" t="str">
        <f t="shared" si="24"/>
        <v/>
      </c>
      <c r="AO57" s="39">
        <f t="shared" si="25"/>
        <v>0.19449913496980362</v>
      </c>
      <c r="AP57" s="39" t="str">
        <f t="shared" si="26"/>
        <v/>
      </c>
      <c r="AQ57" s="39" t="str">
        <f t="shared" si="27"/>
        <v/>
      </c>
      <c r="AR57" s="39" t="str">
        <f t="shared" si="28"/>
        <v/>
      </c>
      <c r="AS57" s="39" t="str">
        <f t="shared" si="29"/>
        <v/>
      </c>
      <c r="AT57" s="39" t="str">
        <f t="shared" si="30"/>
        <v/>
      </c>
    </row>
    <row r="58" spans="3:46">
      <c r="C58" s="42">
        <v>5</v>
      </c>
      <c r="D58" s="1">
        <v>41348</v>
      </c>
      <c r="E58" s="4"/>
      <c r="F58" s="4"/>
      <c r="G58" s="4">
        <v>0.23710193406606725</v>
      </c>
      <c r="H58" s="4">
        <v>0.23286991062562049</v>
      </c>
      <c r="I58" s="4"/>
      <c r="J58" s="4"/>
      <c r="K58" s="4">
        <v>0.30537894643890956</v>
      </c>
      <c r="L58" s="4"/>
      <c r="M58" s="4"/>
      <c r="N58" s="4"/>
      <c r="O58" s="4"/>
      <c r="P58" s="4"/>
      <c r="Q58" s="4"/>
      <c r="R58" s="42">
        <v>5</v>
      </c>
      <c r="S58" s="1">
        <v>41348</v>
      </c>
      <c r="T58" t="str">
        <f t="shared" si="31"/>
        <v/>
      </c>
      <c r="U58" t="str">
        <f t="shared" si="32"/>
        <v/>
      </c>
      <c r="V58">
        <f t="shared" si="33"/>
        <v>0.39134801891750121</v>
      </c>
      <c r="W58">
        <f t="shared" si="34"/>
        <v>0.35875213084720264</v>
      </c>
      <c r="X58" t="str">
        <f t="shared" si="35"/>
        <v/>
      </c>
      <c r="Y58" t="str">
        <f t="shared" si="36"/>
        <v/>
      </c>
      <c r="Z58">
        <f t="shared" si="37"/>
        <v>0.311828689831879</v>
      </c>
      <c r="AA58" t="str">
        <f t="shared" si="38"/>
        <v/>
      </c>
      <c r="AB58" t="str">
        <f t="shared" si="39"/>
        <v/>
      </c>
      <c r="AC58" t="str">
        <f t="shared" si="40"/>
        <v/>
      </c>
      <c r="AD58" t="str">
        <f t="shared" si="41"/>
        <v/>
      </c>
      <c r="AE58" t="str">
        <f t="shared" si="42"/>
        <v/>
      </c>
      <c r="AF58" s="8"/>
      <c r="AG58" s="42">
        <v>5</v>
      </c>
      <c r="AH58" s="1">
        <v>41348</v>
      </c>
      <c r="AI58" s="39" t="str">
        <f t="shared" si="19"/>
        <v/>
      </c>
      <c r="AJ58" s="39" t="str">
        <f t="shared" si="20"/>
        <v/>
      </c>
      <c r="AK58" s="39">
        <f t="shared" si="21"/>
        <v>0.36017944368612814</v>
      </c>
      <c r="AL58" s="39">
        <f t="shared" si="22"/>
        <v>0.33247904144286028</v>
      </c>
      <c r="AM58" s="39" t="str">
        <f t="shared" si="23"/>
        <v/>
      </c>
      <c r="AN58" s="39" t="str">
        <f t="shared" si="24"/>
        <v/>
      </c>
      <c r="AO58" s="39">
        <f t="shared" si="25"/>
        <v>0.311828689831879</v>
      </c>
      <c r="AP58" s="39" t="str">
        <f t="shared" si="26"/>
        <v/>
      </c>
      <c r="AQ58" s="39" t="str">
        <f t="shared" si="27"/>
        <v/>
      </c>
      <c r="AR58" s="39" t="str">
        <f t="shared" si="28"/>
        <v/>
      </c>
      <c r="AS58" s="39" t="str">
        <f t="shared" si="29"/>
        <v/>
      </c>
      <c r="AT58" s="39" t="str">
        <f t="shared" si="30"/>
        <v/>
      </c>
    </row>
    <row r="59" spans="3:46">
      <c r="C59" s="42">
        <v>5</v>
      </c>
      <c r="D59" s="1">
        <v>41361</v>
      </c>
      <c r="E59" s="4">
        <v>0.26020577497510772</v>
      </c>
      <c r="F59" s="4"/>
      <c r="G59" s="4">
        <v>0.25870646766169164</v>
      </c>
      <c r="H59" s="4">
        <v>0.23560700876095123</v>
      </c>
      <c r="I59" s="4"/>
      <c r="J59" s="4"/>
      <c r="K59" s="4">
        <v>0.31287267625394571</v>
      </c>
      <c r="L59" s="4"/>
      <c r="M59" s="4"/>
      <c r="N59" s="4"/>
      <c r="O59" s="4"/>
      <c r="P59" s="4">
        <v>0.2139973082099596</v>
      </c>
      <c r="Q59" s="4"/>
      <c r="R59" s="42">
        <v>5</v>
      </c>
      <c r="S59" s="1">
        <v>41361</v>
      </c>
      <c r="T59">
        <f t="shared" si="31"/>
        <v>0.39046722747152302</v>
      </c>
      <c r="U59" t="str">
        <f t="shared" si="32"/>
        <v/>
      </c>
      <c r="V59">
        <f t="shared" si="33"/>
        <v>0.42700732914450379</v>
      </c>
      <c r="W59">
        <f t="shared" si="34"/>
        <v>0.36296881897900019</v>
      </c>
      <c r="X59" t="str">
        <f t="shared" si="35"/>
        <v/>
      </c>
      <c r="Y59" t="str">
        <f t="shared" si="36"/>
        <v/>
      </c>
      <c r="Z59">
        <f t="shared" si="37"/>
        <v>0.31948069065716928</v>
      </c>
      <c r="AA59" t="str">
        <f t="shared" si="38"/>
        <v/>
      </c>
      <c r="AB59" t="str">
        <f t="shared" si="39"/>
        <v/>
      </c>
      <c r="AC59" t="str">
        <f t="shared" si="40"/>
        <v/>
      </c>
      <c r="AD59" t="str">
        <f t="shared" si="41"/>
        <v/>
      </c>
      <c r="AE59">
        <f t="shared" si="42"/>
        <v>0.33193236740253279</v>
      </c>
      <c r="AF59" s="8"/>
      <c r="AG59" s="42">
        <v>5</v>
      </c>
      <c r="AH59" s="1">
        <v>41361</v>
      </c>
      <c r="AI59" s="39">
        <f t="shared" si="19"/>
        <v>0.33652393598250124</v>
      </c>
      <c r="AJ59" s="39" t="str">
        <f t="shared" si="20"/>
        <v/>
      </c>
      <c r="AK59" s="39">
        <f t="shared" si="21"/>
        <v>0.39299869892426542</v>
      </c>
      <c r="AL59" s="39">
        <f t="shared" si="22"/>
        <v>0.33638692186384278</v>
      </c>
      <c r="AM59" s="39" t="str">
        <f t="shared" si="23"/>
        <v/>
      </c>
      <c r="AN59" s="39" t="str">
        <f t="shared" si="24"/>
        <v/>
      </c>
      <c r="AO59" s="39">
        <f t="shared" si="25"/>
        <v>0.31948069065716928</v>
      </c>
      <c r="AP59" s="39" t="str">
        <f t="shared" si="26"/>
        <v/>
      </c>
      <c r="AQ59" s="39" t="str">
        <f t="shared" si="27"/>
        <v/>
      </c>
      <c r="AR59" s="39" t="str">
        <f t="shared" si="28"/>
        <v/>
      </c>
      <c r="AS59" s="39" t="str">
        <f t="shared" si="29"/>
        <v/>
      </c>
      <c r="AT59" s="39">
        <f t="shared" si="30"/>
        <v>0.33193236740253279</v>
      </c>
    </row>
    <row r="60" spans="3:46">
      <c r="C60" s="42">
        <v>5</v>
      </c>
      <c r="D60" s="1">
        <v>41396</v>
      </c>
      <c r="E60" s="4"/>
      <c r="F60" s="4"/>
      <c r="G60" s="4"/>
      <c r="H60" s="4">
        <v>0.22095165003837292</v>
      </c>
      <c r="I60" s="4"/>
      <c r="J60" s="4"/>
      <c r="K60" s="4"/>
      <c r="L60" s="4"/>
      <c r="M60" s="4"/>
      <c r="N60" s="4"/>
      <c r="O60" s="4"/>
      <c r="P60" s="4"/>
      <c r="Q60" s="4"/>
      <c r="R60" s="42">
        <v>5</v>
      </c>
      <c r="S60" s="1">
        <v>41396</v>
      </c>
      <c r="T60" t="str">
        <f t="shared" si="31"/>
        <v/>
      </c>
      <c r="U60" t="str">
        <f t="shared" si="32"/>
        <v/>
      </c>
      <c r="V60" t="str">
        <f t="shared" si="33"/>
        <v/>
      </c>
      <c r="W60">
        <f t="shared" si="34"/>
        <v>0.3403912298180386</v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s="8"/>
      <c r="AG60" s="42">
        <v>5</v>
      </c>
      <c r="AH60" s="1">
        <v>41396</v>
      </c>
      <c r="AI60" s="39" t="str">
        <f t="shared" si="19"/>
        <v/>
      </c>
      <c r="AJ60" s="39" t="str">
        <f t="shared" si="20"/>
        <v/>
      </c>
      <c r="AK60" s="39" t="str">
        <f t="shared" si="21"/>
        <v/>
      </c>
      <c r="AL60" s="39">
        <f t="shared" si="22"/>
        <v>0.31546279471064581</v>
      </c>
      <c r="AM60" s="39" t="str">
        <f t="shared" si="23"/>
        <v/>
      </c>
      <c r="AN60" s="39" t="str">
        <f t="shared" si="24"/>
        <v/>
      </c>
      <c r="AO60" s="39" t="str">
        <f t="shared" si="25"/>
        <v/>
      </c>
      <c r="AP60" s="39" t="str">
        <f t="shared" si="26"/>
        <v/>
      </c>
      <c r="AQ60" s="39" t="str">
        <f t="shared" si="27"/>
        <v/>
      </c>
      <c r="AR60" s="39" t="str">
        <f t="shared" si="28"/>
        <v/>
      </c>
      <c r="AS60" s="39" t="str">
        <f t="shared" si="29"/>
        <v/>
      </c>
      <c r="AT60" s="39" t="str">
        <f t="shared" si="30"/>
        <v/>
      </c>
    </row>
    <row r="61" spans="3:46">
      <c r="C61" s="42">
        <v>5</v>
      </c>
      <c r="D61" s="1">
        <v>41397</v>
      </c>
      <c r="E61" s="4">
        <v>0.32738589211618258</v>
      </c>
      <c r="F61" s="4">
        <v>0.21970768505421995</v>
      </c>
      <c r="G61" s="4"/>
      <c r="H61" s="4"/>
      <c r="I61" s="4"/>
      <c r="J61" s="4"/>
      <c r="K61" s="4"/>
      <c r="L61" s="4">
        <v>0.21741736598732647</v>
      </c>
      <c r="M61" s="4">
        <v>0.220427661510464</v>
      </c>
      <c r="N61" s="4"/>
      <c r="O61" s="4"/>
      <c r="P61" s="4">
        <v>0.19464144996059884</v>
      </c>
      <c r="Q61" s="4"/>
      <c r="R61" s="42">
        <v>5</v>
      </c>
      <c r="S61" s="1">
        <v>41397</v>
      </c>
      <c r="T61">
        <f t="shared" si="31"/>
        <v>0.49127834161300227</v>
      </c>
      <c r="U61">
        <f t="shared" si="32"/>
        <v>0.36296754319812902</v>
      </c>
      <c r="V61" t="str">
        <f t="shared" si="33"/>
        <v/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>
        <f t="shared" si="38"/>
        <v>0.35269946916302181</v>
      </c>
      <c r="AB61">
        <f t="shared" si="39"/>
        <v>0.35599781876853215</v>
      </c>
      <c r="AC61" t="str">
        <f t="shared" si="40"/>
        <v/>
      </c>
      <c r="AD61" t="str">
        <f t="shared" si="41"/>
        <v/>
      </c>
      <c r="AE61">
        <f t="shared" si="42"/>
        <v>0.30190939232139508</v>
      </c>
      <c r="AF61" s="8"/>
      <c r="AG61" s="42">
        <v>5</v>
      </c>
      <c r="AH61" s="1">
        <v>41397</v>
      </c>
      <c r="AI61" s="39">
        <f t="shared" si="19"/>
        <v>0.42340793170566593</v>
      </c>
      <c r="AJ61" s="39">
        <f t="shared" si="20"/>
        <v>0.36296754319812902</v>
      </c>
      <c r="AK61" s="39" t="str">
        <f t="shared" si="21"/>
        <v/>
      </c>
      <c r="AL61" s="39" t="str">
        <f t="shared" si="22"/>
        <v/>
      </c>
      <c r="AM61" s="39" t="str">
        <f t="shared" si="23"/>
        <v/>
      </c>
      <c r="AN61" s="39" t="str">
        <f t="shared" si="24"/>
        <v/>
      </c>
      <c r="AO61" s="39" t="str">
        <f t="shared" si="25"/>
        <v/>
      </c>
      <c r="AP61" s="39">
        <f t="shared" si="26"/>
        <v>0.35269946916302181</v>
      </c>
      <c r="AQ61" s="39">
        <f t="shared" si="27"/>
        <v>0.35472336420151424</v>
      </c>
      <c r="AR61" s="39" t="str">
        <f t="shared" si="28"/>
        <v/>
      </c>
      <c r="AS61" s="39" t="str">
        <f t="shared" si="29"/>
        <v/>
      </c>
      <c r="AT61" s="39">
        <f t="shared" si="30"/>
        <v>0.30190939232139508</v>
      </c>
    </row>
    <row r="62" spans="3:46">
      <c r="C62" s="42">
        <v>5</v>
      </c>
      <c r="D62" s="1">
        <v>41425</v>
      </c>
      <c r="E62" s="4">
        <v>0.30292344443180519</v>
      </c>
      <c r="F62" s="4">
        <v>0.20598717034925171</v>
      </c>
      <c r="G62" s="4">
        <v>0.25035858651714721</v>
      </c>
      <c r="H62" s="4">
        <v>0.22561629153269039</v>
      </c>
      <c r="I62" s="4"/>
      <c r="J62" s="4">
        <v>0.22689203593726168</v>
      </c>
      <c r="K62" s="4">
        <v>0.34957060397015316</v>
      </c>
      <c r="L62" s="4"/>
      <c r="M62" s="4">
        <v>0.23457693245549874</v>
      </c>
      <c r="N62" s="4"/>
      <c r="O62" s="4"/>
      <c r="P62" s="4"/>
      <c r="Q62" s="4"/>
      <c r="R62" s="42">
        <v>5</v>
      </c>
      <c r="S62" s="1">
        <v>41425</v>
      </c>
      <c r="T62">
        <f t="shared" si="31"/>
        <v>0.45456976308356811</v>
      </c>
      <c r="U62">
        <f t="shared" si="32"/>
        <v>0.34030060047080873</v>
      </c>
      <c r="V62">
        <f t="shared" si="33"/>
        <v>0.41322875428409833</v>
      </c>
      <c r="W62">
        <f t="shared" si="34"/>
        <v>0.34757743120931683</v>
      </c>
      <c r="X62" t="str">
        <f t="shared" si="35"/>
        <v/>
      </c>
      <c r="Y62">
        <f t="shared" si="36"/>
        <v>0.33562078167821058</v>
      </c>
      <c r="Z62">
        <f t="shared" si="37"/>
        <v>0.35695369543609962</v>
      </c>
      <c r="AA62" t="str">
        <f t="shared" si="38"/>
        <v/>
      </c>
      <c r="AB62">
        <f t="shared" si="39"/>
        <v>0.37884935001048664</v>
      </c>
      <c r="AC62" t="str">
        <f t="shared" si="40"/>
        <v/>
      </c>
      <c r="AD62" t="str">
        <f t="shared" si="41"/>
        <v/>
      </c>
      <c r="AE62" t="str">
        <f t="shared" si="42"/>
        <v/>
      </c>
      <c r="AF62" s="8"/>
      <c r="AG62" s="42">
        <v>5</v>
      </c>
      <c r="AH62" s="1">
        <v>41425</v>
      </c>
      <c r="AI62" s="39">
        <f t="shared" si="19"/>
        <v>0.39177066624028484</v>
      </c>
      <c r="AJ62" s="39">
        <f t="shared" si="20"/>
        <v>0.34030060047080873</v>
      </c>
      <c r="AK62" s="39">
        <f t="shared" si="21"/>
        <v>0.38031750676763748</v>
      </c>
      <c r="AL62" s="39">
        <f t="shared" si="22"/>
        <v>0.32212271710482149</v>
      </c>
      <c r="AM62" s="39" t="str">
        <f t="shared" si="23"/>
        <v/>
      </c>
      <c r="AN62" s="39">
        <f t="shared" si="24"/>
        <v>0.33562078167821058</v>
      </c>
      <c r="AO62" s="39">
        <f t="shared" si="25"/>
        <v>0.35695369543609962</v>
      </c>
      <c r="AP62" s="39" t="str">
        <f t="shared" si="26"/>
        <v/>
      </c>
      <c r="AQ62" s="39">
        <f t="shared" si="27"/>
        <v>0.37749308809291976</v>
      </c>
      <c r="AR62" s="39" t="str">
        <f t="shared" si="28"/>
        <v/>
      </c>
      <c r="AS62" s="39" t="str">
        <f t="shared" si="29"/>
        <v/>
      </c>
      <c r="AT62" s="39" t="str">
        <f t="shared" si="30"/>
        <v/>
      </c>
    </row>
    <row r="63" spans="3:46">
      <c r="C63" s="42">
        <v>5</v>
      </c>
      <c r="D63" s="1">
        <v>41528</v>
      </c>
      <c r="E63" s="4">
        <v>0.23283582089552235</v>
      </c>
      <c r="F63" s="4">
        <v>0.19288537549407136</v>
      </c>
      <c r="G63" s="4">
        <v>0.23504490764277192</v>
      </c>
      <c r="H63" s="4">
        <v>0.15857519788918223</v>
      </c>
      <c r="I63" s="4"/>
      <c r="J63" s="4">
        <v>0.16586110404477247</v>
      </c>
      <c r="K63" s="4">
        <v>0.21817718940936881</v>
      </c>
      <c r="L63" s="4">
        <v>0.16423284656931403</v>
      </c>
      <c r="M63" s="4">
        <v>0.2115678985348789</v>
      </c>
      <c r="N63" s="4">
        <v>0.21383189251119672</v>
      </c>
      <c r="O63" s="4">
        <v>1.6757504270723197E-2</v>
      </c>
      <c r="P63" s="4">
        <v>0.15751934235976794</v>
      </c>
      <c r="Q63" s="4"/>
      <c r="R63" s="42">
        <v>5</v>
      </c>
      <c r="S63" s="1">
        <v>41528</v>
      </c>
      <c r="T63">
        <f t="shared" si="31"/>
        <v>0.34939561756393755</v>
      </c>
      <c r="U63">
        <f t="shared" si="32"/>
        <v>0.31865581235655999</v>
      </c>
      <c r="V63">
        <f t="shared" si="33"/>
        <v>0.38795279897217061</v>
      </c>
      <c r="W63">
        <f t="shared" si="34"/>
        <v>0.24429601054693742</v>
      </c>
      <c r="X63" t="str">
        <f t="shared" si="35"/>
        <v/>
      </c>
      <c r="Y63">
        <f t="shared" si="36"/>
        <v>0.24534326716037744</v>
      </c>
      <c r="Z63">
        <f t="shared" si="37"/>
        <v>0.22278519170389249</v>
      </c>
      <c r="AA63">
        <f t="shared" si="38"/>
        <v>0.2664223142483732</v>
      </c>
      <c r="AB63">
        <f t="shared" si="39"/>
        <v>0.34168901436303439</v>
      </c>
      <c r="AC63">
        <f t="shared" si="40"/>
        <v>0.35063992873206151</v>
      </c>
      <c r="AD63" t="str">
        <f t="shared" si="41"/>
        <v/>
      </c>
      <c r="AE63">
        <f t="shared" si="42"/>
        <v>0.24432909300835037</v>
      </c>
      <c r="AF63" s="8"/>
      <c r="AG63" s="42">
        <v>5</v>
      </c>
      <c r="AH63" s="1">
        <v>41528</v>
      </c>
      <c r="AI63" s="39">
        <f t="shared" si="19"/>
        <v>0.30112639465044011</v>
      </c>
      <c r="AJ63" s="39">
        <f t="shared" si="20"/>
        <v>0.31865581235655999</v>
      </c>
      <c r="AK63" s="39">
        <f t="shared" si="21"/>
        <v>0.35705463310325147</v>
      </c>
      <c r="AL63" s="39">
        <f t="shared" si="22"/>
        <v>0.22640507590338113</v>
      </c>
      <c r="AM63" s="39" t="str">
        <f t="shared" si="23"/>
        <v/>
      </c>
      <c r="AN63" s="39">
        <f t="shared" si="24"/>
        <v>0.24534326716037744</v>
      </c>
      <c r="AO63" s="39">
        <f t="shared" si="25"/>
        <v>0.22278519170389249</v>
      </c>
      <c r="AP63" s="39">
        <f t="shared" si="26"/>
        <v>0.2664223142483732</v>
      </c>
      <c r="AQ63" s="39">
        <f t="shared" si="27"/>
        <v>0.34046578460741062</v>
      </c>
      <c r="AR63" s="39">
        <f t="shared" si="28"/>
        <v>0.35034498890550608</v>
      </c>
      <c r="AS63" s="39" t="str">
        <f t="shared" si="29"/>
        <v/>
      </c>
      <c r="AT63" s="39">
        <f t="shared" si="30"/>
        <v>0.24432909300835037</v>
      </c>
    </row>
    <row r="64" spans="3:46">
      <c r="C64" s="42">
        <v>5</v>
      </c>
      <c r="D64" s="1">
        <v>41740</v>
      </c>
      <c r="E64" s="4">
        <v>0.39585775693630337</v>
      </c>
      <c r="F64" s="4"/>
      <c r="G64" s="4">
        <v>0.28092986603624914</v>
      </c>
      <c r="H64" s="4">
        <v>0.24565469293163397</v>
      </c>
      <c r="I64" s="4"/>
      <c r="J64" s="4">
        <v>0.23710122095313099</v>
      </c>
      <c r="K64" s="4">
        <v>0.31805929919137482</v>
      </c>
      <c r="L64" s="4">
        <v>0.22958893729873095</v>
      </c>
      <c r="M64" s="4">
        <v>0.24404873477038413</v>
      </c>
      <c r="N64" s="4">
        <v>0.21554924656038413</v>
      </c>
      <c r="O64" s="4">
        <v>0.33948397185301005</v>
      </c>
      <c r="P64" s="4"/>
      <c r="Q64" s="4"/>
      <c r="R64" s="42">
        <v>5</v>
      </c>
      <c r="S64" s="1">
        <v>41740</v>
      </c>
      <c r="T64">
        <f t="shared" si="31"/>
        <v>0.59402786444229061</v>
      </c>
      <c r="U64" t="str">
        <f t="shared" si="32"/>
        <v/>
      </c>
      <c r="V64">
        <f t="shared" si="33"/>
        <v>0.46368810512279718</v>
      </c>
      <c r="W64">
        <f t="shared" si="34"/>
        <v>0.37844796824576493</v>
      </c>
      <c r="X64" t="str">
        <f t="shared" si="35"/>
        <v/>
      </c>
      <c r="Y64">
        <f t="shared" si="36"/>
        <v>0.35072230184029762</v>
      </c>
      <c r="Z64">
        <f t="shared" si="37"/>
        <v>0.3247768574495779</v>
      </c>
      <c r="AA64">
        <f t="shared" si="38"/>
        <v>0.372444473067919</v>
      </c>
      <c r="AB64">
        <f t="shared" si="39"/>
        <v>0.39414661778894949</v>
      </c>
      <c r="AC64">
        <f t="shared" si="40"/>
        <v>0.35345603298266226</v>
      </c>
      <c r="AD64" t="str">
        <f t="shared" si="41"/>
        <v/>
      </c>
      <c r="AE64" t="str">
        <f t="shared" si="42"/>
        <v/>
      </c>
      <c r="AF64" s="8"/>
      <c r="AG64" s="42">
        <v>5</v>
      </c>
      <c r="AH64" s="1">
        <v>41740</v>
      </c>
      <c r="AI64" s="39">
        <f t="shared" si="19"/>
        <v>0.51196254374505334</v>
      </c>
      <c r="AJ64" s="39" t="str">
        <f t="shared" si="20"/>
        <v/>
      </c>
      <c r="AK64" s="39">
        <f t="shared" si="21"/>
        <v>0.42675806615546202</v>
      </c>
      <c r="AL64" s="39">
        <f t="shared" si="22"/>
        <v>0.35073246093677124</v>
      </c>
      <c r="AM64" s="39" t="str">
        <f t="shared" si="23"/>
        <v/>
      </c>
      <c r="AN64" s="39">
        <f t="shared" si="24"/>
        <v>0.35072230184029762</v>
      </c>
      <c r="AO64" s="39">
        <f t="shared" si="25"/>
        <v>0.3247768574495779</v>
      </c>
      <c r="AP64" s="39">
        <f t="shared" si="26"/>
        <v>0.372444473067919</v>
      </c>
      <c r="AQ64" s="39">
        <f t="shared" si="27"/>
        <v>0.39273559241004846</v>
      </c>
      <c r="AR64" s="39">
        <f t="shared" si="28"/>
        <v>0.35315872439764218</v>
      </c>
      <c r="AS64" s="39" t="str">
        <f t="shared" si="29"/>
        <v/>
      </c>
      <c r="AT64" s="39" t="str">
        <f t="shared" si="30"/>
        <v/>
      </c>
    </row>
    <row r="65" spans="3:46">
      <c r="C65" s="43">
        <v>5</v>
      </c>
      <c r="D65" s="1">
        <v>41806</v>
      </c>
      <c r="E65" s="4">
        <v>0.28042510571959911</v>
      </c>
      <c r="F65" s="4">
        <v>0.19951870773078034</v>
      </c>
      <c r="G65" s="4">
        <v>0.24932911300571731</v>
      </c>
      <c r="H65" s="4">
        <v>0.21721675845746979</v>
      </c>
      <c r="I65" s="4"/>
      <c r="J65" s="4">
        <v>0.21952448705811498</v>
      </c>
      <c r="K65" s="4">
        <v>0.33964294366018194</v>
      </c>
      <c r="L65" s="4">
        <v>0.21018071116284986</v>
      </c>
      <c r="M65" s="4">
        <v>0.23279541833915079</v>
      </c>
      <c r="N65" s="4">
        <v>0.2065875329509555</v>
      </c>
      <c r="O65" s="4">
        <v>0.26574903693562191</v>
      </c>
      <c r="P65" s="4">
        <v>0.19047247013342003</v>
      </c>
      <c r="Q65" s="4"/>
      <c r="R65" s="43">
        <v>5</v>
      </c>
      <c r="S65" s="1">
        <v>41806</v>
      </c>
      <c r="T65">
        <f t="shared" si="31"/>
        <v>0.42080854490725844</v>
      </c>
      <c r="U65">
        <f t="shared" si="32"/>
        <v>0.32961439263826942</v>
      </c>
      <c r="V65">
        <f t="shared" si="33"/>
        <v>0.4115295592909699</v>
      </c>
      <c r="W65">
        <f t="shared" si="34"/>
        <v>0.33463737218339384</v>
      </c>
      <c r="X65" t="str">
        <f t="shared" si="35"/>
        <v/>
      </c>
      <c r="Y65">
        <f t="shared" si="36"/>
        <v>0.32472263576640181</v>
      </c>
      <c r="Z65">
        <f t="shared" si="37"/>
        <v>0.34681635838764147</v>
      </c>
      <c r="AA65">
        <f t="shared" si="38"/>
        <v>0.34096000068257987</v>
      </c>
      <c r="AB65">
        <f t="shared" si="39"/>
        <v>0.37597214696265085</v>
      </c>
      <c r="AC65">
        <f t="shared" si="40"/>
        <v>0.33876068242281698</v>
      </c>
      <c r="AD65" t="str">
        <f t="shared" si="41"/>
        <v/>
      </c>
      <c r="AE65">
        <f t="shared" si="42"/>
        <v>0.29544286545120124</v>
      </c>
      <c r="AF65" s="8"/>
      <c r="AG65" s="43">
        <v>5</v>
      </c>
      <c r="AH65" s="1">
        <v>41806</v>
      </c>
      <c r="AI65" s="39">
        <f t="shared" si="19"/>
        <v>0.36267358145335665</v>
      </c>
      <c r="AJ65" s="39">
        <f t="shared" si="20"/>
        <v>0.32961439263826942</v>
      </c>
      <c r="AK65" s="39">
        <f t="shared" si="21"/>
        <v>0.3787536426933229</v>
      </c>
      <c r="AL65" s="39">
        <f t="shared" si="22"/>
        <v>0.31013031886876663</v>
      </c>
      <c r="AM65" s="39" t="str">
        <f t="shared" si="23"/>
        <v/>
      </c>
      <c r="AN65" s="39">
        <f t="shared" si="24"/>
        <v>0.32472263576640181</v>
      </c>
      <c r="AO65" s="39">
        <f t="shared" si="25"/>
        <v>0.34681635838764147</v>
      </c>
      <c r="AP65" s="39">
        <f t="shared" si="26"/>
        <v>0.34096000068257987</v>
      </c>
      <c r="AQ65" s="39">
        <f t="shared" si="27"/>
        <v>0.37462618528955527</v>
      </c>
      <c r="AR65" s="39">
        <f t="shared" si="28"/>
        <v>0.33847573479212673</v>
      </c>
      <c r="AS65" s="39" t="str">
        <f t="shared" si="29"/>
        <v/>
      </c>
      <c r="AT65" s="39">
        <f t="shared" si="30"/>
        <v>0.29544286545120124</v>
      </c>
    </row>
    <row r="66" spans="3:46">
      <c r="C66" s="42"/>
      <c r="D66" s="1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2"/>
      <c r="S66" s="1"/>
      <c r="T66" t="str">
        <f t="shared" si="31"/>
        <v/>
      </c>
      <c r="U66" t="str">
        <f t="shared" si="32"/>
        <v/>
      </c>
      <c r="V66" t="str">
        <f t="shared" si="33"/>
        <v/>
      </c>
      <c r="W66" t="str">
        <f t="shared" si="34"/>
        <v/>
      </c>
      <c r="X66" t="str">
        <f t="shared" si="35"/>
        <v/>
      </c>
      <c r="Y66" t="str">
        <f t="shared" si="36"/>
        <v/>
      </c>
      <c r="Z66" t="str">
        <f t="shared" si="37"/>
        <v/>
      </c>
      <c r="AA66" t="str">
        <f t="shared" si="38"/>
        <v/>
      </c>
      <c r="AB66" t="str">
        <f t="shared" si="39"/>
        <v/>
      </c>
      <c r="AC66" t="str">
        <f t="shared" si="40"/>
        <v/>
      </c>
      <c r="AD66" t="str">
        <f t="shared" si="41"/>
        <v/>
      </c>
      <c r="AE66" t="str">
        <f t="shared" si="42"/>
        <v/>
      </c>
      <c r="AF66" s="8"/>
    </row>
    <row r="67" spans="3:46">
      <c r="C67" s="42"/>
      <c r="E67">
        <f t="shared" ref="E67:P67" si="43">MAX(E6:E17)</f>
        <v>0.32332033937170396</v>
      </c>
      <c r="F67">
        <f t="shared" si="43"/>
        <v>0.25219941542419438</v>
      </c>
      <c r="G67">
        <f t="shared" si="43"/>
        <v>0.2496899545266639</v>
      </c>
      <c r="H67">
        <f t="shared" si="43"/>
        <v>0.28115322285044675</v>
      </c>
      <c r="I67">
        <f t="shared" si="43"/>
        <v>0.28813034456697628</v>
      </c>
      <c r="J67">
        <f t="shared" si="43"/>
        <v>0.26760340999636406</v>
      </c>
      <c r="K67">
        <f t="shared" si="43"/>
        <v>0.27432088162886431</v>
      </c>
      <c r="L67">
        <f t="shared" si="43"/>
        <v>0.27663088356729987</v>
      </c>
      <c r="M67">
        <f t="shared" si="43"/>
        <v>0.25537634408602183</v>
      </c>
      <c r="N67">
        <f t="shared" si="43"/>
        <v>0.27683434796539547</v>
      </c>
      <c r="O67">
        <f t="shared" si="43"/>
        <v>0.29068068945369563</v>
      </c>
      <c r="P67">
        <f t="shared" si="43"/>
        <v>0.26334070097884421</v>
      </c>
      <c r="Q67" s="4"/>
      <c r="R67" s="42"/>
      <c r="S67" s="1"/>
      <c r="T67">
        <f t="shared" ref="T67:AE67" si="44">MAX(T6:T17)</f>
        <v>0.47179308168524203</v>
      </c>
      <c r="U67">
        <f t="shared" si="44"/>
        <v>0.37537973862372803</v>
      </c>
      <c r="V67">
        <f t="shared" si="44"/>
        <v>0.37041635996583361</v>
      </c>
      <c r="W67">
        <f t="shared" si="44"/>
        <v>0.36673872081475462</v>
      </c>
      <c r="X67">
        <f t="shared" si="44"/>
        <v>0.45774545358589291</v>
      </c>
      <c r="Y67">
        <f t="shared" si="44"/>
        <v>0.38524967868444504</v>
      </c>
      <c r="Z67">
        <f t="shared" si="44"/>
        <v>0.37824500394342536</v>
      </c>
      <c r="AA67">
        <f t="shared" si="44"/>
        <v>0.37247233561213672</v>
      </c>
      <c r="AB67">
        <f t="shared" si="44"/>
        <v>0.37655068313762996</v>
      </c>
      <c r="AC67">
        <f t="shared" si="44"/>
        <v>0.36352228164464018</v>
      </c>
      <c r="AD67">
        <f t="shared" si="44"/>
        <v>0.43447755894418538</v>
      </c>
      <c r="AE67">
        <f t="shared" si="44"/>
        <v>0.34345073126733361</v>
      </c>
      <c r="AF67" s="8"/>
      <c r="AI67">
        <f>MAX(AI6:AI17)</f>
        <v>0.41811436285349296</v>
      </c>
      <c r="AJ67">
        <f t="shared" ref="AJ67:AT67" si="45">MAX(AJ6:AJ17)</f>
        <v>0.28541276734285526</v>
      </c>
      <c r="AK67">
        <f t="shared" si="45"/>
        <v>0.31627311448831552</v>
      </c>
      <c r="AL67">
        <f t="shared" si="45"/>
        <v>0.33197660928491896</v>
      </c>
      <c r="AM67">
        <f t="shared" si="45"/>
        <v>0.33676505060194528</v>
      </c>
      <c r="AN67">
        <f t="shared" si="45"/>
        <v>0.35680309376354075</v>
      </c>
      <c r="AO67">
        <f t="shared" si="45"/>
        <v>0.344521146708406</v>
      </c>
      <c r="AP67">
        <f t="shared" si="45"/>
        <v>0.31788739630089097</v>
      </c>
      <c r="AQ67">
        <f t="shared" si="45"/>
        <v>0.29689234337648501</v>
      </c>
      <c r="AR67">
        <f t="shared" si="45"/>
        <v>0.31637718117155628</v>
      </c>
      <c r="AS67">
        <f t="shared" si="45"/>
        <v>0.36620268541622131</v>
      </c>
      <c r="AT67">
        <f t="shared" si="45"/>
        <v>0.32467227296655987</v>
      </c>
    </row>
    <row r="68" spans="3:46">
      <c r="C68" s="42"/>
      <c r="E68">
        <f t="shared" ref="E68:P68" si="46">MAX(E18:E29)</f>
        <v>0.33890746934225208</v>
      </c>
      <c r="F68">
        <f t="shared" si="46"/>
        <v>0.24864130434782639</v>
      </c>
      <c r="G68">
        <f t="shared" si="46"/>
        <v>0.28054523112508029</v>
      </c>
      <c r="H68">
        <f t="shared" si="46"/>
        <v>0.26158694846125324</v>
      </c>
      <c r="I68">
        <f t="shared" si="46"/>
        <v>0.27776296493800839</v>
      </c>
      <c r="J68">
        <f t="shared" si="46"/>
        <v>0.24568868980963043</v>
      </c>
      <c r="K68">
        <f t="shared" si="46"/>
        <v>0.3128153380423816</v>
      </c>
      <c r="L68">
        <f t="shared" si="46"/>
        <v>0.23730747290359383</v>
      </c>
      <c r="M68">
        <f t="shared" si="46"/>
        <v>0.28031337597929995</v>
      </c>
      <c r="N68">
        <f t="shared" si="46"/>
        <v>0.29282737423796429</v>
      </c>
      <c r="O68">
        <f t="shared" si="46"/>
        <v>0.32338200043582488</v>
      </c>
      <c r="P68">
        <f t="shared" si="46"/>
        <v>0.2588806099462832</v>
      </c>
      <c r="Q68" s="4"/>
      <c r="R68" s="42"/>
      <c r="S68" s="1"/>
      <c r="T68">
        <f t="shared" ref="T68:AE68" si="47">MAX(T18:T29)</f>
        <v>0.48518392193306381</v>
      </c>
      <c r="U68">
        <f t="shared" si="47"/>
        <v>0.38381933163646087</v>
      </c>
      <c r="V68">
        <f t="shared" si="47"/>
        <v>0.38325215246915539</v>
      </c>
      <c r="W68">
        <f t="shared" si="47"/>
        <v>0.38732978452223493</v>
      </c>
      <c r="X68">
        <f t="shared" si="47"/>
        <v>0.44004520389014523</v>
      </c>
      <c r="Y68">
        <f t="shared" si="47"/>
        <v>0.36591551639367348</v>
      </c>
      <c r="Z68">
        <f t="shared" si="47"/>
        <v>0.34933000552906329</v>
      </c>
      <c r="AA68">
        <f t="shared" si="47"/>
        <v>0.33522762128848416</v>
      </c>
      <c r="AB68">
        <f t="shared" si="47"/>
        <v>0.40612693436856029</v>
      </c>
      <c r="AC68">
        <f t="shared" si="47"/>
        <v>0.47925928149532232</v>
      </c>
      <c r="AD68">
        <f t="shared" si="47"/>
        <v>0.46978076807277575</v>
      </c>
      <c r="AE68">
        <f t="shared" si="47"/>
        <v>0.31344775518600776</v>
      </c>
      <c r="AF68" s="8"/>
      <c r="AI68">
        <f>MAX(AI18:AI29)</f>
        <v>0.43914547891397421</v>
      </c>
      <c r="AJ68">
        <f t="shared" ref="AJ68:AT68" si="48">MAX(AJ18:AJ29)</f>
        <v>0.33264252583788173</v>
      </c>
      <c r="AK68">
        <f t="shared" si="48"/>
        <v>0.35944412605529241</v>
      </c>
      <c r="AL68">
        <f t="shared" si="48"/>
        <v>0.27081594526194963</v>
      </c>
      <c r="AM68">
        <f t="shared" si="48"/>
        <v>0.37111148396431859</v>
      </c>
      <c r="AN68">
        <f t="shared" si="48"/>
        <v>0.32344251510694</v>
      </c>
      <c r="AO68">
        <f t="shared" si="48"/>
        <v>0.38311101059844227</v>
      </c>
      <c r="AP68">
        <f t="shared" si="48"/>
        <v>0.29757243188233867</v>
      </c>
      <c r="AQ68">
        <f t="shared" si="48"/>
        <v>0.34773557189356236</v>
      </c>
      <c r="AR68">
        <f t="shared" si="48"/>
        <v>0.36036826019789703</v>
      </c>
      <c r="AS68">
        <f t="shared" si="48"/>
        <v>0.40088327422961023</v>
      </c>
      <c r="AT68">
        <f t="shared" si="48"/>
        <v>0.32182486810073041</v>
      </c>
    </row>
    <row r="69" spans="3:46">
      <c r="C69" s="42"/>
      <c r="E69">
        <f t="shared" ref="E69:P69" si="49">MAX(E30:E41)</f>
        <v>0.31089743589743585</v>
      </c>
      <c r="F69">
        <f t="shared" si="49"/>
        <v>0.22461053046736343</v>
      </c>
      <c r="G69">
        <f t="shared" si="49"/>
        <v>0.29589778076664414</v>
      </c>
      <c r="H69">
        <f t="shared" si="49"/>
        <v>0.22731577950369386</v>
      </c>
      <c r="I69">
        <f t="shared" si="49"/>
        <v>0.25724156258304531</v>
      </c>
      <c r="J69">
        <f t="shared" si="49"/>
        <v>0.23882640626719756</v>
      </c>
      <c r="K69">
        <f t="shared" si="49"/>
        <v>0.38565948657421067</v>
      </c>
      <c r="L69">
        <f t="shared" si="49"/>
        <v>0.30272596843615485</v>
      </c>
      <c r="M69">
        <f t="shared" si="49"/>
        <v>0.24344497607655499</v>
      </c>
      <c r="N69">
        <f t="shared" si="49"/>
        <v>0.26411657559198565</v>
      </c>
      <c r="O69">
        <f t="shared" si="49"/>
        <v>0.40196956132497785</v>
      </c>
      <c r="P69">
        <f t="shared" si="49"/>
        <v>0.24078431372549017</v>
      </c>
      <c r="Q69" s="4"/>
      <c r="R69" s="42"/>
      <c r="S69" s="1"/>
      <c r="T69">
        <f t="shared" ref="T69:AE69" si="50">MAX(T30:T41)</f>
        <v>0.45395806906614017</v>
      </c>
      <c r="U69">
        <f t="shared" si="50"/>
        <v>0.35895033806510701</v>
      </c>
      <c r="V69">
        <f t="shared" si="50"/>
        <v>0.36483907133712495</v>
      </c>
      <c r="W69">
        <f t="shared" si="50"/>
        <v>0.34061597536064298</v>
      </c>
      <c r="X69">
        <f t="shared" si="50"/>
        <v>0.40903221800864092</v>
      </c>
      <c r="Y69">
        <f t="shared" si="50"/>
        <v>0.35630687883498297</v>
      </c>
      <c r="Z69">
        <f t="shared" si="50"/>
        <v>0.36556807540775033</v>
      </c>
      <c r="AA69">
        <f t="shared" si="50"/>
        <v>0.48697273927768375</v>
      </c>
      <c r="AB69">
        <f t="shared" si="50"/>
        <v>0.39512868316230926</v>
      </c>
      <c r="AC69">
        <f t="shared" si="50"/>
        <v>0.43977409842974413</v>
      </c>
      <c r="AD69">
        <f t="shared" si="50"/>
        <v>0.53773052531614174</v>
      </c>
      <c r="AE69">
        <f t="shared" si="50"/>
        <v>0.35678834261996095</v>
      </c>
      <c r="AF69" s="8"/>
      <c r="AI69">
        <f>MAX(AI30:AI41)</f>
        <v>0.4020834234946602</v>
      </c>
      <c r="AJ69">
        <f t="shared" ref="AJ69:AT69" si="51">MAX(AJ30:AJ41)</f>
        <v>0.37106727695960279</v>
      </c>
      <c r="AK69">
        <f t="shared" si="51"/>
        <v>0.44949569257749222</v>
      </c>
      <c r="AL69">
        <f t="shared" si="51"/>
        <v>0.32454915395114864</v>
      </c>
      <c r="AM69">
        <f t="shared" si="51"/>
        <v>0</v>
      </c>
      <c r="AN69">
        <f t="shared" si="51"/>
        <v>0.35327421178837043</v>
      </c>
      <c r="AO69">
        <f t="shared" si="51"/>
        <v>0.39380479179080852</v>
      </c>
      <c r="AP69">
        <f t="shared" si="51"/>
        <v>0.49108905300378508</v>
      </c>
      <c r="AQ69">
        <f t="shared" si="51"/>
        <v>0.39176399332137957</v>
      </c>
      <c r="AR69">
        <f t="shared" si="51"/>
        <v>0.43273207592590185</v>
      </c>
      <c r="AS69">
        <f t="shared" si="51"/>
        <v>0</v>
      </c>
      <c r="AT69">
        <f t="shared" si="51"/>
        <v>0.37348183468681778</v>
      </c>
    </row>
    <row r="70" spans="3:46">
      <c r="C70" s="42"/>
      <c r="E70">
        <f t="shared" ref="E70:P70" si="52">MAX(E42:E53)</f>
        <v>0.33851296475366499</v>
      </c>
      <c r="F70">
        <f t="shared" si="52"/>
        <v>0.37048736462093829</v>
      </c>
      <c r="G70">
        <f t="shared" si="52"/>
        <v>0.29007194244604312</v>
      </c>
      <c r="H70">
        <f t="shared" si="52"/>
        <v>0.27313303535548533</v>
      </c>
      <c r="I70">
        <f t="shared" si="52"/>
        <v>0.26301985762457836</v>
      </c>
      <c r="J70">
        <f t="shared" si="52"/>
        <v>0.24625087596355985</v>
      </c>
      <c r="K70">
        <f t="shared" si="52"/>
        <v>0.38309074016723466</v>
      </c>
      <c r="L70">
        <f t="shared" si="52"/>
        <v>0.23453522990406858</v>
      </c>
      <c r="M70">
        <f t="shared" si="52"/>
        <v>0.23941210597563323</v>
      </c>
      <c r="N70">
        <f t="shared" si="52"/>
        <v>0.23172413793103463</v>
      </c>
      <c r="O70">
        <f t="shared" si="52"/>
        <v>0.428900041823505</v>
      </c>
      <c r="P70">
        <f t="shared" si="52"/>
        <v>0.23916490119813061</v>
      </c>
      <c r="Q70" s="4"/>
      <c r="R70" s="42"/>
      <c r="S70" s="1"/>
      <c r="T70">
        <f t="shared" ref="T70:AE70" si="53">MAX(T42:T53)</f>
        <v>0.50797573121954598</v>
      </c>
      <c r="U70">
        <f t="shared" si="53"/>
        <v>0.5926917080111882</v>
      </c>
      <c r="V70">
        <f t="shared" si="53"/>
        <v>0.44872147806021612</v>
      </c>
      <c r="W70">
        <f t="shared" si="53"/>
        <v>0.42078024668492364</v>
      </c>
      <c r="X70">
        <f t="shared" si="53"/>
        <v>0.38923254747929692</v>
      </c>
      <c r="Y70">
        <f t="shared" si="53"/>
        <v>0.37476857435702204</v>
      </c>
      <c r="Z70">
        <f t="shared" si="53"/>
        <v>0.36761788940780404</v>
      </c>
      <c r="AA70">
        <f t="shared" si="53"/>
        <v>0.38378269055941505</v>
      </c>
      <c r="AB70">
        <f t="shared" si="53"/>
        <v>0.40161953859524507</v>
      </c>
      <c r="AC70">
        <f t="shared" si="53"/>
        <v>0.39067901185602005</v>
      </c>
      <c r="AD70">
        <f t="shared" si="53"/>
        <v>0.761996715756589</v>
      </c>
      <c r="AE70">
        <f t="shared" si="53"/>
        <v>0.3709699552687814</v>
      </c>
      <c r="AF70" s="8"/>
    </row>
    <row r="71" spans="3:46">
      <c r="C71" s="42"/>
      <c r="E71">
        <f>MAX(E54:E65)</f>
        <v>0.39585775693630337</v>
      </c>
      <c r="F71">
        <f>MAX(F54:F65)</f>
        <v>0.21970768505421995</v>
      </c>
      <c r="G71">
        <f>MAX(G54:G65)</f>
        <v>0.28092986603624914</v>
      </c>
      <c r="H71">
        <f>MAX(H54:H65)</f>
        <v>0.32304629168740678</v>
      </c>
      <c r="J71">
        <f>MAX(J54:J65)</f>
        <v>0.2409424879655436</v>
      </c>
      <c r="K71">
        <f>MAX(K54:K65)</f>
        <v>0.44201210992081946</v>
      </c>
      <c r="L71">
        <f>MAX(L54:L65)</f>
        <v>0.22958893729873095</v>
      </c>
      <c r="M71">
        <f>MAX(M54:M65)</f>
        <v>0.24404873477038413</v>
      </c>
      <c r="N71">
        <f>MAX(N54:N65)</f>
        <v>0.23298816568047356</v>
      </c>
      <c r="P71">
        <f>MAX(P54:P65)</f>
        <v>0.2139973082099596</v>
      </c>
      <c r="Q71" s="4"/>
      <c r="R71" s="42"/>
      <c r="S71" s="1"/>
      <c r="T71">
        <f>MAX(T54:T65)</f>
        <v>0.59402786444229061</v>
      </c>
      <c r="U71">
        <f>MAX(U54:U65)</f>
        <v>0.36296754319812902</v>
      </c>
      <c r="V71">
        <f>MAX(V54:V65)</f>
        <v>0.46368810512279718</v>
      </c>
      <c r="W71">
        <f>MAX(W54:W65)</f>
        <v>0.49767505468520362</v>
      </c>
      <c r="Y71">
        <f>MAX(Y54:Y65)</f>
        <v>0.3564043392552077</v>
      </c>
      <c r="Z71">
        <f>MAX(Z54:Z65)</f>
        <v>0.45134760838533</v>
      </c>
      <c r="AA71">
        <f>MAX(AA54:AA65)</f>
        <v>0.372444473067919</v>
      </c>
      <c r="AB71">
        <f>MAX(AB54:AB65)</f>
        <v>0.39414661778894949</v>
      </c>
      <c r="AC71">
        <f>MAX(AC54:AC65)</f>
        <v>0.38205224136683569</v>
      </c>
      <c r="AE71">
        <f>MAX(AE54:AE65)</f>
        <v>0.33193236740253279</v>
      </c>
      <c r="AF71" s="8"/>
      <c r="AI71">
        <f t="shared" ref="AI71:AT73" si="54">1-E83/2.65</f>
        <v>0.51200408499823857</v>
      </c>
      <c r="AJ71">
        <f t="shared" si="54"/>
        <v>0.57294535797546797</v>
      </c>
      <c r="AK71">
        <f t="shared" si="54"/>
        <v>0.52201382984678535</v>
      </c>
      <c r="AL71">
        <f t="shared" si="54"/>
        <v>0.55442733000565625</v>
      </c>
      <c r="AM71">
        <f t="shared" si="54"/>
        <v>0.55894561761090311</v>
      </c>
      <c r="AN71">
        <f t="shared" si="54"/>
        <v>0.49685739470311097</v>
      </c>
      <c r="AO71">
        <f t="shared" si="54"/>
        <v>0.52607333747980722</v>
      </c>
      <c r="AP71">
        <f t="shared" si="54"/>
        <v>0.56636256049520828</v>
      </c>
      <c r="AQ71">
        <f t="shared" si="54"/>
        <v>0.56129512716563146</v>
      </c>
      <c r="AR71">
        <f t="shared" si="54"/>
        <v>0.56873987489673827</v>
      </c>
      <c r="AS71">
        <f t="shared" si="54"/>
        <v>0.52459968059932671</v>
      </c>
      <c r="AT71">
        <f t="shared" si="54"/>
        <v>0.53475540089358153</v>
      </c>
    </row>
    <row r="72" spans="3:46">
      <c r="C72" s="43"/>
      <c r="Q72" s="4"/>
      <c r="R72" s="43"/>
      <c r="S72" s="1"/>
      <c r="AF72" s="8"/>
      <c r="AI72">
        <f t="shared" si="54"/>
        <v>0.5110309153601853</v>
      </c>
      <c r="AJ72">
        <f t="shared" si="54"/>
        <v>0.49515434783651779</v>
      </c>
      <c r="AK72">
        <f t="shared" si="54"/>
        <v>0.51651542139178497</v>
      </c>
      <c r="AL72">
        <f t="shared" si="54"/>
        <v>0.60932800001525578</v>
      </c>
      <c r="AM72">
        <f t="shared" si="54"/>
        <v>0.49582166415975437</v>
      </c>
      <c r="AN72">
        <f t="shared" si="54"/>
        <v>0.50321775340895847</v>
      </c>
      <c r="AO72">
        <f t="shared" si="54"/>
        <v>0.53784173888855014</v>
      </c>
      <c r="AP72">
        <f t="shared" si="54"/>
        <v>0.52681016592004748</v>
      </c>
      <c r="AQ72">
        <f t="shared" si="54"/>
        <v>0.5318775992496243</v>
      </c>
      <c r="AR72">
        <f t="shared" si="54"/>
        <v>0.53560344872102772</v>
      </c>
      <c r="AS72">
        <f t="shared" si="54"/>
        <v>0.53220430619954207</v>
      </c>
      <c r="AT72">
        <f t="shared" si="54"/>
        <v>0.53089052718817031</v>
      </c>
    </row>
    <row r="73" spans="3:46">
      <c r="T73">
        <f t="shared" ref="T73:AE77" si="55">1-E77/2.65</f>
        <v>0.44935377245300701</v>
      </c>
      <c r="U73">
        <f t="shared" si="55"/>
        <v>0.43833045244031699</v>
      </c>
      <c r="V73">
        <f t="shared" si="55"/>
        <v>0.4401866957657431</v>
      </c>
      <c r="W73">
        <f t="shared" si="55"/>
        <v>0.50777028726293527</v>
      </c>
      <c r="X73">
        <f t="shared" si="55"/>
        <v>0.40050002824854647</v>
      </c>
      <c r="Y73">
        <f t="shared" si="55"/>
        <v>0.45674370426973077</v>
      </c>
      <c r="Z73">
        <f t="shared" si="55"/>
        <v>0.47968246928666403</v>
      </c>
      <c r="AA73">
        <f t="shared" si="55"/>
        <v>0.49190200120946503</v>
      </c>
      <c r="AB73">
        <f t="shared" si="55"/>
        <v>0.44358747119285735</v>
      </c>
      <c r="AC73">
        <f t="shared" si="55"/>
        <v>0.50447543631511049</v>
      </c>
      <c r="AD73">
        <f t="shared" si="55"/>
        <v>0.43596598681484922</v>
      </c>
      <c r="AE73">
        <f t="shared" si="55"/>
        <v>0.5078464929534201</v>
      </c>
      <c r="AI73">
        <f t="shared" si="54"/>
        <v>0.53492222997439054</v>
      </c>
      <c r="AJ73">
        <f t="shared" si="54"/>
        <v>0.43900941093255041</v>
      </c>
      <c r="AK73">
        <f t="shared" si="54"/>
        <v>0.60667263714571062</v>
      </c>
      <c r="AL73">
        <f t="shared" si="54"/>
        <v>0.62854114915510539</v>
      </c>
      <c r="AM73">
        <f t="shared" si="54"/>
        <v>0.49614141989797189</v>
      </c>
      <c r="AN73">
        <f t="shared" si="54"/>
        <v>0.48007716965839431</v>
      </c>
      <c r="AO73">
        <f t="shared" si="54"/>
        <v>0.64352796158112424</v>
      </c>
      <c r="AP73">
        <f t="shared" si="54"/>
        <v>0.4673077937647967</v>
      </c>
      <c r="AQ73">
        <f t="shared" si="54"/>
        <v>0.53793210464065511</v>
      </c>
      <c r="AR73">
        <f t="shared" si="54"/>
        <v>0.56413221456962936</v>
      </c>
      <c r="AS73">
        <f t="shared" si="54"/>
        <v>0.61723152771858758</v>
      </c>
      <c r="AT73">
        <f t="shared" si="54"/>
        <v>0.50184141349228317</v>
      </c>
    </row>
    <row r="74" spans="3:46">
      <c r="T74">
        <f t="shared" si="55"/>
        <v>0.45976914352785736</v>
      </c>
      <c r="U74">
        <f t="shared" si="55"/>
        <v>0.41748421881753817</v>
      </c>
      <c r="V74">
        <f t="shared" si="55"/>
        <v>0.48449149115115242</v>
      </c>
      <c r="W74">
        <f t="shared" si="55"/>
        <v>0.44124818268511956</v>
      </c>
      <c r="X74">
        <f t="shared" si="55"/>
        <v>0.4021708619150508</v>
      </c>
      <c r="Y74">
        <f t="shared" si="55"/>
        <v>0.43798256627930299</v>
      </c>
      <c r="Z74">
        <f t="shared" si="55"/>
        <v>0.57859277482738702</v>
      </c>
      <c r="AA74">
        <f t="shared" si="55"/>
        <v>0.46693212979071774</v>
      </c>
      <c r="AB74">
        <f t="shared" si="55"/>
        <v>0.45327101713886997</v>
      </c>
      <c r="AC74">
        <f t="shared" si="55"/>
        <v>0.38239189718694144</v>
      </c>
      <c r="AD74">
        <f t="shared" si="55"/>
        <v>0.4518069611234381</v>
      </c>
      <c r="AE74">
        <f t="shared" si="55"/>
        <v>0.54310146367142775</v>
      </c>
    </row>
    <row r="75" spans="3:46" ht="17.25">
      <c r="E75" t="s">
        <v>204</v>
      </c>
      <c r="T75">
        <f t="shared" si="55"/>
        <v>0.4489985701278516</v>
      </c>
      <c r="U75">
        <f t="shared" si="55"/>
        <v>0.3969429773458486</v>
      </c>
      <c r="V75">
        <f t="shared" si="55"/>
        <v>0.53472066974416377</v>
      </c>
      <c r="W75">
        <f t="shared" si="55"/>
        <v>0.4345560585129451</v>
      </c>
      <c r="X75">
        <f t="shared" si="55"/>
        <v>0.39997339920219999</v>
      </c>
      <c r="Y75">
        <f t="shared" si="55"/>
        <v>0.43701608177683104</v>
      </c>
      <c r="Z75">
        <f t="shared" si="55"/>
        <v>0.64230046987718792</v>
      </c>
      <c r="AA75">
        <f t="shared" si="55"/>
        <v>0.39297147585344594</v>
      </c>
      <c r="AB75">
        <f t="shared" si="55"/>
        <v>0.38752006362790248</v>
      </c>
      <c r="AC75">
        <f t="shared" si="55"/>
        <v>0.37166953796244806</v>
      </c>
      <c r="AD75">
        <f t="shared" si="55"/>
        <v>0.49519267405292267</v>
      </c>
      <c r="AE75">
        <f t="shared" si="55"/>
        <v>0.4408393622513056</v>
      </c>
    </row>
    <row r="76" spans="3:46"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T76">
        <f t="shared" si="55"/>
        <v>0.47208377761291154</v>
      </c>
      <c r="U76">
        <f t="shared" si="55"/>
        <v>0.39631612393868765</v>
      </c>
      <c r="V76">
        <f t="shared" si="55"/>
        <v>0.6094583833707532</v>
      </c>
      <c r="W76">
        <f t="shared" si="55"/>
        <v>0.39705484768581012</v>
      </c>
      <c r="X76">
        <f t="shared" si="55"/>
        <v>0.44156229144640968</v>
      </c>
      <c r="Y76">
        <f t="shared" si="55"/>
        <v>0.42569908440902626</v>
      </c>
      <c r="Z76">
        <f t="shared" si="55"/>
        <v>0.63788283738875284</v>
      </c>
      <c r="AA76">
        <f t="shared" si="55"/>
        <v>0.3825078779247344</v>
      </c>
      <c r="AB76">
        <f t="shared" si="55"/>
        <v>0.36697209922394203</v>
      </c>
      <c r="AC76">
        <f t="shared" si="55"/>
        <v>0.36378642498738911</v>
      </c>
      <c r="AD76">
        <f t="shared" si="55"/>
        <v>0.32957355459407611</v>
      </c>
      <c r="AE76">
        <f t="shared" si="55"/>
        <v>0.48846054288728025</v>
      </c>
    </row>
    <row r="77" spans="3:46">
      <c r="D77">
        <v>1</v>
      </c>
      <c r="E77" s="4">
        <v>1.4592125029995313</v>
      </c>
      <c r="F77" s="4">
        <v>1.4884243010331599</v>
      </c>
      <c r="G77" s="4">
        <v>1.4835052562207807</v>
      </c>
      <c r="H77" s="4">
        <v>1.3044087387532213</v>
      </c>
      <c r="I77" s="4">
        <v>1.5886749251413517</v>
      </c>
      <c r="J77" s="4">
        <v>1.4396291836852133</v>
      </c>
      <c r="K77" s="4">
        <v>1.3788414563903402</v>
      </c>
      <c r="L77" s="4">
        <v>1.3464596967949176</v>
      </c>
      <c r="M77" s="4">
        <v>1.474493201338928</v>
      </c>
      <c r="N77" s="4">
        <v>1.3131400937649571</v>
      </c>
      <c r="O77" s="4">
        <v>1.4946901349406496</v>
      </c>
      <c r="P77" s="4">
        <v>1.3042067936734365</v>
      </c>
      <c r="T77">
        <f t="shared" si="55"/>
        <v>0.43373230825389886</v>
      </c>
      <c r="U77">
        <f t="shared" si="55"/>
        <v>0.37658582952204156</v>
      </c>
      <c r="V77">
        <f t="shared" si="55"/>
        <v>0.37715186387485311</v>
      </c>
      <c r="W77">
        <f t="shared" si="55"/>
        <v>0.41865326344589715</v>
      </c>
      <c r="X77" t="e">
        <f t="shared" si="55"/>
        <v>#N/A</v>
      </c>
      <c r="Y77">
        <f t="shared" si="55"/>
        <v>0.44180785784961052</v>
      </c>
      <c r="Z77">
        <f t="shared" si="55"/>
        <v>0.61467152505982292</v>
      </c>
      <c r="AA77">
        <f t="shared" si="55"/>
        <v>0.38784034705599868</v>
      </c>
      <c r="AB77">
        <f t="shared" si="55"/>
        <v>0.3905538052041716</v>
      </c>
      <c r="AC77">
        <f t="shared" si="55"/>
        <v>0.38121038595033074</v>
      </c>
      <c r="AD77" t="e">
        <f t="shared" si="55"/>
        <v>#N/A</v>
      </c>
      <c r="AE77">
        <f t="shared" si="55"/>
        <v>0.4146772303783508</v>
      </c>
    </row>
    <row r="78" spans="3:46">
      <c r="D78">
        <v>2</v>
      </c>
      <c r="E78" s="4">
        <v>1.4316117696511779</v>
      </c>
      <c r="F78" s="4">
        <v>1.5436668201335237</v>
      </c>
      <c r="G78" s="4">
        <v>1.366097548449446</v>
      </c>
      <c r="H78" s="4">
        <v>1.4806923158844332</v>
      </c>
      <c r="I78" s="4">
        <v>1.5842472159251153</v>
      </c>
      <c r="J78" s="4">
        <v>1.4893461993598471</v>
      </c>
      <c r="K78" s="4">
        <v>1.1167291467074243</v>
      </c>
      <c r="L78" s="4">
        <v>1.412629856054598</v>
      </c>
      <c r="M78" s="4">
        <v>1.4488318045819946</v>
      </c>
      <c r="N78" s="4">
        <v>1.6366614724546051</v>
      </c>
      <c r="O78" s="4">
        <v>1.4527115530228891</v>
      </c>
      <c r="P78" s="4">
        <v>1.2107811212707165</v>
      </c>
    </row>
    <row r="79" spans="3:46">
      <c r="D79">
        <v>3</v>
      </c>
      <c r="E79" s="4">
        <v>1.4601537891611933</v>
      </c>
      <c r="F79" s="4">
        <v>1.5981011100335012</v>
      </c>
      <c r="G79" s="4">
        <v>1.2329902251779659</v>
      </c>
      <c r="H79" s="4">
        <v>1.4984264449406954</v>
      </c>
      <c r="I79" s="4">
        <v>1.59007049211417</v>
      </c>
      <c r="J79" s="4">
        <v>1.4919073832913976</v>
      </c>
      <c r="K79" s="4">
        <v>0.94790375482545208</v>
      </c>
      <c r="L79" s="4">
        <v>1.6086255889883683</v>
      </c>
      <c r="M79" s="4">
        <v>1.6230718313860584</v>
      </c>
      <c r="N79" s="4">
        <v>1.6650757243995127</v>
      </c>
      <c r="O79" s="4">
        <v>1.3377394137597549</v>
      </c>
      <c r="P79" s="4">
        <v>1.48177569003404</v>
      </c>
    </row>
    <row r="80" spans="3:46">
      <c r="D80">
        <v>4</v>
      </c>
      <c r="E80" s="4">
        <v>1.3989779893257843</v>
      </c>
      <c r="F80" s="4">
        <v>1.5997622715624777</v>
      </c>
      <c r="G80" s="4">
        <v>1.0349352840675039</v>
      </c>
      <c r="H80" s="4">
        <v>1.5978046536326032</v>
      </c>
      <c r="I80" s="4">
        <v>1.4798599276670144</v>
      </c>
      <c r="J80" s="4">
        <v>1.5218974263160803</v>
      </c>
      <c r="K80" s="4">
        <v>0.95961048091980483</v>
      </c>
      <c r="L80" s="4">
        <v>1.6363541234994539</v>
      </c>
      <c r="M80" s="4">
        <v>1.6775239370565536</v>
      </c>
      <c r="N80" s="4">
        <v>1.6859659737834187</v>
      </c>
      <c r="O80" s="4">
        <v>1.7766300803256982</v>
      </c>
      <c r="P80" s="4">
        <v>1.3555795613487072</v>
      </c>
    </row>
    <row r="81" spans="4:16">
      <c r="D81">
        <v>5</v>
      </c>
      <c r="E81" s="4">
        <v>1.5006093831271679</v>
      </c>
      <c r="F81" s="4">
        <v>1.6520475517665898</v>
      </c>
      <c r="G81" s="4">
        <v>1.6505475607316391</v>
      </c>
      <c r="H81" s="4">
        <v>1.5405688518683724</v>
      </c>
      <c r="I81" s="4" t="e">
        <f>NA()</f>
        <v>#N/A</v>
      </c>
      <c r="J81" s="4">
        <v>1.479209176698532</v>
      </c>
      <c r="K81" s="4">
        <v>1.021120458591469</v>
      </c>
      <c r="L81" s="4">
        <v>1.6222230803016033</v>
      </c>
      <c r="M81" s="4">
        <v>1.6150324162089451</v>
      </c>
      <c r="N81" s="4">
        <v>1.6397924772316235</v>
      </c>
      <c r="O81" s="4" t="e">
        <f>NA()</f>
        <v>#N/A</v>
      </c>
      <c r="P81" s="4">
        <v>1.5511053394973704</v>
      </c>
    </row>
    <row r="82" spans="4:16">
      <c r="E82" t="s">
        <v>206</v>
      </c>
    </row>
    <row r="83" spans="4:16">
      <c r="D83">
        <v>1</v>
      </c>
      <c r="E83" s="4">
        <v>1.2931891747546678</v>
      </c>
      <c r="F83" s="4">
        <v>1.1316948013650099</v>
      </c>
      <c r="G83" s="4">
        <v>1.2666633509060188</v>
      </c>
      <c r="H83" s="4">
        <v>1.1807675754850109</v>
      </c>
      <c r="I83" s="4">
        <v>1.1687941133311066</v>
      </c>
      <c r="J83" s="4">
        <v>1.3333279040367558</v>
      </c>
      <c r="K83" s="4">
        <v>1.2559056556785109</v>
      </c>
      <c r="L83" s="4">
        <v>1.149139214687698</v>
      </c>
      <c r="M83" s="4">
        <v>1.1625679130110766</v>
      </c>
      <c r="N83" s="4">
        <v>1.1428393315236436</v>
      </c>
      <c r="O83" s="4">
        <v>1.2598108464117843</v>
      </c>
      <c r="P83" s="4">
        <v>1.2328981876320091</v>
      </c>
    </row>
    <row r="84" spans="4:16">
      <c r="D84">
        <v>2</v>
      </c>
      <c r="E84" s="4">
        <v>1.2957680742955089</v>
      </c>
      <c r="F84" s="4">
        <v>1.3378409782332277</v>
      </c>
      <c r="G84" s="4">
        <v>1.2812341333117698</v>
      </c>
      <c r="H84" s="4">
        <v>1.0352807999595721</v>
      </c>
      <c r="I84" s="4">
        <v>1.336072589976651</v>
      </c>
      <c r="J84" s="4">
        <v>1.31647295346626</v>
      </c>
      <c r="K84" s="4">
        <v>1.2247193919453423</v>
      </c>
      <c r="L84" s="4">
        <v>1.2539530603118743</v>
      </c>
      <c r="M84" s="4">
        <v>1.2405243619884956</v>
      </c>
      <c r="N84" s="4">
        <v>1.2306508608892763</v>
      </c>
      <c r="O84" s="4">
        <v>1.2396585885712135</v>
      </c>
      <c r="P84" s="4">
        <v>1.2431401029513485</v>
      </c>
    </row>
    <row r="85" spans="4:16">
      <c r="D85">
        <v>3</v>
      </c>
      <c r="E85" s="4">
        <v>1.232456090567865</v>
      </c>
      <c r="F85" s="4">
        <v>1.4866250610287413</v>
      </c>
      <c r="G85" s="4">
        <v>1.0423175115638668</v>
      </c>
      <c r="H85" s="4">
        <v>0.98436595473897059</v>
      </c>
      <c r="I85" s="4">
        <v>1.3352252372703746</v>
      </c>
      <c r="J85" s="4">
        <v>1.3777955004052551</v>
      </c>
      <c r="K85" s="4">
        <v>0.94465090181002065</v>
      </c>
      <c r="L85" s="4">
        <v>1.4116343465232888</v>
      </c>
      <c r="M85" s="4">
        <v>1.224479922702264</v>
      </c>
      <c r="N85" s="4">
        <v>1.1550496313904821</v>
      </c>
      <c r="O85" s="4">
        <v>1.0143364515457429</v>
      </c>
      <c r="P85" s="4">
        <v>1.3201202542454495</v>
      </c>
    </row>
    <row r="86" spans="4:16">
      <c r="D86" s="39">
        <v>4</v>
      </c>
      <c r="E86" s="39">
        <f>MIN((E70+1/2.65)^-1,E80)</f>
        <v>1.3968988322818481</v>
      </c>
      <c r="F86" s="39">
        <f t="shared" ref="F86:P86" si="56">MIN((F70+1/2.65)^-1,F80)</f>
        <v>1.3371739551193749</v>
      </c>
      <c r="G86" s="39">
        <f t="shared" si="56"/>
        <v>1.0349352840675039</v>
      </c>
      <c r="H86" s="39">
        <f t="shared" si="56"/>
        <v>1.5372990425714514</v>
      </c>
      <c r="I86" s="39">
        <f t="shared" si="56"/>
        <v>1.4798599276670144</v>
      </c>
      <c r="J86" s="39">
        <f t="shared" si="56"/>
        <v>1.5218974263160803</v>
      </c>
      <c r="K86" s="39">
        <f t="shared" si="56"/>
        <v>0.95961048091980483</v>
      </c>
      <c r="L86" s="39">
        <f t="shared" si="56"/>
        <v>1.6342707345186005</v>
      </c>
      <c r="M86" s="39">
        <f t="shared" si="56"/>
        <v>1.6213483677839964</v>
      </c>
      <c r="N86" s="39">
        <f t="shared" si="56"/>
        <v>1.6418133652367113</v>
      </c>
      <c r="O86" s="39">
        <f t="shared" si="56"/>
        <v>1.240296951693965</v>
      </c>
      <c r="P86" s="39">
        <f t="shared" si="56"/>
        <v>1.3555795613487072</v>
      </c>
    </row>
    <row r="87" spans="4:16">
      <c r="D87" s="39">
        <v>5</v>
      </c>
      <c r="E87" s="39">
        <f>MIN((E71+1/2.65)^-1,E81)</f>
        <v>1.2932992590756083</v>
      </c>
      <c r="F87" s="39">
        <f t="shared" ref="F87:P87" si="57">MIN((F71+1/2.65)^-1,F81)</f>
        <v>1.6520475517665898</v>
      </c>
      <c r="G87" s="39">
        <f t="shared" si="57"/>
        <v>1.5190911246880254</v>
      </c>
      <c r="H87" s="39">
        <f t="shared" si="57"/>
        <v>1.4277458197567614</v>
      </c>
      <c r="I87" s="39" t="e">
        <f t="shared" si="57"/>
        <v>#N/A</v>
      </c>
      <c r="J87" s="39">
        <f t="shared" si="57"/>
        <v>1.479209176698532</v>
      </c>
      <c r="K87" s="39">
        <f t="shared" si="57"/>
        <v>1.021120458591469</v>
      </c>
      <c r="L87" s="39">
        <f t="shared" si="57"/>
        <v>1.6222230803016033</v>
      </c>
      <c r="M87" s="39">
        <f t="shared" si="57"/>
        <v>1.6092506801133715</v>
      </c>
      <c r="N87" s="39">
        <f t="shared" si="57"/>
        <v>1.6384131702297926</v>
      </c>
      <c r="O87" s="39" t="e">
        <f t="shared" si="57"/>
        <v>#N/A</v>
      </c>
      <c r="P87" s="39">
        <f t="shared" si="57"/>
        <v>1.5511053394973704</v>
      </c>
    </row>
    <row r="88" spans="4:16">
      <c r="E88" s="4"/>
      <c r="F88" s="4"/>
      <c r="H88" s="4"/>
      <c r="I88" s="4"/>
    </row>
    <row r="89" spans="4:16">
      <c r="D89" s="39" t="s">
        <v>222</v>
      </c>
      <c r="E89" s="4"/>
      <c r="F89" s="4"/>
      <c r="H89" s="4"/>
      <c r="I89" s="4"/>
    </row>
    <row r="90" spans="4:16">
      <c r="E90" s="4"/>
      <c r="F90" s="4"/>
      <c r="H90" s="4"/>
      <c r="I90" s="4"/>
    </row>
    <row r="91" spans="4:16">
      <c r="E91" s="4"/>
      <c r="F91" s="4"/>
      <c r="H91" s="4"/>
      <c r="I91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50"/>
  <sheetViews>
    <sheetView topLeftCell="A19" workbookViewId="0">
      <selection activeCell="K47" sqref="K47"/>
    </sheetView>
  </sheetViews>
  <sheetFormatPr defaultRowHeight="15"/>
  <cols>
    <col min="11" max="11" width="15.7109375" customWidth="1"/>
  </cols>
  <sheetData>
    <row r="2" spans="4:16">
      <c r="D2" t="s">
        <v>45</v>
      </c>
    </row>
    <row r="3" spans="4:16">
      <c r="E3" t="s">
        <v>87</v>
      </c>
      <c r="F3" t="s">
        <v>88</v>
      </c>
      <c r="G3" t="s">
        <v>89</v>
      </c>
      <c r="H3" t="s">
        <v>90</v>
      </c>
      <c r="I3" t="s">
        <v>91</v>
      </c>
      <c r="J3" t="s">
        <v>92</v>
      </c>
      <c r="K3" t="s">
        <v>93</v>
      </c>
      <c r="L3" t="s">
        <v>94</v>
      </c>
      <c r="M3" t="s">
        <v>95</v>
      </c>
      <c r="N3" t="s">
        <v>96</v>
      </c>
      <c r="O3" t="s">
        <v>97</v>
      </c>
      <c r="P3" t="s">
        <v>98</v>
      </c>
    </row>
    <row r="4" spans="4:16">
      <c r="D4">
        <v>1</v>
      </c>
      <c r="E4" s="4">
        <v>1.4592125029995313</v>
      </c>
      <c r="F4" s="4">
        <v>1.4884243010331599</v>
      </c>
      <c r="G4" s="4">
        <v>1.4835052562207807</v>
      </c>
      <c r="H4" s="4">
        <v>1.3044087387532213</v>
      </c>
      <c r="I4" s="4">
        <v>1.5886749251413517</v>
      </c>
      <c r="J4" s="4">
        <v>1.4396291836852133</v>
      </c>
      <c r="K4" s="4">
        <v>1.3788414563903402</v>
      </c>
      <c r="L4" s="4">
        <v>1.3464596967949176</v>
      </c>
      <c r="M4" s="4">
        <v>1.474493201338928</v>
      </c>
      <c r="N4" s="4">
        <v>1.3131400937649571</v>
      </c>
      <c r="O4" s="4">
        <v>1.4946901349406496</v>
      </c>
      <c r="P4" s="4">
        <v>1.3042067936734365</v>
      </c>
    </row>
    <row r="5" spans="4:16">
      <c r="D5">
        <v>2</v>
      </c>
      <c r="E5" s="4">
        <v>1.4316117696511779</v>
      </c>
      <c r="F5" s="4">
        <v>1.5436668201335237</v>
      </c>
      <c r="G5" s="4">
        <v>1.366097548449446</v>
      </c>
      <c r="H5" s="4">
        <v>1.4806923158844332</v>
      </c>
      <c r="I5" s="4">
        <v>1.5842472159251153</v>
      </c>
      <c r="J5" s="4">
        <v>1.4893461993598471</v>
      </c>
      <c r="K5" s="4">
        <v>1.1167291467074243</v>
      </c>
      <c r="L5" s="4">
        <v>1.412629856054598</v>
      </c>
      <c r="M5" s="4">
        <v>1.4488318045819946</v>
      </c>
      <c r="N5" s="4">
        <v>1.6366614724546051</v>
      </c>
      <c r="O5" s="4">
        <v>1.4527115530228891</v>
      </c>
      <c r="P5" s="4">
        <v>1.2107811212707165</v>
      </c>
    </row>
    <row r="6" spans="4:16">
      <c r="D6">
        <v>3</v>
      </c>
      <c r="E6" s="4">
        <v>1.4601537891611933</v>
      </c>
      <c r="F6" s="4">
        <v>1.5981011100335012</v>
      </c>
      <c r="G6" s="4">
        <v>1.2329902251779659</v>
      </c>
      <c r="H6" s="4">
        <v>1.4984264449406954</v>
      </c>
      <c r="I6" s="4">
        <v>1.59007049211417</v>
      </c>
      <c r="J6" s="4">
        <v>1.4919073832913976</v>
      </c>
      <c r="K6" s="4"/>
      <c r="L6" s="4">
        <v>1.6086255889883683</v>
      </c>
      <c r="M6" s="4">
        <v>1.6230718313860584</v>
      </c>
      <c r="N6" s="4">
        <v>1.6650757243995127</v>
      </c>
      <c r="O6" s="4">
        <v>1.3377394137597549</v>
      </c>
      <c r="P6" s="4">
        <v>1.48177569003404</v>
      </c>
    </row>
    <row r="7" spans="4:16">
      <c r="D7">
        <v>4</v>
      </c>
      <c r="E7" s="4">
        <v>1.3989779893257843</v>
      </c>
      <c r="F7" s="4">
        <v>1.5997622715624777</v>
      </c>
      <c r="G7" s="4"/>
      <c r="H7" s="4">
        <v>1.5978046536326032</v>
      </c>
      <c r="I7" s="4">
        <v>1.4798599276670144</v>
      </c>
      <c r="J7" s="4">
        <v>1.5218974263160803</v>
      </c>
      <c r="K7" s="4">
        <v>0.95961048091980483</v>
      </c>
      <c r="L7" s="4">
        <v>1.6363541234994539</v>
      </c>
      <c r="M7" s="4">
        <v>1.6775239370565536</v>
      </c>
      <c r="N7" s="4">
        <v>1.6859659737834187</v>
      </c>
      <c r="O7" s="4">
        <v>1.7766300803256982</v>
      </c>
      <c r="P7" s="4">
        <v>1.3555795613487072</v>
      </c>
    </row>
    <row r="8" spans="4:16">
      <c r="D8">
        <v>5</v>
      </c>
      <c r="E8" s="4">
        <v>1.5006093831271679</v>
      </c>
      <c r="F8" s="4">
        <v>1.6520475517665898</v>
      </c>
      <c r="G8" s="4">
        <v>1.6505475607316391</v>
      </c>
      <c r="H8" s="4">
        <v>1.5405688518683724</v>
      </c>
      <c r="I8" s="4"/>
      <c r="J8" s="4">
        <v>1.479209176698532</v>
      </c>
      <c r="K8" s="4">
        <v>1.021120458591469</v>
      </c>
      <c r="L8" s="4">
        <v>1.6222230803016033</v>
      </c>
      <c r="M8" s="4">
        <v>1.6150324162089451</v>
      </c>
      <c r="N8" s="4">
        <v>1.6397924772316235</v>
      </c>
      <c r="O8" s="4"/>
      <c r="P8" s="4">
        <v>1.5511053394973704</v>
      </c>
    </row>
    <row r="9" spans="4:16">
      <c r="E9">
        <f>AVERAGE(E4:E8)</f>
        <v>1.450113086852971</v>
      </c>
      <c r="F9">
        <f t="shared" ref="F9:P9" si="0">AVERAGE(F4:F8)</f>
        <v>1.5764004109058505</v>
      </c>
      <c r="G9">
        <f t="shared" si="0"/>
        <v>1.433285147644958</v>
      </c>
      <c r="H9">
        <f t="shared" si="0"/>
        <v>1.4843802010158651</v>
      </c>
      <c r="I9">
        <f t="shared" si="0"/>
        <v>1.5607131402119128</v>
      </c>
      <c r="J9">
        <f t="shared" si="0"/>
        <v>1.4843978738702142</v>
      </c>
      <c r="K9">
        <f t="shared" si="0"/>
        <v>1.1190753856522595</v>
      </c>
      <c r="L9">
        <f t="shared" si="0"/>
        <v>1.5252584691277884</v>
      </c>
      <c r="M9">
        <f t="shared" si="0"/>
        <v>1.5677906381144959</v>
      </c>
      <c r="N9">
        <f t="shared" si="0"/>
        <v>1.5881271483268236</v>
      </c>
      <c r="O9">
        <f t="shared" si="0"/>
        <v>1.515442795512248</v>
      </c>
      <c r="P9">
        <f t="shared" si="0"/>
        <v>1.380689701164854</v>
      </c>
    </row>
    <row r="11" spans="4:16">
      <c r="D11" t="s">
        <v>126</v>
      </c>
    </row>
    <row r="12" spans="4:16">
      <c r="E12" t="s">
        <v>87</v>
      </c>
      <c r="F12" t="s">
        <v>88</v>
      </c>
      <c r="G12" t="s">
        <v>89</v>
      </c>
      <c r="H12" t="s">
        <v>90</v>
      </c>
      <c r="I12" t="s">
        <v>91</v>
      </c>
      <c r="J12" t="s">
        <v>92</v>
      </c>
      <c r="K12" t="s">
        <v>93</v>
      </c>
      <c r="L12" t="s">
        <v>94</v>
      </c>
      <c r="M12" t="s">
        <v>95</v>
      </c>
      <c r="N12" t="s">
        <v>96</v>
      </c>
      <c r="O12" t="s">
        <v>97</v>
      </c>
      <c r="P12" t="s">
        <v>98</v>
      </c>
    </row>
    <row r="13" spans="4:16">
      <c r="D13">
        <v>1</v>
      </c>
      <c r="E13" s="4">
        <v>31.088925817978129</v>
      </c>
      <c r="F13" s="4">
        <v>38.685135427042731</v>
      </c>
      <c r="G13" s="4">
        <v>31.939405540537933</v>
      </c>
      <c r="H13" s="4">
        <v>33.755756937896102</v>
      </c>
      <c r="I13" s="4">
        <v>41.129973537649498</v>
      </c>
      <c r="J13" s="4">
        <v>30.808659879393304</v>
      </c>
      <c r="K13" s="4">
        <v>28.830912548755265</v>
      </c>
      <c r="L13" s="4">
        <v>34.820678456131994</v>
      </c>
      <c r="M13" s="4">
        <v>39.051814056830032</v>
      </c>
      <c r="N13" s="4">
        <v>37.401867773858164</v>
      </c>
      <c r="O13" s="4">
        <v>29.005740174885968</v>
      </c>
      <c r="P13" s="4">
        <v>32.336685878513499</v>
      </c>
    </row>
    <row r="14" spans="4:16">
      <c r="D14">
        <v>2</v>
      </c>
      <c r="E14" s="4">
        <v>34.303267414492602</v>
      </c>
      <c r="F14" s="4">
        <v>38.343054533098098</v>
      </c>
      <c r="G14" s="4">
        <v>33.548462999377698</v>
      </c>
      <c r="H14" s="4">
        <v>31.6169825352411</v>
      </c>
      <c r="I14" s="4">
        <v>44.446481977280598</v>
      </c>
      <c r="J14" s="4">
        <v>28.266751605169897</v>
      </c>
      <c r="K14" s="4">
        <v>31.122835583657199</v>
      </c>
      <c r="L14" s="4">
        <v>33.503115909082901</v>
      </c>
      <c r="M14" s="4">
        <v>40.458209560043102</v>
      </c>
      <c r="N14" s="4">
        <v>38.283667269565797</v>
      </c>
      <c r="O14" s="4">
        <v>31.327268327100999</v>
      </c>
      <c r="P14" s="4">
        <v>39.495280586197701</v>
      </c>
    </row>
    <row r="15" spans="4:16">
      <c r="D15">
        <v>3</v>
      </c>
      <c r="E15" s="4">
        <v>37.925924429043498</v>
      </c>
      <c r="F15" s="4">
        <v>36.587717473494401</v>
      </c>
      <c r="G15" s="4">
        <v>32.267199390388299</v>
      </c>
      <c r="H15" s="4">
        <v>32.869077867352097</v>
      </c>
      <c r="I15" s="4">
        <v>39.572077511736801</v>
      </c>
      <c r="J15" s="4">
        <v>32.305426855355897</v>
      </c>
      <c r="K15" s="4">
        <v>26.1878186798202</v>
      </c>
      <c r="L15" s="4">
        <v>36.716244763979297</v>
      </c>
      <c r="M15" s="4">
        <v>43.764932497507402</v>
      </c>
      <c r="N15" s="4">
        <v>44.844560221300199</v>
      </c>
      <c r="O15" s="4">
        <v>31.164550570153299</v>
      </c>
      <c r="P15" s="4">
        <v>38.063504508036701</v>
      </c>
    </row>
    <row r="16" spans="4:16">
      <c r="D16">
        <v>4</v>
      </c>
      <c r="E16" s="4">
        <v>39.884514293639697</v>
      </c>
      <c r="F16" s="4">
        <v>40.415826127505497</v>
      </c>
      <c r="G16" s="4">
        <v>30.405946021401402</v>
      </c>
      <c r="H16" s="4">
        <v>31.968345352338201</v>
      </c>
      <c r="I16" s="4">
        <v>29.417097631266405</v>
      </c>
      <c r="J16" s="4">
        <v>32.082927232179301</v>
      </c>
      <c r="K16" s="4">
        <v>25.353670483393</v>
      </c>
      <c r="L16" s="4">
        <v>35.409730923468203</v>
      </c>
      <c r="M16" s="4">
        <v>43.764054482016498</v>
      </c>
      <c r="N16" s="4">
        <v>40.132886433957403</v>
      </c>
      <c r="O16" s="4">
        <v>24.879438023157999</v>
      </c>
      <c r="P16" s="4">
        <v>38.995162447264299</v>
      </c>
    </row>
    <row r="17" spans="3:16">
      <c r="D17">
        <v>5</v>
      </c>
      <c r="E17" s="4"/>
      <c r="F17" s="4">
        <v>38.540676954671099</v>
      </c>
      <c r="G17" s="4">
        <v>25.571926362636198</v>
      </c>
      <c r="H17" s="4">
        <v>27.5812965427086</v>
      </c>
      <c r="I17" s="4"/>
      <c r="J17" s="4">
        <v>30.7026037415365</v>
      </c>
      <c r="K17" s="4">
        <v>20.4270477416947</v>
      </c>
      <c r="L17" s="4">
        <v>33.921075013919001</v>
      </c>
      <c r="M17" s="4">
        <v>40.331237386793099</v>
      </c>
      <c r="N17" s="4">
        <v>35.048532013949803</v>
      </c>
      <c r="O17" s="4">
        <v>18.453326024247001</v>
      </c>
      <c r="P17" s="4">
        <v>38.972888158097597</v>
      </c>
    </row>
    <row r="18" spans="3:16">
      <c r="E18" s="4">
        <f>AVERAGE(E13:E17)</f>
        <v>35.800657988788487</v>
      </c>
      <c r="F18" s="4">
        <f t="shared" ref="F18:P18" si="1">AVERAGE(F13:F17)</f>
        <v>38.514482103162358</v>
      </c>
      <c r="G18" s="4">
        <f t="shared" si="1"/>
        <v>30.746588062868305</v>
      </c>
      <c r="H18" s="4">
        <f t="shared" si="1"/>
        <v>31.558291847107217</v>
      </c>
      <c r="I18" s="4">
        <f t="shared" si="1"/>
        <v>38.641407664483332</v>
      </c>
      <c r="J18" s="4">
        <f t="shared" si="1"/>
        <v>30.83327386272698</v>
      </c>
      <c r="K18" s="4">
        <f t="shared" si="1"/>
        <v>26.384457007464071</v>
      </c>
      <c r="L18" s="4">
        <f t="shared" si="1"/>
        <v>34.874169013316276</v>
      </c>
      <c r="M18" s="4">
        <f t="shared" si="1"/>
        <v>41.474049596638025</v>
      </c>
      <c r="N18" s="4">
        <f t="shared" si="1"/>
        <v>39.142302742526269</v>
      </c>
      <c r="O18" s="4">
        <f t="shared" si="1"/>
        <v>26.966064623909052</v>
      </c>
      <c r="P18" s="4">
        <f t="shared" si="1"/>
        <v>37.572704315621955</v>
      </c>
    </row>
    <row r="19" spans="3:16">
      <c r="H19" s="4">
        <v>36</v>
      </c>
      <c r="I19" s="4">
        <v>1.63</v>
      </c>
    </row>
    <row r="20" spans="3:16">
      <c r="E20" t="s">
        <v>87</v>
      </c>
      <c r="F20" t="s">
        <v>88</v>
      </c>
      <c r="G20" t="s">
        <v>89</v>
      </c>
      <c r="H20" t="s">
        <v>90</v>
      </c>
      <c r="I20" t="s">
        <v>91</v>
      </c>
      <c r="J20" t="s">
        <v>92</v>
      </c>
      <c r="K20" t="s">
        <v>93</v>
      </c>
      <c r="L20" t="s">
        <v>94</v>
      </c>
      <c r="M20" t="s">
        <v>95</v>
      </c>
      <c r="N20" t="s">
        <v>96</v>
      </c>
      <c r="O20" t="s">
        <v>97</v>
      </c>
      <c r="P20" t="s">
        <v>98</v>
      </c>
    </row>
    <row r="21" spans="3:16">
      <c r="C21" t="s">
        <v>127</v>
      </c>
      <c r="E21">
        <f>IF(AND(E4&gt;$I$19,E13&gt;$H$19),1,IF(AND(E5&gt;$I$19,E14&gt;$H$19),2,IF(AND(E6&gt;$I$19,E15&gt;$H$19),3,IF(AND(E7&gt;$I$19,E16&gt;$H$19),4,5))))</f>
        <v>5</v>
      </c>
      <c r="F21">
        <f t="shared" ref="F21:P21" si="2">IF(AND(F4&gt;$I$19,F13&gt;$H$19),1,IF(AND(F5&gt;$I$19,F14&gt;$H$19),2,IF(AND(F6&gt;$I$19,F15&gt;$H$19),3,IF(AND(F7&gt;$I$19,F16&gt;$H$19),4,5))))</f>
        <v>5</v>
      </c>
      <c r="G21">
        <f t="shared" si="2"/>
        <v>5</v>
      </c>
      <c r="H21">
        <f t="shared" si="2"/>
        <v>5</v>
      </c>
      <c r="I21">
        <f t="shared" si="2"/>
        <v>5</v>
      </c>
      <c r="J21">
        <f t="shared" si="2"/>
        <v>5</v>
      </c>
      <c r="K21">
        <f t="shared" si="2"/>
        <v>5</v>
      </c>
      <c r="L21">
        <f t="shared" si="2"/>
        <v>5</v>
      </c>
      <c r="M21">
        <f t="shared" si="2"/>
        <v>4</v>
      </c>
      <c r="N21">
        <f t="shared" si="2"/>
        <v>2</v>
      </c>
      <c r="O21">
        <f t="shared" si="2"/>
        <v>5</v>
      </c>
      <c r="P21">
        <f t="shared" si="2"/>
        <v>5</v>
      </c>
    </row>
    <row r="22" spans="3:16">
      <c r="C22" t="s">
        <v>128</v>
      </c>
      <c r="E22">
        <f>IF(E4&gt;$I$19,1,IF(E5&gt;$I$19,2,IF(E6&gt;$I$19,3,IF(E7&gt;$I$19,4,5))))</f>
        <v>5</v>
      </c>
      <c r="F22">
        <f t="shared" ref="F22:P22" si="3">IF(F4&gt;$I$19,1,IF(F5&gt;$I$19,2,IF(F6&gt;$I$19,3,IF(F7&gt;$I$19,4,5))))</f>
        <v>5</v>
      </c>
      <c r="G22">
        <f t="shared" si="3"/>
        <v>5</v>
      </c>
      <c r="H22">
        <v>4</v>
      </c>
      <c r="I22">
        <f t="shared" si="3"/>
        <v>5</v>
      </c>
      <c r="J22">
        <f t="shared" si="3"/>
        <v>5</v>
      </c>
      <c r="K22">
        <f t="shared" si="3"/>
        <v>5</v>
      </c>
      <c r="L22">
        <v>3</v>
      </c>
      <c r="M22">
        <v>3</v>
      </c>
      <c r="N22">
        <f t="shared" si="3"/>
        <v>2</v>
      </c>
      <c r="O22">
        <v>4</v>
      </c>
      <c r="P22">
        <f t="shared" si="3"/>
        <v>5</v>
      </c>
    </row>
    <row r="23" spans="3:16">
      <c r="C23" t="s">
        <v>129</v>
      </c>
      <c r="E23">
        <v>3</v>
      </c>
      <c r="F23">
        <v>5</v>
      </c>
      <c r="G23">
        <v>5</v>
      </c>
      <c r="H23">
        <v>5</v>
      </c>
      <c r="J23">
        <v>5</v>
      </c>
      <c r="K23">
        <v>5</v>
      </c>
      <c r="L23">
        <v>5</v>
      </c>
      <c r="M23">
        <v>4</v>
      </c>
      <c r="N23">
        <v>4</v>
      </c>
    </row>
    <row r="24" spans="3:16">
      <c r="C24" t="s">
        <v>130</v>
      </c>
      <c r="E24">
        <v>3</v>
      </c>
      <c r="F24">
        <v>5</v>
      </c>
      <c r="G24">
        <v>5</v>
      </c>
      <c r="H24">
        <v>5</v>
      </c>
      <c r="I24">
        <v>3</v>
      </c>
      <c r="J24">
        <v>4</v>
      </c>
      <c r="K24">
        <v>5</v>
      </c>
      <c r="L24">
        <v>5</v>
      </c>
      <c r="M24">
        <v>4</v>
      </c>
      <c r="N24">
        <v>2</v>
      </c>
      <c r="O24">
        <v>4</v>
      </c>
      <c r="P24">
        <v>4</v>
      </c>
    </row>
    <row r="25" spans="3:16">
      <c r="C25" t="s">
        <v>145</v>
      </c>
      <c r="E25">
        <v>3</v>
      </c>
      <c r="F25">
        <v>4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3</v>
      </c>
      <c r="N25">
        <v>3</v>
      </c>
      <c r="O25">
        <v>5</v>
      </c>
      <c r="P25">
        <v>2</v>
      </c>
    </row>
    <row r="26" spans="3:16">
      <c r="E26">
        <f>ROUND(AVERAGE(E21:E25),0)</f>
        <v>4</v>
      </c>
      <c r="F26">
        <f t="shared" ref="F26:H26" si="4">ROUND(AVERAGE(F22:F25),0)</f>
        <v>5</v>
      </c>
      <c r="G26">
        <f t="shared" si="4"/>
        <v>5</v>
      </c>
      <c r="H26">
        <f t="shared" si="4"/>
        <v>5</v>
      </c>
      <c r="I26">
        <f>ROUND(AVERAGE(I22:I25),0)</f>
        <v>4</v>
      </c>
      <c r="J26">
        <f t="shared" ref="J26" si="5">ROUND(AVERAGE(J22:J25),0)</f>
        <v>5</v>
      </c>
      <c r="K26">
        <f>ROUND(AVERAGE(K22:K25),0)</f>
        <v>5</v>
      </c>
      <c r="L26">
        <f t="shared" ref="L26" si="6">ROUND(AVERAGE(L22:L25),0)</f>
        <v>5</v>
      </c>
      <c r="M26">
        <f t="shared" ref="M26" si="7">ROUND(AVERAGE(M22:M25),0)</f>
        <v>4</v>
      </c>
      <c r="N26">
        <f t="shared" ref="N26" si="8">ROUND(AVERAGE(N22:N25),0)</f>
        <v>3</v>
      </c>
      <c r="O26">
        <f>ROUND(AVERAGE(O22:O25),0)</f>
        <v>4</v>
      </c>
      <c r="P26">
        <f t="shared" ref="P26" si="9">ROUND(AVERAGE(P22:P25),0)</f>
        <v>4</v>
      </c>
    </row>
    <row r="28" spans="3:16">
      <c r="D28" t="s">
        <v>146</v>
      </c>
      <c r="E28">
        <v>105</v>
      </c>
      <c r="F28">
        <v>115</v>
      </c>
      <c r="G28" t="s">
        <v>149</v>
      </c>
      <c r="H28">
        <v>110</v>
      </c>
      <c r="I28">
        <v>75</v>
      </c>
      <c r="J28" t="s">
        <v>149</v>
      </c>
      <c r="K28" t="s">
        <v>149</v>
      </c>
      <c r="L28">
        <v>37</v>
      </c>
      <c r="M28">
        <v>55</v>
      </c>
      <c r="N28">
        <v>45</v>
      </c>
      <c r="O28" t="s">
        <v>149</v>
      </c>
      <c r="P28">
        <v>110</v>
      </c>
    </row>
    <row r="29" spans="3:16">
      <c r="E29" t="s">
        <v>147</v>
      </c>
      <c r="F29" t="s">
        <v>147</v>
      </c>
      <c r="G29" t="s">
        <v>148</v>
      </c>
      <c r="H29" t="s">
        <v>150</v>
      </c>
      <c r="I29" t="s">
        <v>147</v>
      </c>
      <c r="J29" t="s">
        <v>151</v>
      </c>
      <c r="K29" t="s">
        <v>148</v>
      </c>
      <c r="L29" t="s">
        <v>147</v>
      </c>
      <c r="M29" t="s">
        <v>152</v>
      </c>
      <c r="N29" t="s">
        <v>147</v>
      </c>
      <c r="P29" t="s">
        <v>147</v>
      </c>
    </row>
    <row r="32" spans="3:16">
      <c r="D32">
        <v>1</v>
      </c>
      <c r="E32">
        <v>105</v>
      </c>
    </row>
    <row r="33" spans="4:19">
      <c r="D33">
        <v>2</v>
      </c>
      <c r="E33">
        <v>115</v>
      </c>
    </row>
    <row r="34" spans="4:19">
      <c r="D34">
        <v>3</v>
      </c>
      <c r="E34">
        <v>150</v>
      </c>
      <c r="K34" t="s">
        <v>139</v>
      </c>
      <c r="L34" t="s">
        <v>140</v>
      </c>
      <c r="M34" t="s">
        <v>143</v>
      </c>
    </row>
    <row r="35" spans="4:19">
      <c r="D35">
        <v>4</v>
      </c>
      <c r="E35">
        <v>110</v>
      </c>
      <c r="K35">
        <v>3</v>
      </c>
      <c r="L35" s="7">
        <v>1</v>
      </c>
      <c r="M35">
        <v>2</v>
      </c>
    </row>
    <row r="36" spans="4:19">
      <c r="D36">
        <v>5</v>
      </c>
      <c r="E36">
        <v>75</v>
      </c>
      <c r="K36">
        <v>4</v>
      </c>
      <c r="L36">
        <v>5</v>
      </c>
      <c r="M36">
        <v>7</v>
      </c>
    </row>
    <row r="37" spans="4:19">
      <c r="D37">
        <v>6</v>
      </c>
      <c r="E37">
        <v>150</v>
      </c>
      <c r="K37">
        <v>8</v>
      </c>
      <c r="L37">
        <v>11</v>
      </c>
      <c r="M37">
        <v>6</v>
      </c>
    </row>
    <row r="38" spans="4:19">
      <c r="D38">
        <v>7</v>
      </c>
      <c r="E38">
        <v>150</v>
      </c>
      <c r="K38" s="7">
        <v>9</v>
      </c>
      <c r="L38">
        <v>10</v>
      </c>
      <c r="M38">
        <v>12</v>
      </c>
      <c r="Q38" t="s">
        <v>45</v>
      </c>
      <c r="R38" t="s">
        <v>144</v>
      </c>
    </row>
    <row r="39" spans="4:19">
      <c r="D39">
        <v>8</v>
      </c>
      <c r="E39">
        <v>37</v>
      </c>
      <c r="K39" s="7" t="s">
        <v>142</v>
      </c>
      <c r="L39" s="7" t="s">
        <v>141</v>
      </c>
      <c r="P39">
        <v>7</v>
      </c>
      <c r="Q39">
        <v>1.1190753856522595</v>
      </c>
      <c r="R39">
        <v>7</v>
      </c>
      <c r="S39">
        <v>26.384457007464071</v>
      </c>
    </row>
    <row r="40" spans="4:19">
      <c r="D40">
        <v>9</v>
      </c>
      <c r="E40">
        <v>55</v>
      </c>
      <c r="P40">
        <v>12</v>
      </c>
      <c r="Q40">
        <v>1.380689701164854</v>
      </c>
      <c r="R40">
        <v>11</v>
      </c>
      <c r="S40">
        <v>26.966064623909052</v>
      </c>
    </row>
    <row r="41" spans="4:19">
      <c r="D41">
        <v>10</v>
      </c>
      <c r="E41">
        <v>45</v>
      </c>
      <c r="P41">
        <v>3</v>
      </c>
      <c r="Q41">
        <v>1.433285147644958</v>
      </c>
      <c r="R41">
        <v>3</v>
      </c>
      <c r="S41">
        <v>30.746588062868305</v>
      </c>
    </row>
    <row r="42" spans="4:19">
      <c r="D42">
        <v>11</v>
      </c>
      <c r="E42">
        <v>150</v>
      </c>
      <c r="P42">
        <v>1</v>
      </c>
      <c r="Q42">
        <v>1.450113086852971</v>
      </c>
      <c r="R42">
        <v>6</v>
      </c>
      <c r="S42">
        <v>30.83327386272698</v>
      </c>
    </row>
    <row r="43" spans="4:19">
      <c r="D43">
        <v>12</v>
      </c>
      <c r="E43">
        <v>110</v>
      </c>
      <c r="P43">
        <v>4</v>
      </c>
      <c r="Q43">
        <v>1.4843802010158651</v>
      </c>
      <c r="R43">
        <v>4</v>
      </c>
      <c r="S43">
        <v>31.558291847107217</v>
      </c>
    </row>
    <row r="44" spans="4:19">
      <c r="P44">
        <v>6</v>
      </c>
      <c r="Q44">
        <v>1.4843978738702142</v>
      </c>
      <c r="R44">
        <v>8</v>
      </c>
      <c r="S44">
        <v>34.874169013316276</v>
      </c>
    </row>
    <row r="45" spans="4:19">
      <c r="P45">
        <v>11</v>
      </c>
      <c r="Q45">
        <v>1.515442795512248</v>
      </c>
      <c r="R45">
        <v>1</v>
      </c>
      <c r="S45">
        <v>35.800657988788487</v>
      </c>
    </row>
    <row r="46" spans="4:19">
      <c r="P46">
        <v>8</v>
      </c>
      <c r="Q46">
        <v>1.5252584691277884</v>
      </c>
      <c r="R46">
        <v>12</v>
      </c>
      <c r="S46">
        <v>37.572704315621955</v>
      </c>
    </row>
    <row r="47" spans="4:19">
      <c r="P47">
        <v>5</v>
      </c>
      <c r="Q47">
        <v>1.5607131402119128</v>
      </c>
      <c r="R47">
        <v>2</v>
      </c>
      <c r="S47">
        <v>38.514482103162358</v>
      </c>
    </row>
    <row r="48" spans="4:19">
      <c r="P48">
        <v>9</v>
      </c>
      <c r="Q48">
        <v>1.5677906381144959</v>
      </c>
      <c r="R48">
        <v>5</v>
      </c>
      <c r="S48">
        <v>38.641407664483332</v>
      </c>
    </row>
    <row r="49" spans="16:19">
      <c r="P49">
        <v>2</v>
      </c>
      <c r="Q49">
        <v>1.5764004109058505</v>
      </c>
      <c r="R49">
        <v>10</v>
      </c>
      <c r="S49">
        <v>39.142302742526269</v>
      </c>
    </row>
    <row r="50" spans="16:19">
      <c r="P50">
        <v>10</v>
      </c>
      <c r="Q50">
        <v>1.5881271483268236</v>
      </c>
      <c r="R50">
        <v>9</v>
      </c>
      <c r="S50">
        <v>41.474049596638025</v>
      </c>
    </row>
  </sheetData>
  <sortState ref="R39:S50">
    <sortCondition ref="S30:S4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Odberg-snow</vt:lpstr>
      <vt:lpstr>em_2013</vt:lpstr>
      <vt:lpstr>Odberg_DG&amp;Well</vt:lpstr>
      <vt:lpstr>2013_crop_data</vt:lpstr>
      <vt:lpstr>SOIL_PROPERTIES</vt:lpstr>
      <vt:lpstr>Palouse_PTF</vt:lpstr>
      <vt:lpstr>Yields</vt:lpstr>
      <vt:lpstr>Soil_Moisture</vt:lpstr>
      <vt:lpstr>soil.depth</vt:lpstr>
      <vt:lpstr>SOIL_PROPERTIES!clay</vt:lpstr>
      <vt:lpstr>SOIL_PROPERTIES!porosity</vt:lpstr>
      <vt:lpstr>SOIL_PROPERTIES!sand</vt:lpstr>
      <vt:lpstr>SOIL_PROPERTIES!silt</vt:lpstr>
    </vt:vector>
  </TitlesOfParts>
  <Company>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your3353</dc:creator>
  <cp:lastModifiedBy>Yourek, Matthew</cp:lastModifiedBy>
  <dcterms:created xsi:type="dcterms:W3CDTF">2014-06-23T22:46:01Z</dcterms:created>
  <dcterms:modified xsi:type="dcterms:W3CDTF">2017-08-12T19:16:58Z</dcterms:modified>
</cp:coreProperties>
</file>